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抵押物清单" sheetId="84" r:id="rId15"/>
    <sheet name="地下室面积" sheetId="78"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0" r:id="rId25"/>
    <sheet name="假设开发法" sheetId="12"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商业）" sheetId="15" r:id="rId48"/>
    <sheet name="收益法（地下车库）" sheetId="79" r:id="rId49"/>
    <sheet name="地下车库价格表" sheetId="81" r:id="rId50"/>
    <sheet name="商业价格表" sheetId="82" r:id="rId51"/>
    <sheet name="总投及已投" sheetId="83"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8">'收益法（地下车库）'!$A$1:$AK$69</definedName>
    <definedName name="_xlnm.Print_Area" localSheetId="47">'收益法（商业）'!$A$1:$AK$69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91" i="9" l="1"/>
  <c r="F42" i="84"/>
  <c r="F4" i="84"/>
  <c r="F5" i="84"/>
  <c r="F6" i="84"/>
  <c r="F7" i="84"/>
  <c r="F8" i="84"/>
  <c r="F9" i="84"/>
  <c r="F10" i="84"/>
  <c r="F11" i="84"/>
  <c r="F12" i="84"/>
  <c r="F13" i="84"/>
  <c r="F14" i="84"/>
  <c r="F15" i="84"/>
  <c r="F16" i="84"/>
  <c r="F17" i="84"/>
  <c r="F18" i="84"/>
  <c r="F19" i="84"/>
  <c r="F20" i="84"/>
  <c r="F21" i="84"/>
  <c r="F22" i="84"/>
  <c r="F23" i="84"/>
  <c r="F24" i="84"/>
  <c r="F25" i="84"/>
  <c r="F26" i="84"/>
  <c r="F27" i="84"/>
  <c r="F28" i="84"/>
  <c r="F29" i="84"/>
  <c r="F30" i="84"/>
  <c r="F31" i="84"/>
  <c r="F32" i="84"/>
  <c r="F33" i="84"/>
  <c r="F34" i="84"/>
  <c r="F35" i="84"/>
  <c r="F36" i="84"/>
  <c r="F37" i="84"/>
  <c r="F38" i="84"/>
  <c r="F39" i="84"/>
  <c r="F40" i="84"/>
  <c r="F41" i="84"/>
  <c r="F3" i="84"/>
  <c r="G43" i="84"/>
  <c r="H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F44" i="84"/>
  <c r="G44" i="84"/>
  <c r="H44" i="84"/>
  <c r="H3" i="84"/>
  <c r="I15" i="3"/>
  <c r="I14" i="3"/>
  <c r="K14" i="3"/>
  <c r="M14" i="3"/>
  <c r="AR14" i="3"/>
  <c r="AR13" i="3"/>
  <c r="AP13" i="3"/>
  <c r="O13" i="3"/>
  <c r="K13" i="3"/>
  <c r="I13" i="3"/>
  <c r="G42" i="84"/>
  <c r="G4" i="84"/>
  <c r="G5" i="84"/>
  <c r="G6" i="84"/>
  <c r="G7" i="84"/>
  <c r="G8" i="84"/>
  <c r="G9" i="84"/>
  <c r="G10" i="84"/>
  <c r="G11" i="84"/>
  <c r="G12" i="84"/>
  <c r="G13" i="84"/>
  <c r="G14" i="84"/>
  <c r="G15" i="84"/>
  <c r="G16" i="84"/>
  <c r="G17" i="84"/>
  <c r="G18" i="84"/>
  <c r="G19" i="84"/>
  <c r="G20" i="84"/>
  <c r="G21" i="84"/>
  <c r="G22" i="84"/>
  <c r="G23" i="84"/>
  <c r="G24" i="84"/>
  <c r="G25" i="84"/>
  <c r="G26" i="84"/>
  <c r="G27" i="84"/>
  <c r="G28" i="84"/>
  <c r="G29" i="84"/>
  <c r="G30" i="84"/>
  <c r="G31" i="84"/>
  <c r="G32" i="84"/>
  <c r="G33" i="84"/>
  <c r="G34" i="84"/>
  <c r="G35" i="84"/>
  <c r="G36" i="84"/>
  <c r="G37" i="84"/>
  <c r="G38" i="84"/>
  <c r="G39" i="84"/>
  <c r="G40" i="84"/>
  <c r="G41" i="84"/>
  <c r="G3" i="84"/>
  <c r="L44" i="77"/>
  <c r="F19" i="6"/>
  <c r="L49" i="77"/>
  <c r="D14" i="9"/>
  <c r="I47" i="21"/>
  <c r="G47" i="21"/>
  <c r="E47" i="21"/>
  <c r="D68" i="21"/>
  <c r="E68" i="21"/>
  <c r="F68" i="21"/>
  <c r="G68" i="21"/>
  <c r="H68" i="21"/>
  <c r="I68" i="21"/>
  <c r="J68" i="21"/>
  <c r="D103" i="21"/>
  <c r="G37" i="21"/>
  <c r="E37" i="21"/>
  <c r="C11" i="21"/>
  <c r="E26" i="82"/>
  <c r="I25" i="82"/>
  <c r="I24" i="82"/>
  <c r="I23" i="82"/>
  <c r="I22" i="82"/>
  <c r="I21" i="82"/>
  <c r="I20" i="82"/>
  <c r="I19" i="82"/>
  <c r="I18" i="82"/>
  <c r="I17" i="82"/>
  <c r="I16" i="82"/>
  <c r="I15" i="82"/>
  <c r="I14" i="82"/>
  <c r="I13" i="82"/>
  <c r="I12" i="82"/>
  <c r="I11" i="82"/>
  <c r="I10" i="82"/>
  <c r="I9" i="82"/>
  <c r="I8" i="82"/>
  <c r="I7" i="82"/>
  <c r="I6" i="82"/>
  <c r="I455" i="81"/>
  <c r="H455" i="81"/>
  <c r="E455" i="81"/>
  <c r="I26" i="82"/>
  <c r="H26" i="82"/>
  <c r="E117" i="39"/>
  <c r="F117" i="39"/>
  <c r="G117" i="39"/>
  <c r="H117" i="39"/>
  <c r="D117" i="39"/>
  <c r="D118" i="39"/>
  <c r="E118" i="39"/>
  <c r="F118" i="39"/>
  <c r="G118" i="39"/>
  <c r="H118" i="39"/>
  <c r="I38" i="39"/>
  <c r="G38" i="39"/>
  <c r="E38" i="39"/>
  <c r="C38" i="39"/>
  <c r="I46" i="39"/>
  <c r="G46" i="39"/>
  <c r="E46" i="39"/>
  <c r="C11" i="39"/>
  <c r="D80" i="39"/>
  <c r="E80" i="39"/>
  <c r="F80" i="39"/>
  <c r="G80" i="39"/>
  <c r="H80" i="39"/>
  <c r="I80" i="39"/>
  <c r="J80" i="39"/>
  <c r="K80" i="39"/>
  <c r="L80" i="39"/>
  <c r="M80" i="39"/>
  <c r="D71" i="39"/>
  <c r="E71" i="39"/>
  <c r="F71" i="39"/>
  <c r="G71" i="39"/>
  <c r="H71" i="39"/>
  <c r="I71" i="39"/>
  <c r="J71" i="39"/>
  <c r="K71" i="39"/>
  <c r="L71" i="39"/>
  <c r="M71" i="39"/>
  <c r="N71" i="39"/>
  <c r="O71" i="39"/>
  <c r="I7" i="39"/>
  <c r="G7" i="39"/>
  <c r="E7" i="39"/>
  <c r="I5" i="39"/>
  <c r="G5" i="39"/>
  <c r="E5" i="39"/>
  <c r="Q72" i="79"/>
  <c r="Q59" i="79"/>
  <c r="K59" i="79"/>
  <c r="P74" i="79"/>
  <c r="F59" i="79"/>
  <c r="P61" i="79"/>
  <c r="Q58" i="79"/>
  <c r="Q51" i="79"/>
  <c r="J50" i="79"/>
  <c r="M47" i="79"/>
  <c r="D46" i="79"/>
  <c r="F33" i="79"/>
  <c r="F61" i="79"/>
  <c r="F31" i="79"/>
  <c r="F23" i="79"/>
  <c r="D24" i="79"/>
  <c r="D23" i="79"/>
  <c r="D22" i="79"/>
  <c r="F21" i="79"/>
  <c r="F20" i="79"/>
  <c r="M19" i="79"/>
  <c r="F18" i="79"/>
  <c r="M17" i="79"/>
  <c r="F17" i="79"/>
  <c r="F15" i="79"/>
  <c r="E53" i="77"/>
  <c r="D53" i="77"/>
  <c r="D55" i="77"/>
  <c r="F21" i="6"/>
  <c r="L43" i="77"/>
  <c r="D1226" i="78"/>
  <c r="C1226" i="78"/>
  <c r="E1226" i="78"/>
  <c r="B1226" i="78"/>
  <c r="D1225" i="78"/>
  <c r="C1225" i="78"/>
  <c r="B1225" i="78"/>
  <c r="D1224" i="78"/>
  <c r="C1224" i="78"/>
  <c r="E1224" i="78"/>
  <c r="B1224" i="78"/>
  <c r="D1223" i="78"/>
  <c r="C1223" i="78"/>
  <c r="B1223" i="78"/>
  <c r="D1222" i="78"/>
  <c r="C1222" i="78"/>
  <c r="E1222" i="78"/>
  <c r="B1222" i="78"/>
  <c r="D1221" i="78"/>
  <c r="C1221" i="78"/>
  <c r="B1221" i="78"/>
  <c r="D1220" i="78"/>
  <c r="C1220" i="78"/>
  <c r="E1220" i="78"/>
  <c r="B1220" i="78"/>
  <c r="D1219" i="78"/>
  <c r="C1219" i="78"/>
  <c r="B1219" i="78"/>
  <c r="D1218" i="78"/>
  <c r="C1218" i="78"/>
  <c r="E1218" i="78"/>
  <c r="B1218" i="78"/>
  <c r="D1217" i="78"/>
  <c r="C1217" i="78"/>
  <c r="B1217" i="78"/>
  <c r="D1216" i="78"/>
  <c r="C1216" i="78"/>
  <c r="E1216" i="78"/>
  <c r="B1216" i="78"/>
  <c r="D1215" i="78"/>
  <c r="C1215" i="78"/>
  <c r="B1215" i="78"/>
  <c r="D1214" i="78"/>
  <c r="C1214" i="78"/>
  <c r="E1214" i="78"/>
  <c r="B1214" i="78"/>
  <c r="D1213" i="78"/>
  <c r="C1213" i="78"/>
  <c r="B1213" i="78"/>
  <c r="D1212" i="78"/>
  <c r="C1212" i="78"/>
  <c r="E1212" i="78"/>
  <c r="B1212" i="78"/>
  <c r="D1211" i="78"/>
  <c r="C1211" i="78"/>
  <c r="B1211" i="78"/>
  <c r="D1210" i="78"/>
  <c r="C1210" i="78"/>
  <c r="E1210" i="78"/>
  <c r="B1210" i="78"/>
  <c r="D1209" i="78"/>
  <c r="C1209" i="78"/>
  <c r="B1209" i="78"/>
  <c r="D1208" i="78"/>
  <c r="C1208" i="78"/>
  <c r="E1208" i="78"/>
  <c r="B1208" i="78"/>
  <c r="D1207" i="78"/>
  <c r="C1207" i="78"/>
  <c r="B1207" i="78"/>
  <c r="D1206" i="78"/>
  <c r="C1206" i="78"/>
  <c r="E1206" i="78"/>
  <c r="B1206" i="78"/>
  <c r="D1205" i="78"/>
  <c r="C1205" i="78"/>
  <c r="B1205" i="78"/>
  <c r="D1204" i="78"/>
  <c r="C1204" i="78"/>
  <c r="E1204" i="78"/>
  <c r="B1204" i="78"/>
  <c r="D1203" i="78"/>
  <c r="C1203" i="78"/>
  <c r="B1203" i="78"/>
  <c r="D1202" i="78"/>
  <c r="C1202" i="78"/>
  <c r="E1202" i="78"/>
  <c r="B1202" i="78"/>
  <c r="D1201" i="78"/>
  <c r="C1201" i="78"/>
  <c r="B1201" i="78"/>
  <c r="D1200" i="78"/>
  <c r="C1200" i="78"/>
  <c r="E1200" i="78"/>
  <c r="B1200" i="78"/>
  <c r="D1199" i="78"/>
  <c r="C1199" i="78"/>
  <c r="B1199" i="78"/>
  <c r="D1198" i="78"/>
  <c r="C1198" i="78"/>
  <c r="E1198" i="78"/>
  <c r="B1198" i="78"/>
  <c r="D1197" i="78"/>
  <c r="C1197" i="78"/>
  <c r="B1197" i="78"/>
  <c r="D1196" i="78"/>
  <c r="C1196" i="78"/>
  <c r="E1196" i="78"/>
  <c r="B1196" i="78"/>
  <c r="D1195" i="78"/>
  <c r="C1195" i="78"/>
  <c r="E1195" i="78"/>
  <c r="B1195" i="78"/>
  <c r="D1194" i="78"/>
  <c r="C1194" i="78"/>
  <c r="E1194" i="78"/>
  <c r="B1194" i="78"/>
  <c r="D1193" i="78"/>
  <c r="C1193" i="78"/>
  <c r="E1193" i="78"/>
  <c r="B1193" i="78"/>
  <c r="D1192" i="78"/>
  <c r="C1192" i="78"/>
  <c r="E1192" i="78"/>
  <c r="B1192" i="78"/>
  <c r="D1191" i="78"/>
  <c r="C1191" i="78"/>
  <c r="E1191" i="78"/>
  <c r="B1191" i="78"/>
  <c r="D1190" i="78"/>
  <c r="C1190" i="78"/>
  <c r="E1190" i="78"/>
  <c r="B1190" i="78"/>
  <c r="D1189" i="78"/>
  <c r="C1189" i="78"/>
  <c r="E1189" i="78"/>
  <c r="B1189" i="78"/>
  <c r="D1188" i="78"/>
  <c r="C1188" i="78"/>
  <c r="E1188" i="78"/>
  <c r="B1188" i="78"/>
  <c r="D1187" i="78"/>
  <c r="C1187" i="78"/>
  <c r="E1187" i="78"/>
  <c r="B1187" i="78"/>
  <c r="D1186" i="78"/>
  <c r="C1186" i="78"/>
  <c r="B1186" i="78"/>
  <c r="D1185" i="78"/>
  <c r="C1185" i="78"/>
  <c r="E1185" i="78"/>
  <c r="B1185" i="78"/>
  <c r="D1184" i="78"/>
  <c r="C1184" i="78"/>
  <c r="E1184" i="78"/>
  <c r="B1184" i="78"/>
  <c r="D1183" i="78"/>
  <c r="C1183" i="78"/>
  <c r="E1183" i="78"/>
  <c r="B1183" i="78"/>
  <c r="D1182" i="78"/>
  <c r="C1182" i="78"/>
  <c r="E1182" i="78"/>
  <c r="B1182" i="78"/>
  <c r="D1181" i="78"/>
  <c r="C1181" i="78"/>
  <c r="E1181" i="78"/>
  <c r="B1181" i="78"/>
  <c r="D1180" i="78"/>
  <c r="C1180" i="78"/>
  <c r="E1180" i="78"/>
  <c r="B1180" i="78"/>
  <c r="D1179" i="78"/>
  <c r="C1179" i="78"/>
  <c r="E1179" i="78"/>
  <c r="B1179" i="78"/>
  <c r="D1178" i="78"/>
  <c r="C1178" i="78"/>
  <c r="E1178" i="78"/>
  <c r="B1178" i="78"/>
  <c r="D1177" i="78"/>
  <c r="C1177" i="78"/>
  <c r="E1177" i="78"/>
  <c r="B1177" i="78"/>
  <c r="D1176" i="78"/>
  <c r="C1176" i="78"/>
  <c r="E1176" i="78"/>
  <c r="B1176" i="78"/>
  <c r="D1175" i="78"/>
  <c r="C1175" i="78"/>
  <c r="E1175" i="78"/>
  <c r="B1175" i="78"/>
  <c r="D1174" i="78"/>
  <c r="C1174" i="78"/>
  <c r="E1174" i="78"/>
  <c r="B1174" i="78"/>
  <c r="D1173" i="78"/>
  <c r="C1173" i="78"/>
  <c r="E1173" i="78"/>
  <c r="B1173" i="78"/>
  <c r="D1172" i="78"/>
  <c r="C1172" i="78"/>
  <c r="E1172" i="78"/>
  <c r="B1172" i="78"/>
  <c r="D1171" i="78"/>
  <c r="C1171" i="78"/>
  <c r="E1171" i="78"/>
  <c r="B1171" i="78"/>
  <c r="D1170" i="78"/>
  <c r="C1170" i="78"/>
  <c r="E1170" i="78"/>
  <c r="B1170" i="78"/>
  <c r="D1169" i="78"/>
  <c r="C1169" i="78"/>
  <c r="E1169" i="78"/>
  <c r="B1169" i="78"/>
  <c r="D1168" i="78"/>
  <c r="C1168" i="78"/>
  <c r="E1168" i="78"/>
  <c r="B1168" i="78"/>
  <c r="D1167" i="78"/>
  <c r="C1167" i="78"/>
  <c r="E1167" i="78"/>
  <c r="B1167" i="78"/>
  <c r="D1166" i="78"/>
  <c r="C1166" i="78"/>
  <c r="E1166" i="78"/>
  <c r="B1166" i="78"/>
  <c r="D1165" i="78"/>
  <c r="C1165" i="78"/>
  <c r="E1165" i="78"/>
  <c r="B1165" i="78"/>
  <c r="D1164" i="78"/>
  <c r="C1164" i="78"/>
  <c r="E1164" i="78"/>
  <c r="B1164" i="78"/>
  <c r="D1163" i="78"/>
  <c r="C1163" i="78"/>
  <c r="E1163" i="78"/>
  <c r="B1163" i="78"/>
  <c r="D1162" i="78"/>
  <c r="C1162" i="78"/>
  <c r="E1162" i="78"/>
  <c r="B1162" i="78"/>
  <c r="D1161" i="78"/>
  <c r="C1161" i="78"/>
  <c r="E1161" i="78"/>
  <c r="B1161" i="78"/>
  <c r="D1160" i="78"/>
  <c r="C1160" i="78"/>
  <c r="B1160" i="78"/>
  <c r="D1159" i="78"/>
  <c r="C1159" i="78"/>
  <c r="E1159" i="78"/>
  <c r="B1159" i="78"/>
  <c r="D1158" i="78"/>
  <c r="C1158" i="78"/>
  <c r="E1158" i="78"/>
  <c r="B1158" i="78"/>
  <c r="D1157" i="78"/>
  <c r="C1157" i="78"/>
  <c r="E1157" i="78"/>
  <c r="B1157" i="78"/>
  <c r="D1156" i="78"/>
  <c r="C1156" i="78"/>
  <c r="E1156" i="78"/>
  <c r="B1156" i="78"/>
  <c r="D1155" i="78"/>
  <c r="C1155" i="78"/>
  <c r="E1155" i="78"/>
  <c r="B1155" i="78"/>
  <c r="D1154" i="78"/>
  <c r="C1154" i="78"/>
  <c r="E1154" i="78"/>
  <c r="B1154" i="78"/>
  <c r="D1153" i="78"/>
  <c r="C1153" i="78"/>
  <c r="E1153" i="78"/>
  <c r="B1153" i="78"/>
  <c r="D1152" i="78"/>
  <c r="C1152" i="78"/>
  <c r="E1152" i="78"/>
  <c r="B1152" i="78"/>
  <c r="D1151" i="78"/>
  <c r="C1151" i="78"/>
  <c r="E1151" i="78"/>
  <c r="B1151" i="78"/>
  <c r="D1150" i="78"/>
  <c r="C1150" i="78"/>
  <c r="E1150" i="78"/>
  <c r="B1150" i="78"/>
  <c r="D1149" i="78"/>
  <c r="C1149" i="78"/>
  <c r="E1149" i="78"/>
  <c r="B1149" i="78"/>
  <c r="D1148" i="78"/>
  <c r="C1148" i="78"/>
  <c r="B1148" i="78"/>
  <c r="D1147" i="78"/>
  <c r="C1147" i="78"/>
  <c r="E1147" i="78"/>
  <c r="B1147" i="78"/>
  <c r="D1146" i="78"/>
  <c r="C1146" i="78"/>
  <c r="E1146" i="78"/>
  <c r="B1146" i="78"/>
  <c r="D1145" i="78"/>
  <c r="C1145" i="78"/>
  <c r="E1145" i="78"/>
  <c r="B1145" i="78"/>
  <c r="D1144" i="78"/>
  <c r="C1144" i="78"/>
  <c r="E1144" i="78"/>
  <c r="B1144" i="78"/>
  <c r="D1143" i="78"/>
  <c r="C1143" i="78"/>
  <c r="E1143" i="78"/>
  <c r="B1143" i="78"/>
  <c r="D1142" i="78"/>
  <c r="C1142" i="78"/>
  <c r="E1142" i="78"/>
  <c r="B1142" i="78"/>
  <c r="D1141" i="78"/>
  <c r="C1141" i="78"/>
  <c r="E1141" i="78"/>
  <c r="B1141" i="78"/>
  <c r="D1140" i="78"/>
  <c r="C1140" i="78"/>
  <c r="E1140" i="78"/>
  <c r="B1140" i="78"/>
  <c r="D1139" i="78"/>
  <c r="C1139" i="78"/>
  <c r="E1139" i="78"/>
  <c r="B1139" i="78"/>
  <c r="D1138" i="78"/>
  <c r="C1138" i="78"/>
  <c r="E1138" i="78"/>
  <c r="B1138" i="78"/>
  <c r="D1137" i="78"/>
  <c r="C1137" i="78"/>
  <c r="E1137" i="78"/>
  <c r="B1137" i="78"/>
  <c r="D1136" i="78"/>
  <c r="C1136" i="78"/>
  <c r="E1136" i="78"/>
  <c r="B1136" i="78"/>
  <c r="D1135" i="78"/>
  <c r="C1135" i="78"/>
  <c r="E1135" i="78"/>
  <c r="B1135" i="78"/>
  <c r="D1134" i="78"/>
  <c r="C1134" i="78"/>
  <c r="E1134" i="78"/>
  <c r="B1134" i="78"/>
  <c r="D1133" i="78"/>
  <c r="C1133" i="78"/>
  <c r="E1133" i="78"/>
  <c r="B1133" i="78"/>
  <c r="D1132" i="78"/>
  <c r="C1132" i="78"/>
  <c r="E1132" i="78"/>
  <c r="B1132" i="78"/>
  <c r="D1131" i="78"/>
  <c r="C1131" i="78"/>
  <c r="B1131" i="78"/>
  <c r="D1130" i="78"/>
  <c r="C1130" i="78"/>
  <c r="E1130" i="78"/>
  <c r="B1130" i="78"/>
  <c r="D1129" i="78"/>
  <c r="C1129" i="78"/>
  <c r="B1129" i="78"/>
  <c r="D1128" i="78"/>
  <c r="C1128" i="78"/>
  <c r="E1128" i="78"/>
  <c r="B1128" i="78"/>
  <c r="D1127" i="78"/>
  <c r="C1127" i="78"/>
  <c r="B1127" i="78"/>
  <c r="D1126" i="78"/>
  <c r="C1126" i="78"/>
  <c r="E1126" i="78"/>
  <c r="B1126" i="78"/>
  <c r="D1125" i="78"/>
  <c r="C1125" i="78"/>
  <c r="B1125" i="78"/>
  <c r="D1124" i="78"/>
  <c r="C1124" i="78"/>
  <c r="E1124" i="78"/>
  <c r="B1124" i="78"/>
  <c r="D1123" i="78"/>
  <c r="C1123" i="78"/>
  <c r="E1123" i="78"/>
  <c r="B1123" i="78"/>
  <c r="D1122" i="78"/>
  <c r="C1122" i="78"/>
  <c r="E1122" i="78"/>
  <c r="B1122" i="78"/>
  <c r="D1121" i="78"/>
  <c r="C1121" i="78"/>
  <c r="E1121" i="78"/>
  <c r="B1121" i="78"/>
  <c r="D1120" i="78"/>
  <c r="C1120" i="78"/>
  <c r="E1120" i="78"/>
  <c r="B1120" i="78"/>
  <c r="D1119" i="78"/>
  <c r="C1119" i="78"/>
  <c r="E1119" i="78"/>
  <c r="B1119" i="78"/>
  <c r="D1118" i="78"/>
  <c r="C1118" i="78"/>
  <c r="E1118" i="78"/>
  <c r="B1118" i="78"/>
  <c r="D1117" i="78"/>
  <c r="C1117" i="78"/>
  <c r="E1117" i="78"/>
  <c r="B1117" i="78"/>
  <c r="D1116" i="78"/>
  <c r="C1116" i="78"/>
  <c r="E1116" i="78"/>
  <c r="B1116" i="78"/>
  <c r="D1115" i="78"/>
  <c r="C1115" i="78"/>
  <c r="E1115" i="78"/>
  <c r="B1115" i="78"/>
  <c r="D1114" i="78"/>
  <c r="C1114" i="78"/>
  <c r="E1114" i="78"/>
  <c r="B1114" i="78"/>
  <c r="D1113" i="78"/>
  <c r="C1113" i="78"/>
  <c r="E1113" i="78"/>
  <c r="B1113" i="78"/>
  <c r="D1112" i="78"/>
  <c r="C1112" i="78"/>
  <c r="E1112" i="78"/>
  <c r="B1112" i="78"/>
  <c r="D1111" i="78"/>
  <c r="C1111" i="78"/>
  <c r="E1111" i="78"/>
  <c r="B1111" i="78"/>
  <c r="D1110" i="78"/>
  <c r="C1110" i="78"/>
  <c r="E1110" i="78"/>
  <c r="B1110" i="78"/>
  <c r="D1109" i="78"/>
  <c r="C1109" i="78"/>
  <c r="E1109" i="78"/>
  <c r="B1109" i="78"/>
  <c r="D1108" i="78"/>
  <c r="C1108" i="78"/>
  <c r="E1108" i="78"/>
  <c r="B1108" i="78"/>
  <c r="D1107" i="78"/>
  <c r="C1107" i="78"/>
  <c r="E1107" i="78"/>
  <c r="B1107" i="78"/>
  <c r="D1106" i="78"/>
  <c r="C1106" i="78"/>
  <c r="E1106" i="78"/>
  <c r="B1106" i="78"/>
  <c r="D1105" i="78"/>
  <c r="C1105" i="78"/>
  <c r="E1105" i="78"/>
  <c r="B1105" i="78"/>
  <c r="D1104" i="78"/>
  <c r="C1104" i="78"/>
  <c r="E1104" i="78"/>
  <c r="B1104" i="78"/>
  <c r="D1103" i="78"/>
  <c r="C1103" i="78"/>
  <c r="E1103" i="78"/>
  <c r="B1103" i="78"/>
  <c r="D1102" i="78"/>
  <c r="C1102" i="78"/>
  <c r="E1102" i="78"/>
  <c r="B1102" i="78"/>
  <c r="D1101" i="78"/>
  <c r="C1101" i="78"/>
  <c r="B1101" i="78"/>
  <c r="D1100" i="78"/>
  <c r="C1100" i="78"/>
  <c r="E1100" i="78"/>
  <c r="B1100" i="78"/>
  <c r="D1099" i="78"/>
  <c r="C1099" i="78"/>
  <c r="B1099" i="78"/>
  <c r="D1098" i="78"/>
  <c r="C1098" i="78"/>
  <c r="E1098" i="78"/>
  <c r="B1098" i="78"/>
  <c r="D1097" i="78"/>
  <c r="C1097" i="78"/>
  <c r="E1097" i="78"/>
  <c r="B1097" i="78"/>
  <c r="D1096" i="78"/>
  <c r="C1096" i="78"/>
  <c r="E1096" i="78"/>
  <c r="B1096" i="78"/>
  <c r="D1095" i="78"/>
  <c r="C1095" i="78"/>
  <c r="E1095" i="78"/>
  <c r="B1095" i="78"/>
  <c r="D1094" i="78"/>
  <c r="C1094" i="78"/>
  <c r="E1094" i="78"/>
  <c r="B1094" i="78"/>
  <c r="D1093" i="78"/>
  <c r="C1093" i="78"/>
  <c r="E1093" i="78"/>
  <c r="B1093" i="78"/>
  <c r="D1092" i="78"/>
  <c r="C1092" i="78"/>
  <c r="E1092" i="78"/>
  <c r="B1092" i="78"/>
  <c r="D1091" i="78"/>
  <c r="C1091" i="78"/>
  <c r="E1091" i="78"/>
  <c r="B1091" i="78"/>
  <c r="D1090" i="78"/>
  <c r="C1090" i="78"/>
  <c r="E1090" i="78"/>
  <c r="B1090" i="78"/>
  <c r="D1089" i="78"/>
  <c r="C1089" i="78"/>
  <c r="E1089" i="78"/>
  <c r="B1089" i="78"/>
  <c r="D1088" i="78"/>
  <c r="C1088" i="78"/>
  <c r="E1088" i="78"/>
  <c r="B1088" i="78"/>
  <c r="D1087" i="78"/>
  <c r="C1087" i="78"/>
  <c r="E1087" i="78"/>
  <c r="B1087" i="78"/>
  <c r="D1086" i="78"/>
  <c r="C1086" i="78"/>
  <c r="E1086" i="78"/>
  <c r="B1086" i="78"/>
  <c r="D1085" i="78"/>
  <c r="C1085" i="78"/>
  <c r="E1085" i="78"/>
  <c r="B1085" i="78"/>
  <c r="D1084" i="78"/>
  <c r="C1084" i="78"/>
  <c r="E1084" i="78"/>
  <c r="B1084" i="78"/>
  <c r="D1083" i="78"/>
  <c r="C1083" i="78"/>
  <c r="E1083" i="78"/>
  <c r="B1083" i="78"/>
  <c r="D1082" i="78"/>
  <c r="C1082" i="78"/>
  <c r="E1082" i="78"/>
  <c r="B1082" i="78"/>
  <c r="D1081" i="78"/>
  <c r="C1081" i="78"/>
  <c r="E1081" i="78"/>
  <c r="B1081" i="78"/>
  <c r="D1080" i="78"/>
  <c r="C1080" i="78"/>
  <c r="E1080" i="78"/>
  <c r="B1080" i="78"/>
  <c r="D1079" i="78"/>
  <c r="C1079" i="78"/>
  <c r="E1079" i="78"/>
  <c r="B1079" i="78"/>
  <c r="D1078" i="78"/>
  <c r="C1078" i="78"/>
  <c r="E1078" i="78"/>
  <c r="B1078" i="78"/>
  <c r="D1077" i="78"/>
  <c r="C1077" i="78"/>
  <c r="E1077" i="78"/>
  <c r="B1077" i="78"/>
  <c r="D1076" i="78"/>
  <c r="C1076" i="78"/>
  <c r="E1076" i="78"/>
  <c r="B1076" i="78"/>
  <c r="D1075" i="78"/>
  <c r="C1075" i="78"/>
  <c r="E1075" i="78"/>
  <c r="B1075" i="78"/>
  <c r="D1074" i="78"/>
  <c r="C1074" i="78"/>
  <c r="E1074" i="78"/>
  <c r="B1074" i="78"/>
  <c r="D1073" i="78"/>
  <c r="C1073" i="78"/>
  <c r="E1073" i="78"/>
  <c r="B1073" i="78"/>
  <c r="D1072" i="78"/>
  <c r="C1072" i="78"/>
  <c r="E1072" i="78"/>
  <c r="B1072" i="78"/>
  <c r="D1071" i="78"/>
  <c r="C1071" i="78"/>
  <c r="E1071" i="78"/>
  <c r="B1071" i="78"/>
  <c r="D1070" i="78"/>
  <c r="C1070" i="78"/>
  <c r="E1070" i="78"/>
  <c r="B1070" i="78"/>
  <c r="D1069" i="78"/>
  <c r="C1069" i="78"/>
  <c r="E1069" i="78"/>
  <c r="B1069" i="78"/>
  <c r="D1068" i="78"/>
  <c r="C1068" i="78"/>
  <c r="E1068" i="78"/>
  <c r="B1068" i="78"/>
  <c r="D1067" i="78"/>
  <c r="C1067" i="78"/>
  <c r="E1067" i="78"/>
  <c r="B1067" i="78"/>
  <c r="D1066" i="78"/>
  <c r="C1066" i="78"/>
  <c r="E1066" i="78"/>
  <c r="B1066" i="78"/>
  <c r="D1065" i="78"/>
  <c r="C1065" i="78"/>
  <c r="E1065" i="78"/>
  <c r="B1065" i="78"/>
  <c r="D1064" i="78"/>
  <c r="C1064" i="78"/>
  <c r="E1064" i="78"/>
  <c r="B1064" i="78"/>
  <c r="D1063" i="78"/>
  <c r="C1063" i="78"/>
  <c r="E1063" i="78"/>
  <c r="B1063" i="78"/>
  <c r="D1062" i="78"/>
  <c r="C1062" i="78"/>
  <c r="E1062" i="78"/>
  <c r="B1062" i="78"/>
  <c r="D1061" i="78"/>
  <c r="C1061" i="78"/>
  <c r="E1061" i="78"/>
  <c r="B1061" i="78"/>
  <c r="D1060" i="78"/>
  <c r="C1060" i="78"/>
  <c r="E1060" i="78"/>
  <c r="B1060" i="78"/>
  <c r="D1059" i="78"/>
  <c r="C1059" i="78"/>
  <c r="E1059" i="78"/>
  <c r="B1059" i="78"/>
  <c r="D1058" i="78"/>
  <c r="C1058" i="78"/>
  <c r="E1058" i="78"/>
  <c r="B1058" i="78"/>
  <c r="D1057" i="78"/>
  <c r="C1057" i="78"/>
  <c r="E1057" i="78"/>
  <c r="B1057" i="78"/>
  <c r="D1056" i="78"/>
  <c r="C1056" i="78"/>
  <c r="E1056" i="78"/>
  <c r="B1056" i="78"/>
  <c r="D1055" i="78"/>
  <c r="C1055" i="78"/>
  <c r="E1055" i="78"/>
  <c r="B1055" i="78"/>
  <c r="D1054" i="78"/>
  <c r="C1054" i="78"/>
  <c r="E1054" i="78"/>
  <c r="B1054" i="78"/>
  <c r="D1053" i="78"/>
  <c r="C1053" i="78"/>
  <c r="E1053" i="78"/>
  <c r="B1053" i="78"/>
  <c r="D1052" i="78"/>
  <c r="C1052" i="78"/>
  <c r="E1052" i="78"/>
  <c r="B1052" i="78"/>
  <c r="D1051" i="78"/>
  <c r="C1051" i="78"/>
  <c r="E1051" i="78"/>
  <c r="B1051" i="78"/>
  <c r="D1050" i="78"/>
  <c r="C1050" i="78"/>
  <c r="E1050" i="78"/>
  <c r="B1050" i="78"/>
  <c r="D1049" i="78"/>
  <c r="C1049" i="78"/>
  <c r="E1049" i="78"/>
  <c r="B1049" i="78"/>
  <c r="D1048" i="78"/>
  <c r="C1048" i="78"/>
  <c r="E1048" i="78"/>
  <c r="B1048" i="78"/>
  <c r="D1047" i="78"/>
  <c r="C1047" i="78"/>
  <c r="E1047" i="78"/>
  <c r="B1047" i="78"/>
  <c r="D1046" i="78"/>
  <c r="C1046" i="78"/>
  <c r="E1046" i="78"/>
  <c r="B1046" i="78"/>
  <c r="D1045" i="78"/>
  <c r="C1045" i="78"/>
  <c r="E1045" i="78"/>
  <c r="B1045" i="78"/>
  <c r="D1044" i="78"/>
  <c r="C1044" i="78"/>
  <c r="E1044" i="78"/>
  <c r="B1044" i="78"/>
  <c r="D1043" i="78"/>
  <c r="C1043" i="78"/>
  <c r="E1043" i="78"/>
  <c r="B1043" i="78"/>
  <c r="D1042" i="78"/>
  <c r="C1042" i="78"/>
  <c r="E1042" i="78"/>
  <c r="B1042" i="78"/>
  <c r="D1041" i="78"/>
  <c r="C1041" i="78"/>
  <c r="E1041" i="78"/>
  <c r="B1041" i="78"/>
  <c r="D1040" i="78"/>
  <c r="C1040" i="78"/>
  <c r="E1040" i="78"/>
  <c r="B1040" i="78"/>
  <c r="D1039" i="78"/>
  <c r="C1039" i="78"/>
  <c r="E1039" i="78"/>
  <c r="B1039" i="78"/>
  <c r="D1038" i="78"/>
  <c r="C1038" i="78"/>
  <c r="E1038" i="78"/>
  <c r="B1038" i="78"/>
  <c r="D1037" i="78"/>
  <c r="C1037" i="78"/>
  <c r="E1037" i="78"/>
  <c r="B1037" i="78"/>
  <c r="D1036" i="78"/>
  <c r="C1036" i="78"/>
  <c r="E1036" i="78"/>
  <c r="B1036" i="78"/>
  <c r="D1035" i="78"/>
  <c r="C1035" i="78"/>
  <c r="E1035" i="78"/>
  <c r="B1035" i="78"/>
  <c r="D1034" i="78"/>
  <c r="C1034" i="78"/>
  <c r="E1034" i="78"/>
  <c r="B1034" i="78"/>
  <c r="D1033" i="78"/>
  <c r="C1033" i="78"/>
  <c r="E1033" i="78"/>
  <c r="B1033" i="78"/>
  <c r="D1032" i="78"/>
  <c r="C1032" i="78"/>
  <c r="E1032" i="78"/>
  <c r="B1032" i="78"/>
  <c r="D1031" i="78"/>
  <c r="C1031" i="78"/>
  <c r="E1031" i="78"/>
  <c r="B1031" i="78"/>
  <c r="D1030" i="78"/>
  <c r="C1030" i="78"/>
  <c r="E1030" i="78"/>
  <c r="B1030" i="78"/>
  <c r="D1029" i="78"/>
  <c r="C1029" i="78"/>
  <c r="E1029" i="78"/>
  <c r="B1029" i="78"/>
  <c r="D1028" i="78"/>
  <c r="C1028" i="78"/>
  <c r="E1028" i="78"/>
  <c r="Y39" i="77"/>
  <c r="B1028" i="78"/>
  <c r="D1027" i="78"/>
  <c r="C1027" i="78"/>
  <c r="B1027" i="78"/>
  <c r="D1026" i="78"/>
  <c r="C1026" i="78"/>
  <c r="E1026" i="78"/>
  <c r="B1026" i="78"/>
  <c r="D1025" i="78"/>
  <c r="C1025" i="78"/>
  <c r="B1025" i="78"/>
  <c r="D1024" i="78"/>
  <c r="C1024" i="78"/>
  <c r="E1024" i="78"/>
  <c r="B1024" i="78"/>
  <c r="D1023" i="78"/>
  <c r="C1023" i="78"/>
  <c r="B1023" i="78"/>
  <c r="D1022" i="78"/>
  <c r="C1022" i="78"/>
  <c r="E1022" i="78"/>
  <c r="B1022" i="78"/>
  <c r="D1021" i="78"/>
  <c r="C1021" i="78"/>
  <c r="B1021" i="78"/>
  <c r="D1020" i="78"/>
  <c r="C1020" i="78"/>
  <c r="E1020" i="78"/>
  <c r="B1020" i="78"/>
  <c r="D1019" i="78"/>
  <c r="C1019" i="78"/>
  <c r="B1019" i="78"/>
  <c r="D1018" i="78"/>
  <c r="C1018" i="78"/>
  <c r="E1018" i="78"/>
  <c r="B1018" i="78"/>
  <c r="D1017" i="78"/>
  <c r="C1017" i="78"/>
  <c r="B1017" i="78"/>
  <c r="D1016" i="78"/>
  <c r="C1016" i="78"/>
  <c r="E1016" i="78"/>
  <c r="B1016" i="78"/>
  <c r="D1015" i="78"/>
  <c r="C1015" i="78"/>
  <c r="B1015" i="78"/>
  <c r="D1014" i="78"/>
  <c r="C1014" i="78"/>
  <c r="E1014" i="78"/>
  <c r="B1014" i="78"/>
  <c r="D1013" i="78"/>
  <c r="C1013" i="78"/>
  <c r="B1013" i="78"/>
  <c r="D1012" i="78"/>
  <c r="C1012" i="78"/>
  <c r="E1012" i="78"/>
  <c r="B1012" i="78"/>
  <c r="D1011" i="78"/>
  <c r="C1011" i="78"/>
  <c r="B1011" i="78"/>
  <c r="D1010" i="78"/>
  <c r="C1010" i="78"/>
  <c r="E1010" i="78"/>
  <c r="B1010" i="78"/>
  <c r="D1009" i="78"/>
  <c r="C1009" i="78"/>
  <c r="B1009" i="78"/>
  <c r="D1008" i="78"/>
  <c r="C1008" i="78"/>
  <c r="E1008" i="78"/>
  <c r="B1008" i="78"/>
  <c r="D1007" i="78"/>
  <c r="C1007" i="78"/>
  <c r="B1007" i="78"/>
  <c r="D1006" i="78"/>
  <c r="C1006" i="78"/>
  <c r="E1006" i="78"/>
  <c r="B1006" i="78"/>
  <c r="D1005" i="78"/>
  <c r="C1005" i="78"/>
  <c r="B1005" i="78"/>
  <c r="D1004" i="78"/>
  <c r="C1004" i="78"/>
  <c r="E1004" i="78"/>
  <c r="B1004" i="78"/>
  <c r="D1003" i="78"/>
  <c r="C1003" i="78"/>
  <c r="B1003" i="78"/>
  <c r="D1002" i="78"/>
  <c r="C1002" i="78"/>
  <c r="E1002" i="78"/>
  <c r="B1002" i="78"/>
  <c r="D1001" i="78"/>
  <c r="C1001" i="78"/>
  <c r="B1001" i="78"/>
  <c r="D1000" i="78"/>
  <c r="C1000" i="78"/>
  <c r="E1000" i="78"/>
  <c r="B1000" i="78"/>
  <c r="D999" i="78"/>
  <c r="C999" i="78"/>
  <c r="B999" i="78"/>
  <c r="D998" i="78"/>
  <c r="C998" i="78"/>
  <c r="E998" i="78"/>
  <c r="B998" i="78"/>
  <c r="D997" i="78"/>
  <c r="C997" i="78"/>
  <c r="B997" i="78"/>
  <c r="D996" i="78"/>
  <c r="C996" i="78"/>
  <c r="E996" i="78"/>
  <c r="B996" i="78"/>
  <c r="D995" i="78"/>
  <c r="C995" i="78"/>
  <c r="B995" i="78"/>
  <c r="D994" i="78"/>
  <c r="C994" i="78"/>
  <c r="E994" i="78"/>
  <c r="B994" i="78"/>
  <c r="D993" i="78"/>
  <c r="C993" i="78"/>
  <c r="B993" i="78"/>
  <c r="D992" i="78"/>
  <c r="C992" i="78"/>
  <c r="E992" i="78"/>
  <c r="B992" i="78"/>
  <c r="D991" i="78"/>
  <c r="C991" i="78"/>
  <c r="B991" i="78"/>
  <c r="D990" i="78"/>
  <c r="C990" i="78"/>
  <c r="E990" i="78"/>
  <c r="B990" i="78"/>
  <c r="D989" i="78"/>
  <c r="C989" i="78"/>
  <c r="B989" i="78"/>
  <c r="D988" i="78"/>
  <c r="C988" i="78"/>
  <c r="E988" i="78"/>
  <c r="B988" i="78"/>
  <c r="D987" i="78"/>
  <c r="C987" i="78"/>
  <c r="B987" i="78"/>
  <c r="D986" i="78"/>
  <c r="C986" i="78"/>
  <c r="E986" i="78"/>
  <c r="B986" i="78"/>
  <c r="D985" i="78"/>
  <c r="C985" i="78"/>
  <c r="B985" i="78"/>
  <c r="D984" i="78"/>
  <c r="C984" i="78"/>
  <c r="E984" i="78"/>
  <c r="B984" i="78"/>
  <c r="D983" i="78"/>
  <c r="C983" i="78"/>
  <c r="B983" i="78"/>
  <c r="D982" i="78"/>
  <c r="C982" i="78"/>
  <c r="E982" i="78"/>
  <c r="B982" i="78"/>
  <c r="D981" i="78"/>
  <c r="C981" i="78"/>
  <c r="B981" i="78"/>
  <c r="D980" i="78"/>
  <c r="C980" i="78"/>
  <c r="E980" i="78"/>
  <c r="B980" i="78"/>
  <c r="D979" i="78"/>
  <c r="C979" i="78"/>
  <c r="B979" i="78"/>
  <c r="D978" i="78"/>
  <c r="C978" i="78"/>
  <c r="E978" i="78"/>
  <c r="B978" i="78"/>
  <c r="D977" i="78"/>
  <c r="C977" i="78"/>
  <c r="B977" i="78"/>
  <c r="D976" i="78"/>
  <c r="C976" i="78"/>
  <c r="E976" i="78"/>
  <c r="B976" i="78"/>
  <c r="D975" i="78"/>
  <c r="C975" i="78"/>
  <c r="B975" i="78"/>
  <c r="D974" i="78"/>
  <c r="C974" i="78"/>
  <c r="E974" i="78"/>
  <c r="B974" i="78"/>
  <c r="D973" i="78"/>
  <c r="C973" i="78"/>
  <c r="B973" i="78"/>
  <c r="D972" i="78"/>
  <c r="C972" i="78"/>
  <c r="E972" i="78"/>
  <c r="B972" i="78"/>
  <c r="D971" i="78"/>
  <c r="C971" i="78"/>
  <c r="B971" i="78"/>
  <c r="D970" i="78"/>
  <c r="C970" i="78"/>
  <c r="E970" i="78"/>
  <c r="B970" i="78"/>
  <c r="D969" i="78"/>
  <c r="C969" i="78"/>
  <c r="B969" i="78"/>
  <c r="D968" i="78"/>
  <c r="C968" i="78"/>
  <c r="E968" i="78"/>
  <c r="B968" i="78"/>
  <c r="D967" i="78"/>
  <c r="C967" i="78"/>
  <c r="B967" i="78"/>
  <c r="D966" i="78"/>
  <c r="C966" i="78"/>
  <c r="E966" i="78"/>
  <c r="B966" i="78"/>
  <c r="D965" i="78"/>
  <c r="C965" i="78"/>
  <c r="B965" i="78"/>
  <c r="D964" i="78"/>
  <c r="C964" i="78"/>
  <c r="E964" i="78"/>
  <c r="B964" i="78"/>
  <c r="D963" i="78"/>
  <c r="C963" i="78"/>
  <c r="B963" i="78"/>
  <c r="D962" i="78"/>
  <c r="C962" i="78"/>
  <c r="E962" i="78"/>
  <c r="B962" i="78"/>
  <c r="D961" i="78"/>
  <c r="C961" i="78"/>
  <c r="B961" i="78"/>
  <c r="D960" i="78"/>
  <c r="C960" i="78"/>
  <c r="E960" i="78"/>
  <c r="B960" i="78"/>
  <c r="D959" i="78"/>
  <c r="C959" i="78"/>
  <c r="B959" i="78"/>
  <c r="D958" i="78"/>
  <c r="C958" i="78"/>
  <c r="E958" i="78"/>
  <c r="B958" i="78"/>
  <c r="D957" i="78"/>
  <c r="C957" i="78"/>
  <c r="B957" i="78"/>
  <c r="D956" i="78"/>
  <c r="C956" i="78"/>
  <c r="E956" i="78"/>
  <c r="B956" i="78"/>
  <c r="D955" i="78"/>
  <c r="C955" i="78"/>
  <c r="B955" i="78"/>
  <c r="D954" i="78"/>
  <c r="C954" i="78"/>
  <c r="E954" i="78"/>
  <c r="B954" i="78"/>
  <c r="D953" i="78"/>
  <c r="C953" i="78"/>
  <c r="B953" i="78"/>
  <c r="D952" i="78"/>
  <c r="C952" i="78"/>
  <c r="E952" i="78"/>
  <c r="B952" i="78"/>
  <c r="D951" i="78"/>
  <c r="C951" i="78"/>
  <c r="B951" i="78"/>
  <c r="D950" i="78"/>
  <c r="C950" i="78"/>
  <c r="E950" i="78"/>
  <c r="B950" i="78"/>
  <c r="D949" i="78"/>
  <c r="C949" i="78"/>
  <c r="B949" i="78"/>
  <c r="D948" i="78"/>
  <c r="C948" i="78"/>
  <c r="E948" i="78"/>
  <c r="B948" i="78"/>
  <c r="D947" i="78"/>
  <c r="C947" i="78"/>
  <c r="B947" i="78"/>
  <c r="D946" i="78"/>
  <c r="C946" i="78"/>
  <c r="E946" i="78"/>
  <c r="B946" i="78"/>
  <c r="D945" i="78"/>
  <c r="C945" i="78"/>
  <c r="B945" i="78"/>
  <c r="D944" i="78"/>
  <c r="C944" i="78"/>
  <c r="E944" i="78"/>
  <c r="B944" i="78"/>
  <c r="D943" i="78"/>
  <c r="C943" i="78"/>
  <c r="B943" i="78"/>
  <c r="D942" i="78"/>
  <c r="C942" i="78"/>
  <c r="E942" i="78"/>
  <c r="B942" i="78"/>
  <c r="D941" i="78"/>
  <c r="C941" i="78"/>
  <c r="B941" i="78"/>
  <c r="D940" i="78"/>
  <c r="C940" i="78"/>
  <c r="E940" i="78"/>
  <c r="B940" i="78"/>
  <c r="D939" i="78"/>
  <c r="C939" i="78"/>
  <c r="B939" i="78"/>
  <c r="D938" i="78"/>
  <c r="C938" i="78"/>
  <c r="E938" i="78"/>
  <c r="B938" i="78"/>
  <c r="D937" i="78"/>
  <c r="C937" i="78"/>
  <c r="B937" i="78"/>
  <c r="D936" i="78"/>
  <c r="C936" i="78"/>
  <c r="E936" i="78"/>
  <c r="B936" i="78"/>
  <c r="D935" i="78"/>
  <c r="C935" i="78"/>
  <c r="B935" i="78"/>
  <c r="D934" i="78"/>
  <c r="C934" i="78"/>
  <c r="E934" i="78"/>
  <c r="B934" i="78"/>
  <c r="D933" i="78"/>
  <c r="C933" i="78"/>
  <c r="B933" i="78"/>
  <c r="D932" i="78"/>
  <c r="C932" i="78"/>
  <c r="E932" i="78"/>
  <c r="B932" i="78"/>
  <c r="D931" i="78"/>
  <c r="C931" i="78"/>
  <c r="B931" i="78"/>
  <c r="D930" i="78"/>
  <c r="C930" i="78"/>
  <c r="E930" i="78"/>
  <c r="B930" i="78"/>
  <c r="D929" i="78"/>
  <c r="C929" i="78"/>
  <c r="B929" i="78"/>
  <c r="D928" i="78"/>
  <c r="C928" i="78"/>
  <c r="E928" i="78"/>
  <c r="B928" i="78"/>
  <c r="D927" i="78"/>
  <c r="C927" i="78"/>
  <c r="B927" i="78"/>
  <c r="D926" i="78"/>
  <c r="C926" i="78"/>
  <c r="E926" i="78"/>
  <c r="B926" i="78"/>
  <c r="D925" i="78"/>
  <c r="C925" i="78"/>
  <c r="B925" i="78"/>
  <c r="D924" i="78"/>
  <c r="C924" i="78"/>
  <c r="E924" i="78"/>
  <c r="B924" i="78"/>
  <c r="D923" i="78"/>
  <c r="C923" i="78"/>
  <c r="B923" i="78"/>
  <c r="D922" i="78"/>
  <c r="C922" i="78"/>
  <c r="E922" i="78"/>
  <c r="B922" i="78"/>
  <c r="D921" i="78"/>
  <c r="C921" i="78"/>
  <c r="B921" i="78"/>
  <c r="D920" i="78"/>
  <c r="C920" i="78"/>
  <c r="E920" i="78"/>
  <c r="B920" i="78"/>
  <c r="D919" i="78"/>
  <c r="C919" i="78"/>
  <c r="B919" i="78"/>
  <c r="D918" i="78"/>
  <c r="C918" i="78"/>
  <c r="E918" i="78"/>
  <c r="B918" i="78"/>
  <c r="D917" i="78"/>
  <c r="C917" i="78"/>
  <c r="B917" i="78"/>
  <c r="D916" i="78"/>
  <c r="C916" i="78"/>
  <c r="E916" i="78"/>
  <c r="B916" i="78"/>
  <c r="D915" i="78"/>
  <c r="C915" i="78"/>
  <c r="B915" i="78"/>
  <c r="D914" i="78"/>
  <c r="C914" i="78"/>
  <c r="E914" i="78"/>
  <c r="B914" i="78"/>
  <c r="D913" i="78"/>
  <c r="C913" i="78"/>
  <c r="B913" i="78"/>
  <c r="D912" i="78"/>
  <c r="C912" i="78"/>
  <c r="E912" i="78"/>
  <c r="B912" i="78"/>
  <c r="D911" i="78"/>
  <c r="C911" i="78"/>
  <c r="B911" i="78"/>
  <c r="D910" i="78"/>
  <c r="C910" i="78"/>
  <c r="E910" i="78"/>
  <c r="B910" i="78"/>
  <c r="D909" i="78"/>
  <c r="C909" i="78"/>
  <c r="B909" i="78"/>
  <c r="D908" i="78"/>
  <c r="C908" i="78"/>
  <c r="E908" i="78"/>
  <c r="B908" i="78"/>
  <c r="D907" i="78"/>
  <c r="C907" i="78"/>
  <c r="B907" i="78"/>
  <c r="D906" i="78"/>
  <c r="C906" i="78"/>
  <c r="E906" i="78"/>
  <c r="B906" i="78"/>
  <c r="D905" i="78"/>
  <c r="C905" i="78"/>
  <c r="B905" i="78"/>
  <c r="D904" i="78"/>
  <c r="C904" i="78"/>
  <c r="E904" i="78"/>
  <c r="B904" i="78"/>
  <c r="D903" i="78"/>
  <c r="C903" i="78"/>
  <c r="B903" i="78"/>
  <c r="D902" i="78"/>
  <c r="C902" i="78"/>
  <c r="E902" i="78"/>
  <c r="B902" i="78"/>
  <c r="D901" i="78"/>
  <c r="C901" i="78"/>
  <c r="B901" i="78"/>
  <c r="D900" i="78"/>
  <c r="C900" i="78"/>
  <c r="E900" i="78"/>
  <c r="B900" i="78"/>
  <c r="D899" i="78"/>
  <c r="C899" i="78"/>
  <c r="B899" i="78"/>
  <c r="D898" i="78"/>
  <c r="C898" i="78"/>
  <c r="E898" i="78"/>
  <c r="B898" i="78"/>
  <c r="D897" i="78"/>
  <c r="C897" i="78"/>
  <c r="B897" i="78"/>
  <c r="D896" i="78"/>
  <c r="C896" i="78"/>
  <c r="E896" i="78"/>
  <c r="B896" i="78"/>
  <c r="D895" i="78"/>
  <c r="C895" i="78"/>
  <c r="B895" i="78"/>
  <c r="D894" i="78"/>
  <c r="C894" i="78"/>
  <c r="E894" i="78"/>
  <c r="B894" i="78"/>
  <c r="D893" i="78"/>
  <c r="C893" i="78"/>
  <c r="B893" i="78"/>
  <c r="D892" i="78"/>
  <c r="C892" i="78"/>
  <c r="E892" i="78"/>
  <c r="B892" i="78"/>
  <c r="D891" i="78"/>
  <c r="C891" i="78"/>
  <c r="B891" i="78"/>
  <c r="D890" i="78"/>
  <c r="C890" i="78"/>
  <c r="E890" i="78"/>
  <c r="B890" i="78"/>
  <c r="D889" i="78"/>
  <c r="C889" i="78"/>
  <c r="B889" i="78"/>
  <c r="D888" i="78"/>
  <c r="C888" i="78"/>
  <c r="E888" i="78"/>
  <c r="B888" i="78"/>
  <c r="D887" i="78"/>
  <c r="C887" i="78"/>
  <c r="B887" i="78"/>
  <c r="D886" i="78"/>
  <c r="C886" i="78"/>
  <c r="E886" i="78"/>
  <c r="B886" i="78"/>
  <c r="D885" i="78"/>
  <c r="C885" i="78"/>
  <c r="B885" i="78"/>
  <c r="D884" i="78"/>
  <c r="C884" i="78"/>
  <c r="E884" i="78"/>
  <c r="B884" i="78"/>
  <c r="D883" i="78"/>
  <c r="C883" i="78"/>
  <c r="B883" i="78"/>
  <c r="D882" i="78"/>
  <c r="C882" i="78"/>
  <c r="E882" i="78"/>
  <c r="B882" i="78"/>
  <c r="D881" i="78"/>
  <c r="C881" i="78"/>
  <c r="B881" i="78"/>
  <c r="D880" i="78"/>
  <c r="C880" i="78"/>
  <c r="E880" i="78"/>
  <c r="B880" i="78"/>
  <c r="D879" i="78"/>
  <c r="C879" i="78"/>
  <c r="B879" i="78"/>
  <c r="D878" i="78"/>
  <c r="C878" i="78"/>
  <c r="E878" i="78"/>
  <c r="B878" i="78"/>
  <c r="D877" i="78"/>
  <c r="C877" i="78"/>
  <c r="B877" i="78"/>
  <c r="D876" i="78"/>
  <c r="C876" i="78"/>
  <c r="E876" i="78"/>
  <c r="B876" i="78"/>
  <c r="D875" i="78"/>
  <c r="C875" i="78"/>
  <c r="B875" i="78"/>
  <c r="D874" i="78"/>
  <c r="C874" i="78"/>
  <c r="E874" i="78"/>
  <c r="B874" i="78"/>
  <c r="D873" i="78"/>
  <c r="C873" i="78"/>
  <c r="B873" i="78"/>
  <c r="D872" i="78"/>
  <c r="C872" i="78"/>
  <c r="E872" i="78"/>
  <c r="B872" i="78"/>
  <c r="D871" i="78"/>
  <c r="C871" i="78"/>
  <c r="B871" i="78"/>
  <c r="D870" i="78"/>
  <c r="C870" i="78"/>
  <c r="E870" i="78"/>
  <c r="B870" i="78"/>
  <c r="D869" i="78"/>
  <c r="C869" i="78"/>
  <c r="B869" i="78"/>
  <c r="D868" i="78"/>
  <c r="C868" i="78"/>
  <c r="E868" i="78"/>
  <c r="B868" i="78"/>
  <c r="D867" i="78"/>
  <c r="C867" i="78"/>
  <c r="B867" i="78"/>
  <c r="D866" i="78"/>
  <c r="C866" i="78"/>
  <c r="E866" i="78"/>
  <c r="B866" i="78"/>
  <c r="D865" i="78"/>
  <c r="C865" i="78"/>
  <c r="B865" i="78"/>
  <c r="D864" i="78"/>
  <c r="C864" i="78"/>
  <c r="E864" i="78"/>
  <c r="B864" i="78"/>
  <c r="D863" i="78"/>
  <c r="C863" i="78"/>
  <c r="B863" i="78"/>
  <c r="D862" i="78"/>
  <c r="C862" i="78"/>
  <c r="E862" i="78"/>
  <c r="B862" i="78"/>
  <c r="D861" i="78"/>
  <c r="C861" i="78"/>
  <c r="B861" i="78"/>
  <c r="D860" i="78"/>
  <c r="C860" i="78"/>
  <c r="E860" i="78"/>
  <c r="B860" i="78"/>
  <c r="D859" i="78"/>
  <c r="C859" i="78"/>
  <c r="B859" i="78"/>
  <c r="D858" i="78"/>
  <c r="C858" i="78"/>
  <c r="E858" i="78"/>
  <c r="B858" i="78"/>
  <c r="D857" i="78"/>
  <c r="C857" i="78"/>
  <c r="B857" i="78"/>
  <c r="D856" i="78"/>
  <c r="C856" i="78"/>
  <c r="E856" i="78"/>
  <c r="B856" i="78"/>
  <c r="D855" i="78"/>
  <c r="C855" i="78"/>
  <c r="B855" i="78"/>
  <c r="D854" i="78"/>
  <c r="C854" i="78"/>
  <c r="E854" i="78"/>
  <c r="B854" i="78"/>
  <c r="D853" i="78"/>
  <c r="C853" i="78"/>
  <c r="B853" i="78"/>
  <c r="D852" i="78"/>
  <c r="C852" i="78"/>
  <c r="E852" i="78"/>
  <c r="B852" i="78"/>
  <c r="D851" i="78"/>
  <c r="C851" i="78"/>
  <c r="B851" i="78"/>
  <c r="D850" i="78"/>
  <c r="C850" i="78"/>
  <c r="E850" i="78"/>
  <c r="B850" i="78"/>
  <c r="D849" i="78"/>
  <c r="C849" i="78"/>
  <c r="B849" i="78"/>
  <c r="D848" i="78"/>
  <c r="C848" i="78"/>
  <c r="E848" i="78"/>
  <c r="B848" i="78"/>
  <c r="D847" i="78"/>
  <c r="C847" i="78"/>
  <c r="B847" i="78"/>
  <c r="D846" i="78"/>
  <c r="C846" i="78"/>
  <c r="E846" i="78"/>
  <c r="B846" i="78"/>
  <c r="D845" i="78"/>
  <c r="C845" i="78"/>
  <c r="B845" i="78"/>
  <c r="D844" i="78"/>
  <c r="C844" i="78"/>
  <c r="E844" i="78"/>
  <c r="B844" i="78"/>
  <c r="D843" i="78"/>
  <c r="C843" i="78"/>
  <c r="B843" i="78"/>
  <c r="D842" i="78"/>
  <c r="C842" i="78"/>
  <c r="E842" i="78"/>
  <c r="B842" i="78"/>
  <c r="D841" i="78"/>
  <c r="C841" i="78"/>
  <c r="B841" i="78"/>
  <c r="D840" i="78"/>
  <c r="C840" i="78"/>
  <c r="E840" i="78"/>
  <c r="B840" i="78"/>
  <c r="D839" i="78"/>
  <c r="C839" i="78"/>
  <c r="B839" i="78"/>
  <c r="D838" i="78"/>
  <c r="C838" i="78"/>
  <c r="E838" i="78"/>
  <c r="B838" i="78"/>
  <c r="D837" i="78"/>
  <c r="C837" i="78"/>
  <c r="B837" i="78"/>
  <c r="D836" i="78"/>
  <c r="C836" i="78"/>
  <c r="E836" i="78"/>
  <c r="B836" i="78"/>
  <c r="D835" i="78"/>
  <c r="C835" i="78"/>
  <c r="B835" i="78"/>
  <c r="D834" i="78"/>
  <c r="C834" i="78"/>
  <c r="E834" i="78"/>
  <c r="B834" i="78"/>
  <c r="D833" i="78"/>
  <c r="C833" i="78"/>
  <c r="B833" i="78"/>
  <c r="D832" i="78"/>
  <c r="C832" i="78"/>
  <c r="E832" i="78"/>
  <c r="B832" i="78"/>
  <c r="D831" i="78"/>
  <c r="C831" i="78"/>
  <c r="B831" i="78"/>
  <c r="D830" i="78"/>
  <c r="C830" i="78"/>
  <c r="E830" i="78"/>
  <c r="B830" i="78"/>
  <c r="D829" i="78"/>
  <c r="C829" i="78"/>
  <c r="B829" i="78"/>
  <c r="D828" i="78"/>
  <c r="C828" i="78"/>
  <c r="E828" i="78"/>
  <c r="B828" i="78"/>
  <c r="D827" i="78"/>
  <c r="C827" i="78"/>
  <c r="B827" i="78"/>
  <c r="D826" i="78"/>
  <c r="C826" i="78"/>
  <c r="E826" i="78"/>
  <c r="B826" i="78"/>
  <c r="D825" i="78"/>
  <c r="C825" i="78"/>
  <c r="B825" i="78"/>
  <c r="D824" i="78"/>
  <c r="C824" i="78"/>
  <c r="E824" i="78"/>
  <c r="B824" i="78"/>
  <c r="D823" i="78"/>
  <c r="C823" i="78"/>
  <c r="B823" i="78"/>
  <c r="D822" i="78"/>
  <c r="C822" i="78"/>
  <c r="E822" i="78"/>
  <c r="B822" i="78"/>
  <c r="D821" i="78"/>
  <c r="C821" i="78"/>
  <c r="B821" i="78"/>
  <c r="D820" i="78"/>
  <c r="C820" i="78"/>
  <c r="E820" i="78"/>
  <c r="B820" i="78"/>
  <c r="D819" i="78"/>
  <c r="C819" i="78"/>
  <c r="B819" i="78"/>
  <c r="D818" i="78"/>
  <c r="C818" i="78"/>
  <c r="E818" i="78"/>
  <c r="B818" i="78"/>
  <c r="D817" i="78"/>
  <c r="C817" i="78"/>
  <c r="B817" i="78"/>
  <c r="D816" i="78"/>
  <c r="C816" i="78"/>
  <c r="E816" i="78"/>
  <c r="B816" i="78"/>
  <c r="D815" i="78"/>
  <c r="C815" i="78"/>
  <c r="B815" i="78"/>
  <c r="D814" i="78"/>
  <c r="C814" i="78"/>
  <c r="E814" i="78"/>
  <c r="B814" i="78"/>
  <c r="D813" i="78"/>
  <c r="C813" i="78"/>
  <c r="B813" i="78"/>
  <c r="D812" i="78"/>
  <c r="C812" i="78"/>
  <c r="E812" i="78"/>
  <c r="B812" i="78"/>
  <c r="D811" i="78"/>
  <c r="C811" i="78"/>
  <c r="B811" i="78"/>
  <c r="D810" i="78"/>
  <c r="C810" i="78"/>
  <c r="E810" i="78"/>
  <c r="B810" i="78"/>
  <c r="D809" i="78"/>
  <c r="C809" i="78"/>
  <c r="B809" i="78"/>
  <c r="D808" i="78"/>
  <c r="C808" i="78"/>
  <c r="E808" i="78"/>
  <c r="B808" i="78"/>
  <c r="D807" i="78"/>
  <c r="C807" i="78"/>
  <c r="B807" i="78"/>
  <c r="D806" i="78"/>
  <c r="C806" i="78"/>
  <c r="E806" i="78"/>
  <c r="B806" i="78"/>
  <c r="D805" i="78"/>
  <c r="C805" i="78"/>
  <c r="B805" i="78"/>
  <c r="D804" i="78"/>
  <c r="C804" i="78"/>
  <c r="E804" i="78"/>
  <c r="B804" i="78"/>
  <c r="D803" i="78"/>
  <c r="C803" i="78"/>
  <c r="B803" i="78"/>
  <c r="D802" i="78"/>
  <c r="C802" i="78"/>
  <c r="E802" i="78"/>
  <c r="B802" i="78"/>
  <c r="D801" i="78"/>
  <c r="C801" i="78"/>
  <c r="B801" i="78"/>
  <c r="D800" i="78"/>
  <c r="C800" i="78"/>
  <c r="E800" i="78"/>
  <c r="B800" i="78"/>
  <c r="D799" i="78"/>
  <c r="C799" i="78"/>
  <c r="B799" i="78"/>
  <c r="D798" i="78"/>
  <c r="C798" i="78"/>
  <c r="E798" i="78"/>
  <c r="B798" i="78"/>
  <c r="D797" i="78"/>
  <c r="C797" i="78"/>
  <c r="B797" i="78"/>
  <c r="D796" i="78"/>
  <c r="C796" i="78"/>
  <c r="E796" i="78"/>
  <c r="B796" i="78"/>
  <c r="D795" i="78"/>
  <c r="C795" i="78"/>
  <c r="B795" i="78"/>
  <c r="D794" i="78"/>
  <c r="C794" i="78"/>
  <c r="E794" i="78"/>
  <c r="B794" i="78"/>
  <c r="D793" i="78"/>
  <c r="C793" i="78"/>
  <c r="B793" i="78"/>
  <c r="D792" i="78"/>
  <c r="C792" i="78"/>
  <c r="E792" i="78"/>
  <c r="B792" i="78"/>
  <c r="D791" i="78"/>
  <c r="C791" i="78"/>
  <c r="B791" i="78"/>
  <c r="D790" i="78"/>
  <c r="C790" i="78"/>
  <c r="E790" i="78"/>
  <c r="B790" i="78"/>
  <c r="D789" i="78"/>
  <c r="C789" i="78"/>
  <c r="B789" i="78"/>
  <c r="D788" i="78"/>
  <c r="C788" i="78"/>
  <c r="E788" i="78"/>
  <c r="B788" i="78"/>
  <c r="D787" i="78"/>
  <c r="C787" i="78"/>
  <c r="B787" i="78"/>
  <c r="D786" i="78"/>
  <c r="C786" i="78"/>
  <c r="E786" i="78"/>
  <c r="B786" i="78"/>
  <c r="D785" i="78"/>
  <c r="C785" i="78"/>
  <c r="B785" i="78"/>
  <c r="D784" i="78"/>
  <c r="C784" i="78"/>
  <c r="E784" i="78"/>
  <c r="B784" i="78"/>
  <c r="D783" i="78"/>
  <c r="C783" i="78"/>
  <c r="B783" i="78"/>
  <c r="D782" i="78"/>
  <c r="C782" i="78"/>
  <c r="E782" i="78"/>
  <c r="B782" i="78"/>
  <c r="D781" i="78"/>
  <c r="C781" i="78"/>
  <c r="B781" i="78"/>
  <c r="D780" i="78"/>
  <c r="C780" i="78"/>
  <c r="E780" i="78"/>
  <c r="B780" i="78"/>
  <c r="D779" i="78"/>
  <c r="C779" i="78"/>
  <c r="B779" i="78"/>
  <c r="D778" i="78"/>
  <c r="C778" i="78"/>
  <c r="E778" i="78"/>
  <c r="B778" i="78"/>
  <c r="D777" i="78"/>
  <c r="C777" i="78"/>
  <c r="B777" i="78"/>
  <c r="D776" i="78"/>
  <c r="C776" i="78"/>
  <c r="E776" i="78"/>
  <c r="B776" i="78"/>
  <c r="D775" i="78"/>
  <c r="C775" i="78"/>
  <c r="B775" i="78"/>
  <c r="D774" i="78"/>
  <c r="C774" i="78"/>
  <c r="E774" i="78"/>
  <c r="B774" i="78"/>
  <c r="D773" i="78"/>
  <c r="C773" i="78"/>
  <c r="B773" i="78"/>
  <c r="D772" i="78"/>
  <c r="C772" i="78"/>
  <c r="E772" i="78"/>
  <c r="B772" i="78"/>
  <c r="D771" i="78"/>
  <c r="C771" i="78"/>
  <c r="B771" i="78"/>
  <c r="D770" i="78"/>
  <c r="C770" i="78"/>
  <c r="E770" i="78"/>
  <c r="B770" i="78"/>
  <c r="D769" i="78"/>
  <c r="C769" i="78"/>
  <c r="B769" i="78"/>
  <c r="D768" i="78"/>
  <c r="C768" i="78"/>
  <c r="E768" i="78"/>
  <c r="B768" i="78"/>
  <c r="D767" i="78"/>
  <c r="C767" i="78"/>
  <c r="B767" i="78"/>
  <c r="D766" i="78"/>
  <c r="C766" i="78"/>
  <c r="E766" i="78"/>
  <c r="B766" i="78"/>
  <c r="D765" i="78"/>
  <c r="C765" i="78"/>
  <c r="B765" i="78"/>
  <c r="D764" i="78"/>
  <c r="C764" i="78"/>
  <c r="E764" i="78"/>
  <c r="B764" i="78"/>
  <c r="D763" i="78"/>
  <c r="C763" i="78"/>
  <c r="B763" i="78"/>
  <c r="D762" i="78"/>
  <c r="C762" i="78"/>
  <c r="E762" i="78"/>
  <c r="B762" i="78"/>
  <c r="D761" i="78"/>
  <c r="C761" i="78"/>
  <c r="B761" i="78"/>
  <c r="D760" i="78"/>
  <c r="C760" i="78"/>
  <c r="E760" i="78"/>
  <c r="B760" i="78"/>
  <c r="D759" i="78"/>
  <c r="C759" i="78"/>
  <c r="B759" i="78"/>
  <c r="D758" i="78"/>
  <c r="C758" i="78"/>
  <c r="E758" i="78"/>
  <c r="B758" i="78"/>
  <c r="D757" i="78"/>
  <c r="C757" i="78"/>
  <c r="B757" i="78"/>
  <c r="D756" i="78"/>
  <c r="C756" i="78"/>
  <c r="E756" i="78"/>
  <c r="B756" i="78"/>
  <c r="D755" i="78"/>
  <c r="C755" i="78"/>
  <c r="B755" i="78"/>
  <c r="D754" i="78"/>
  <c r="C754" i="78"/>
  <c r="E754" i="78"/>
  <c r="B754" i="78"/>
  <c r="D753" i="78"/>
  <c r="C753" i="78"/>
  <c r="B753" i="78"/>
  <c r="D752" i="78"/>
  <c r="C752" i="78"/>
  <c r="E752" i="78"/>
  <c r="B752" i="78"/>
  <c r="D751" i="78"/>
  <c r="C751" i="78"/>
  <c r="B751" i="78"/>
  <c r="D750" i="78"/>
  <c r="C750" i="78"/>
  <c r="E750" i="78"/>
  <c r="B750" i="78"/>
  <c r="D749" i="78"/>
  <c r="C749" i="78"/>
  <c r="B749" i="78"/>
  <c r="D748" i="78"/>
  <c r="C748" i="78"/>
  <c r="E748" i="78"/>
  <c r="B748" i="78"/>
  <c r="D747" i="78"/>
  <c r="C747" i="78"/>
  <c r="B747" i="78"/>
  <c r="D746" i="78"/>
  <c r="C746" i="78"/>
  <c r="E746" i="78"/>
  <c r="B746" i="78"/>
  <c r="D745" i="78"/>
  <c r="C745" i="78"/>
  <c r="B745" i="78"/>
  <c r="D744" i="78"/>
  <c r="C744" i="78"/>
  <c r="E744" i="78"/>
  <c r="B744" i="78"/>
  <c r="D743" i="78"/>
  <c r="C743" i="78"/>
  <c r="B743" i="78"/>
  <c r="D742" i="78"/>
  <c r="C742" i="78"/>
  <c r="E742" i="78"/>
  <c r="B742" i="78"/>
  <c r="D741" i="78"/>
  <c r="C741" i="78"/>
  <c r="B741" i="78"/>
  <c r="D740" i="78"/>
  <c r="C740" i="78"/>
  <c r="E740" i="78"/>
  <c r="B740" i="78"/>
  <c r="D739" i="78"/>
  <c r="C739" i="78"/>
  <c r="B739" i="78"/>
  <c r="D738" i="78"/>
  <c r="C738" i="78"/>
  <c r="E738" i="78"/>
  <c r="B738" i="78"/>
  <c r="D737" i="78"/>
  <c r="C737" i="78"/>
  <c r="B737" i="78"/>
  <c r="D736" i="78"/>
  <c r="C736" i="78"/>
  <c r="E736" i="78"/>
  <c r="B736" i="78"/>
  <c r="D735" i="78"/>
  <c r="C735" i="78"/>
  <c r="B735" i="78"/>
  <c r="D734" i="78"/>
  <c r="C734" i="78"/>
  <c r="E734" i="78"/>
  <c r="B734" i="78"/>
  <c r="D733" i="78"/>
  <c r="C733" i="78"/>
  <c r="B733" i="78"/>
  <c r="D732" i="78"/>
  <c r="C732" i="78"/>
  <c r="E732" i="78"/>
  <c r="B732" i="78"/>
  <c r="D731" i="78"/>
  <c r="C731" i="78"/>
  <c r="B731" i="78"/>
  <c r="D730" i="78"/>
  <c r="C730" i="78"/>
  <c r="E730" i="78"/>
  <c r="B730" i="78"/>
  <c r="D729" i="78"/>
  <c r="C729" i="78"/>
  <c r="B729" i="78"/>
  <c r="D728" i="78"/>
  <c r="C728" i="78"/>
  <c r="E728" i="78"/>
  <c r="B728" i="78"/>
  <c r="D727" i="78"/>
  <c r="C727" i="78"/>
  <c r="B727" i="78"/>
  <c r="D726" i="78"/>
  <c r="C726" i="78"/>
  <c r="E726" i="78"/>
  <c r="B726" i="78"/>
  <c r="D725" i="78"/>
  <c r="C725" i="78"/>
  <c r="B725" i="78"/>
  <c r="D724" i="78"/>
  <c r="C724" i="78"/>
  <c r="E724" i="78"/>
  <c r="B724" i="78"/>
  <c r="D723" i="78"/>
  <c r="C723" i="78"/>
  <c r="B723" i="78"/>
  <c r="D722" i="78"/>
  <c r="C722" i="78"/>
  <c r="E722" i="78"/>
  <c r="B722" i="78"/>
  <c r="D721" i="78"/>
  <c r="C721" i="78"/>
  <c r="B721" i="78"/>
  <c r="D720" i="78"/>
  <c r="C720" i="78"/>
  <c r="E720" i="78"/>
  <c r="B720" i="78"/>
  <c r="D719" i="78"/>
  <c r="C719" i="78"/>
  <c r="B719" i="78"/>
  <c r="D718" i="78"/>
  <c r="C718" i="78"/>
  <c r="E718" i="78"/>
  <c r="B718" i="78"/>
  <c r="D717" i="78"/>
  <c r="C717" i="78"/>
  <c r="B717" i="78"/>
  <c r="D716" i="78"/>
  <c r="C716" i="78"/>
  <c r="E716" i="78"/>
  <c r="B716" i="78"/>
  <c r="D715" i="78"/>
  <c r="C715" i="78"/>
  <c r="B715" i="78"/>
  <c r="D714" i="78"/>
  <c r="C714" i="78"/>
  <c r="E714" i="78"/>
  <c r="B714" i="78"/>
  <c r="D713" i="78"/>
  <c r="C713" i="78"/>
  <c r="B713" i="78"/>
  <c r="D712" i="78"/>
  <c r="C712" i="78"/>
  <c r="E712" i="78"/>
  <c r="B712" i="78"/>
  <c r="D711" i="78"/>
  <c r="C711" i="78"/>
  <c r="B711" i="78"/>
  <c r="D710" i="78"/>
  <c r="C710" i="78"/>
  <c r="E710" i="78"/>
  <c r="B710" i="78"/>
  <c r="D709" i="78"/>
  <c r="C709" i="78"/>
  <c r="B709" i="78"/>
  <c r="D708" i="78"/>
  <c r="C708" i="78"/>
  <c r="E708" i="78"/>
  <c r="B708" i="78"/>
  <c r="D707" i="78"/>
  <c r="C707" i="78"/>
  <c r="B707" i="78"/>
  <c r="D706" i="78"/>
  <c r="C706" i="78"/>
  <c r="E706" i="78"/>
  <c r="B706" i="78"/>
  <c r="D705" i="78"/>
  <c r="C705" i="78"/>
  <c r="B705" i="78"/>
  <c r="D704" i="78"/>
  <c r="C704" i="78"/>
  <c r="E704" i="78"/>
  <c r="B704" i="78"/>
  <c r="D703" i="78"/>
  <c r="C703" i="78"/>
  <c r="B703" i="78"/>
  <c r="D702" i="78"/>
  <c r="C702" i="78"/>
  <c r="E702" i="78"/>
  <c r="B702" i="78"/>
  <c r="D701" i="78"/>
  <c r="C701" i="78"/>
  <c r="B701" i="78"/>
  <c r="D700" i="78"/>
  <c r="C700" i="78"/>
  <c r="E700" i="78"/>
  <c r="B700" i="78"/>
  <c r="D699" i="78"/>
  <c r="C699" i="78"/>
  <c r="B699" i="78"/>
  <c r="D698" i="78"/>
  <c r="C698" i="78"/>
  <c r="E698" i="78"/>
  <c r="B698" i="78"/>
  <c r="D697" i="78"/>
  <c r="C697" i="78"/>
  <c r="B697" i="78"/>
  <c r="D696" i="78"/>
  <c r="C696" i="78"/>
  <c r="E696" i="78"/>
  <c r="B696" i="78"/>
  <c r="D695" i="78"/>
  <c r="C695" i="78"/>
  <c r="B695" i="78"/>
  <c r="D694" i="78"/>
  <c r="C694" i="78"/>
  <c r="E694" i="78"/>
  <c r="B694" i="78"/>
  <c r="D693" i="78"/>
  <c r="C693" i="78"/>
  <c r="B693" i="78"/>
  <c r="D692" i="78"/>
  <c r="C692" i="78"/>
  <c r="E692" i="78"/>
  <c r="B692" i="78"/>
  <c r="D691" i="78"/>
  <c r="C691" i="78"/>
  <c r="B691" i="78"/>
  <c r="D690" i="78"/>
  <c r="C690" i="78"/>
  <c r="E690" i="78"/>
  <c r="B690" i="78"/>
  <c r="D689" i="78"/>
  <c r="C689" i="78"/>
  <c r="B689" i="78"/>
  <c r="D688" i="78"/>
  <c r="C688" i="78"/>
  <c r="E688" i="78"/>
  <c r="B688" i="78"/>
  <c r="D687" i="78"/>
  <c r="C687" i="78"/>
  <c r="B687" i="78"/>
  <c r="D686" i="78"/>
  <c r="C686" i="78"/>
  <c r="E686" i="78"/>
  <c r="B686" i="78"/>
  <c r="D685" i="78"/>
  <c r="C685" i="78"/>
  <c r="B685" i="78"/>
  <c r="D684" i="78"/>
  <c r="C684" i="78"/>
  <c r="E684" i="78"/>
  <c r="B684" i="78"/>
  <c r="D683" i="78"/>
  <c r="C683" i="78"/>
  <c r="B683" i="78"/>
  <c r="D682" i="78"/>
  <c r="C682" i="78"/>
  <c r="E682" i="78"/>
  <c r="B682" i="78"/>
  <c r="D681" i="78"/>
  <c r="C681" i="78"/>
  <c r="B681" i="78"/>
  <c r="D680" i="78"/>
  <c r="C680" i="78"/>
  <c r="E680" i="78"/>
  <c r="B680" i="78"/>
  <c r="D679" i="78"/>
  <c r="C679" i="78"/>
  <c r="B679" i="78"/>
  <c r="D678" i="78"/>
  <c r="C678" i="78"/>
  <c r="E678" i="78"/>
  <c r="B678" i="78"/>
  <c r="D677" i="78"/>
  <c r="C677" i="78"/>
  <c r="B677" i="78"/>
  <c r="D676" i="78"/>
  <c r="C676" i="78"/>
  <c r="E676" i="78"/>
  <c r="B676" i="78"/>
  <c r="D675" i="78"/>
  <c r="C675" i="78"/>
  <c r="B675" i="78"/>
  <c r="D674" i="78"/>
  <c r="C674" i="78"/>
  <c r="E674" i="78"/>
  <c r="B674" i="78"/>
  <c r="D673" i="78"/>
  <c r="C673" i="78"/>
  <c r="B673" i="78"/>
  <c r="D672" i="78"/>
  <c r="C672" i="78"/>
  <c r="E672" i="78"/>
  <c r="B672" i="78"/>
  <c r="D671" i="78"/>
  <c r="C671" i="78"/>
  <c r="B671" i="78"/>
  <c r="D670" i="78"/>
  <c r="C670" i="78"/>
  <c r="E670" i="78"/>
  <c r="B670" i="78"/>
  <c r="D669" i="78"/>
  <c r="C669" i="78"/>
  <c r="B669" i="78"/>
  <c r="D668" i="78"/>
  <c r="C668" i="78"/>
  <c r="E668" i="78"/>
  <c r="B668" i="78"/>
  <c r="D667" i="78"/>
  <c r="C667" i="78"/>
  <c r="B667" i="78"/>
  <c r="D666" i="78"/>
  <c r="C666" i="78"/>
  <c r="E666" i="78"/>
  <c r="B666" i="78"/>
  <c r="D665" i="78"/>
  <c r="C665" i="78"/>
  <c r="B665" i="78"/>
  <c r="D664" i="78"/>
  <c r="C664" i="78"/>
  <c r="E664" i="78"/>
  <c r="B664" i="78"/>
  <c r="D663" i="78"/>
  <c r="C663" i="78"/>
  <c r="B663" i="78"/>
  <c r="D662" i="78"/>
  <c r="C662" i="78"/>
  <c r="E662" i="78"/>
  <c r="B662" i="78"/>
  <c r="D661" i="78"/>
  <c r="C661" i="78"/>
  <c r="B661" i="78"/>
  <c r="D660" i="78"/>
  <c r="C660" i="78"/>
  <c r="E660" i="78"/>
  <c r="B660" i="78"/>
  <c r="D659" i="78"/>
  <c r="C659" i="78"/>
  <c r="B659" i="78"/>
  <c r="D658" i="78"/>
  <c r="C658" i="78"/>
  <c r="E658" i="78"/>
  <c r="B658" i="78"/>
  <c r="D657" i="78"/>
  <c r="C657" i="78"/>
  <c r="B657" i="78"/>
  <c r="D656" i="78"/>
  <c r="C656" i="78"/>
  <c r="E656" i="78"/>
  <c r="B656" i="78"/>
  <c r="D655" i="78"/>
  <c r="C655" i="78"/>
  <c r="B655" i="78"/>
  <c r="D654" i="78"/>
  <c r="C654" i="78"/>
  <c r="E654" i="78"/>
  <c r="B654" i="78"/>
  <c r="D653" i="78"/>
  <c r="C653" i="78"/>
  <c r="B653" i="78"/>
  <c r="D652" i="78"/>
  <c r="C652" i="78"/>
  <c r="E652" i="78"/>
  <c r="B652" i="78"/>
  <c r="D651" i="78"/>
  <c r="C651" i="78"/>
  <c r="B651" i="78"/>
  <c r="D650" i="78"/>
  <c r="C650" i="78"/>
  <c r="E650" i="78"/>
  <c r="B650" i="78"/>
  <c r="D649" i="78"/>
  <c r="C649" i="78"/>
  <c r="B649" i="78"/>
  <c r="D648" i="78"/>
  <c r="C648" i="78"/>
  <c r="E648" i="78"/>
  <c r="B648" i="78"/>
  <c r="D647" i="78"/>
  <c r="C647" i="78"/>
  <c r="B647" i="78"/>
  <c r="D646" i="78"/>
  <c r="C646" i="78"/>
  <c r="E646" i="78"/>
  <c r="B646" i="78"/>
  <c r="D645" i="78"/>
  <c r="C645" i="78"/>
  <c r="B645" i="78"/>
  <c r="D644" i="78"/>
  <c r="C644" i="78"/>
  <c r="E644" i="78"/>
  <c r="B644" i="78"/>
  <c r="D643" i="78"/>
  <c r="C643" i="78"/>
  <c r="B643" i="78"/>
  <c r="D642" i="78"/>
  <c r="C642" i="78"/>
  <c r="E642" i="78"/>
  <c r="B642" i="78"/>
  <c r="D641" i="78"/>
  <c r="C641" i="78"/>
  <c r="B641" i="78"/>
  <c r="D640" i="78"/>
  <c r="C640" i="78"/>
  <c r="E640" i="78"/>
  <c r="B640" i="78"/>
  <c r="D639" i="78"/>
  <c r="C639" i="78"/>
  <c r="B639" i="78"/>
  <c r="D638" i="78"/>
  <c r="C638" i="78"/>
  <c r="E638" i="78"/>
  <c r="B638" i="78"/>
  <c r="D637" i="78"/>
  <c r="C637" i="78"/>
  <c r="B637" i="78"/>
  <c r="D636" i="78"/>
  <c r="C636" i="78"/>
  <c r="E636" i="78"/>
  <c r="B636" i="78"/>
  <c r="D635" i="78"/>
  <c r="C635" i="78"/>
  <c r="B635" i="78"/>
  <c r="D634" i="78"/>
  <c r="C634" i="78"/>
  <c r="E634" i="78"/>
  <c r="B634" i="78"/>
  <c r="D633" i="78"/>
  <c r="C633" i="78"/>
  <c r="B633" i="78"/>
  <c r="D632" i="78"/>
  <c r="C632" i="78"/>
  <c r="E632" i="78"/>
  <c r="B632" i="78"/>
  <c r="D631" i="78"/>
  <c r="C631" i="78"/>
  <c r="B631" i="78"/>
  <c r="D630" i="78"/>
  <c r="C630" i="78"/>
  <c r="E630" i="78"/>
  <c r="B630" i="78"/>
  <c r="D629" i="78"/>
  <c r="C629" i="78"/>
  <c r="B629" i="78"/>
  <c r="D628" i="78"/>
  <c r="C628" i="78"/>
  <c r="E628" i="78"/>
  <c r="B628" i="78"/>
  <c r="D627" i="78"/>
  <c r="C627" i="78"/>
  <c r="B627" i="78"/>
  <c r="D626" i="78"/>
  <c r="C626" i="78"/>
  <c r="E626" i="78"/>
  <c r="B626" i="78"/>
  <c r="D625" i="78"/>
  <c r="C625" i="78"/>
  <c r="B625" i="78"/>
  <c r="D624" i="78"/>
  <c r="C624" i="78"/>
  <c r="E624" i="78"/>
  <c r="B624" i="78"/>
  <c r="D623" i="78"/>
  <c r="C623" i="78"/>
  <c r="B623" i="78"/>
  <c r="D622" i="78"/>
  <c r="C622" i="78"/>
  <c r="E622" i="78"/>
  <c r="B622" i="78"/>
  <c r="D621" i="78"/>
  <c r="C621" i="78"/>
  <c r="B621" i="78"/>
  <c r="D620" i="78"/>
  <c r="C620" i="78"/>
  <c r="E620" i="78"/>
  <c r="B620" i="78"/>
  <c r="D619" i="78"/>
  <c r="C619" i="78"/>
  <c r="B619" i="78"/>
  <c r="D618" i="78"/>
  <c r="C618" i="78"/>
  <c r="E618" i="78"/>
  <c r="B618" i="78"/>
  <c r="D617" i="78"/>
  <c r="C617" i="78"/>
  <c r="B617" i="78"/>
  <c r="D616" i="78"/>
  <c r="C616" i="78"/>
  <c r="E616" i="78"/>
  <c r="B616" i="78"/>
  <c r="D615" i="78"/>
  <c r="C615" i="78"/>
  <c r="B615" i="78"/>
  <c r="D614" i="78"/>
  <c r="C614" i="78"/>
  <c r="E614" i="78"/>
  <c r="B614" i="78"/>
  <c r="D613" i="78"/>
  <c r="C613" i="78"/>
  <c r="B613" i="78"/>
  <c r="D612" i="78"/>
  <c r="C612" i="78"/>
  <c r="E612" i="78"/>
  <c r="B612" i="78"/>
  <c r="D611" i="78"/>
  <c r="C611" i="78"/>
  <c r="B611" i="78"/>
  <c r="D610" i="78"/>
  <c r="C610" i="78"/>
  <c r="E610" i="78"/>
  <c r="B610" i="78"/>
  <c r="D609" i="78"/>
  <c r="C609" i="78"/>
  <c r="B609" i="78"/>
  <c r="D608" i="78"/>
  <c r="C608" i="78"/>
  <c r="E608" i="78"/>
  <c r="B608" i="78"/>
  <c r="D607" i="78"/>
  <c r="C607" i="78"/>
  <c r="B607" i="78"/>
  <c r="D606" i="78"/>
  <c r="C606" i="78"/>
  <c r="E606" i="78"/>
  <c r="B606" i="78"/>
  <c r="D605" i="78"/>
  <c r="C605" i="78"/>
  <c r="B605" i="78"/>
  <c r="D604" i="78"/>
  <c r="C604" i="78"/>
  <c r="E604" i="78"/>
  <c r="B604" i="78"/>
  <c r="D603" i="78"/>
  <c r="C603" i="78"/>
  <c r="B603" i="78"/>
  <c r="D602" i="78"/>
  <c r="C602" i="78"/>
  <c r="E602" i="78"/>
  <c r="B602" i="78"/>
  <c r="D601" i="78"/>
  <c r="C601" i="78"/>
  <c r="B601" i="78"/>
  <c r="D600" i="78"/>
  <c r="C600" i="78"/>
  <c r="E600" i="78"/>
  <c r="B600" i="78"/>
  <c r="D599" i="78"/>
  <c r="C599" i="78"/>
  <c r="B599" i="78"/>
  <c r="D598" i="78"/>
  <c r="C598" i="78"/>
  <c r="E598" i="78"/>
  <c r="B598" i="78"/>
  <c r="D597" i="78"/>
  <c r="C597" i="78"/>
  <c r="B597" i="78"/>
  <c r="D596" i="78"/>
  <c r="C596" i="78"/>
  <c r="E596" i="78"/>
  <c r="B596" i="78"/>
  <c r="D595" i="78"/>
  <c r="C595" i="78"/>
  <c r="B595" i="78"/>
  <c r="D594" i="78"/>
  <c r="C594" i="78"/>
  <c r="E594" i="78"/>
  <c r="B594" i="78"/>
  <c r="D593" i="78"/>
  <c r="C593" i="78"/>
  <c r="B593" i="78"/>
  <c r="D592" i="78"/>
  <c r="C592" i="78"/>
  <c r="E592" i="78"/>
  <c r="B592" i="78"/>
  <c r="D591" i="78"/>
  <c r="C591" i="78"/>
  <c r="B591" i="78"/>
  <c r="D590" i="78"/>
  <c r="C590" i="78"/>
  <c r="E590" i="78"/>
  <c r="B590" i="78"/>
  <c r="D589" i="78"/>
  <c r="C589" i="78"/>
  <c r="B589" i="78"/>
  <c r="D588" i="78"/>
  <c r="C588" i="78"/>
  <c r="E588" i="78"/>
  <c r="B588" i="78"/>
  <c r="D587" i="78"/>
  <c r="C587" i="78"/>
  <c r="B587" i="78"/>
  <c r="D586" i="78"/>
  <c r="C586" i="78"/>
  <c r="E586" i="78"/>
  <c r="B586" i="78"/>
  <c r="D585" i="78"/>
  <c r="C585" i="78"/>
  <c r="B585" i="78"/>
  <c r="D584" i="78"/>
  <c r="C584" i="78"/>
  <c r="E584" i="78"/>
  <c r="B584" i="78"/>
  <c r="D583" i="78"/>
  <c r="C583" i="78"/>
  <c r="B583" i="78"/>
  <c r="D582" i="78"/>
  <c r="C582" i="78"/>
  <c r="E582" i="78"/>
  <c r="B582" i="78"/>
  <c r="D581" i="78"/>
  <c r="C581" i="78"/>
  <c r="B581" i="78"/>
  <c r="D580" i="78"/>
  <c r="C580" i="78"/>
  <c r="E580" i="78"/>
  <c r="B580" i="78"/>
  <c r="D579" i="78"/>
  <c r="C579" i="78"/>
  <c r="B579" i="78"/>
  <c r="D578" i="78"/>
  <c r="C578" i="78"/>
  <c r="E578" i="78"/>
  <c r="B578" i="78"/>
  <c r="D577" i="78"/>
  <c r="C577" i="78"/>
  <c r="B577" i="78"/>
  <c r="D576" i="78"/>
  <c r="C576" i="78"/>
  <c r="E576" i="78"/>
  <c r="B576" i="78"/>
  <c r="D575" i="78"/>
  <c r="C575" i="78"/>
  <c r="B575" i="78"/>
  <c r="D574" i="78"/>
  <c r="C574" i="78"/>
  <c r="E574" i="78"/>
  <c r="B574" i="78"/>
  <c r="D573" i="78"/>
  <c r="C573" i="78"/>
  <c r="B573" i="78"/>
  <c r="D572" i="78"/>
  <c r="C572" i="78"/>
  <c r="E572" i="78"/>
  <c r="B572" i="78"/>
  <c r="D571" i="78"/>
  <c r="C571" i="78"/>
  <c r="B571" i="78"/>
  <c r="D570" i="78"/>
  <c r="C570" i="78"/>
  <c r="E570" i="78"/>
  <c r="B570" i="78"/>
  <c r="D569" i="78"/>
  <c r="C569" i="78"/>
  <c r="B569" i="78"/>
  <c r="D568" i="78"/>
  <c r="C568" i="78"/>
  <c r="E568" i="78"/>
  <c r="B568" i="78"/>
  <c r="D567" i="78"/>
  <c r="C567" i="78"/>
  <c r="B567" i="78"/>
  <c r="D566" i="78"/>
  <c r="C566" i="78"/>
  <c r="E566" i="78"/>
  <c r="B566" i="78"/>
  <c r="D565" i="78"/>
  <c r="C565" i="78"/>
  <c r="B565" i="78"/>
  <c r="D564" i="78"/>
  <c r="C564" i="78"/>
  <c r="E564" i="78"/>
  <c r="B564" i="78"/>
  <c r="D563" i="78"/>
  <c r="C563" i="78"/>
  <c r="B563" i="78"/>
  <c r="D562" i="78"/>
  <c r="C562" i="78"/>
  <c r="E562" i="78"/>
  <c r="B562" i="78"/>
  <c r="D561" i="78"/>
  <c r="C561" i="78"/>
  <c r="B561" i="78"/>
  <c r="D560" i="78"/>
  <c r="C560" i="78"/>
  <c r="E560" i="78"/>
  <c r="B560" i="78"/>
  <c r="D559" i="78"/>
  <c r="C559" i="78"/>
  <c r="B559" i="78"/>
  <c r="D558" i="78"/>
  <c r="C558" i="78"/>
  <c r="E558" i="78"/>
  <c r="B558" i="78"/>
  <c r="D557" i="78"/>
  <c r="C557" i="78"/>
  <c r="B557" i="78"/>
  <c r="D556" i="78"/>
  <c r="C556" i="78"/>
  <c r="E556" i="78"/>
  <c r="B556" i="78"/>
  <c r="D555" i="78"/>
  <c r="C555" i="78"/>
  <c r="B555" i="78"/>
  <c r="D554" i="78"/>
  <c r="C554" i="78"/>
  <c r="E554" i="78"/>
  <c r="B554" i="78"/>
  <c r="D553" i="78"/>
  <c r="C553" i="78"/>
  <c r="B553" i="78"/>
  <c r="D552" i="78"/>
  <c r="C552" i="78"/>
  <c r="E552" i="78"/>
  <c r="B552" i="78"/>
  <c r="D551" i="78"/>
  <c r="C551" i="78"/>
  <c r="B551" i="78"/>
  <c r="D550" i="78"/>
  <c r="C550" i="78"/>
  <c r="E550" i="78"/>
  <c r="B550" i="78"/>
  <c r="D549" i="78"/>
  <c r="C549" i="78"/>
  <c r="B549" i="78"/>
  <c r="D548" i="78"/>
  <c r="C548" i="78"/>
  <c r="E548" i="78"/>
  <c r="B548" i="78"/>
  <c r="D547" i="78"/>
  <c r="C547" i="78"/>
  <c r="B547" i="78"/>
  <c r="D546" i="78"/>
  <c r="C546" i="78"/>
  <c r="E546" i="78"/>
  <c r="B546" i="78"/>
  <c r="D545" i="78"/>
  <c r="C545" i="78"/>
  <c r="B545" i="78"/>
  <c r="D544" i="78"/>
  <c r="C544" i="78"/>
  <c r="E544" i="78"/>
  <c r="B544" i="78"/>
  <c r="D543" i="78"/>
  <c r="C543" i="78"/>
  <c r="B543" i="78"/>
  <c r="D542" i="78"/>
  <c r="C542" i="78"/>
  <c r="E542" i="78"/>
  <c r="B542" i="78"/>
  <c r="D541" i="78"/>
  <c r="C541" i="78"/>
  <c r="B541" i="78"/>
  <c r="D540" i="78"/>
  <c r="C540" i="78"/>
  <c r="E540" i="78"/>
  <c r="B540" i="78"/>
  <c r="D539" i="78"/>
  <c r="C539" i="78"/>
  <c r="B539" i="78"/>
  <c r="D538" i="78"/>
  <c r="C538" i="78"/>
  <c r="E538" i="78"/>
  <c r="B538" i="78"/>
  <c r="D537" i="78"/>
  <c r="C537" i="78"/>
  <c r="B537" i="78"/>
  <c r="D536" i="78"/>
  <c r="C536" i="78"/>
  <c r="E536" i="78"/>
  <c r="B536" i="78"/>
  <c r="D535" i="78"/>
  <c r="C535" i="78"/>
  <c r="B535" i="78"/>
  <c r="D534" i="78"/>
  <c r="C534" i="78"/>
  <c r="E534" i="78"/>
  <c r="B534" i="78"/>
  <c r="D533" i="78"/>
  <c r="C533" i="78"/>
  <c r="B533" i="78"/>
  <c r="D532" i="78"/>
  <c r="C532" i="78"/>
  <c r="E532" i="78"/>
  <c r="B532" i="78"/>
  <c r="D531" i="78"/>
  <c r="C531" i="78"/>
  <c r="B531" i="78"/>
  <c r="D530" i="78"/>
  <c r="C530" i="78"/>
  <c r="E530" i="78"/>
  <c r="B530" i="78"/>
  <c r="D529" i="78"/>
  <c r="C529" i="78"/>
  <c r="B529" i="78"/>
  <c r="D528" i="78"/>
  <c r="C528" i="78"/>
  <c r="E528" i="78"/>
  <c r="B528" i="78"/>
  <c r="D527" i="78"/>
  <c r="C527" i="78"/>
  <c r="B527" i="78"/>
  <c r="D526" i="78"/>
  <c r="C526" i="78"/>
  <c r="E526" i="78"/>
  <c r="B526" i="78"/>
  <c r="D525" i="78"/>
  <c r="C525" i="78"/>
  <c r="B525" i="78"/>
  <c r="D524" i="78"/>
  <c r="C524" i="78"/>
  <c r="E524" i="78"/>
  <c r="B524" i="78"/>
  <c r="D523" i="78"/>
  <c r="C523" i="78"/>
  <c r="B523" i="78"/>
  <c r="D522" i="78"/>
  <c r="C522" i="78"/>
  <c r="E522" i="78"/>
  <c r="B522" i="78"/>
  <c r="D521" i="78"/>
  <c r="C521" i="78"/>
  <c r="B521" i="78"/>
  <c r="D520" i="78"/>
  <c r="C520" i="78"/>
  <c r="E520" i="78"/>
  <c r="B520" i="78"/>
  <c r="D519" i="78"/>
  <c r="C519" i="78"/>
  <c r="B519" i="78"/>
  <c r="D518" i="78"/>
  <c r="C518" i="78"/>
  <c r="E518" i="78"/>
  <c r="B518" i="78"/>
  <c r="D517" i="78"/>
  <c r="C517" i="78"/>
  <c r="B517" i="78"/>
  <c r="D516" i="78"/>
  <c r="C516" i="78"/>
  <c r="E516" i="78"/>
  <c r="B516" i="78"/>
  <c r="D515" i="78"/>
  <c r="C515" i="78"/>
  <c r="B515" i="78"/>
  <c r="D514" i="78"/>
  <c r="C514" i="78"/>
  <c r="E514" i="78"/>
  <c r="B514" i="78"/>
  <c r="D513" i="78"/>
  <c r="C513" i="78"/>
  <c r="B513" i="78"/>
  <c r="D512" i="78"/>
  <c r="C512" i="78"/>
  <c r="E512" i="78"/>
  <c r="B512" i="78"/>
  <c r="D511" i="78"/>
  <c r="C511" i="78"/>
  <c r="B511" i="78"/>
  <c r="D510" i="78"/>
  <c r="C510" i="78"/>
  <c r="E510" i="78"/>
  <c r="B510" i="78"/>
  <c r="D509" i="78"/>
  <c r="C509" i="78"/>
  <c r="B509" i="78"/>
  <c r="D508" i="78"/>
  <c r="C508" i="78"/>
  <c r="E508" i="78"/>
  <c r="B508" i="78"/>
  <c r="D507" i="78"/>
  <c r="C507" i="78"/>
  <c r="B507" i="78"/>
  <c r="D506" i="78"/>
  <c r="C506" i="78"/>
  <c r="E506" i="78"/>
  <c r="B506" i="78"/>
  <c r="D505" i="78"/>
  <c r="C505" i="78"/>
  <c r="B505" i="78"/>
  <c r="D504" i="78"/>
  <c r="C504" i="78"/>
  <c r="E504" i="78"/>
  <c r="B504" i="78"/>
  <c r="D503" i="78"/>
  <c r="C503" i="78"/>
  <c r="B503" i="78"/>
  <c r="D502" i="78"/>
  <c r="C502" i="78"/>
  <c r="E502" i="78"/>
  <c r="B502" i="78"/>
  <c r="D501" i="78"/>
  <c r="C501" i="78"/>
  <c r="B501" i="78"/>
  <c r="D500" i="78"/>
  <c r="C500" i="78"/>
  <c r="E500" i="78"/>
  <c r="B500" i="78"/>
  <c r="D499" i="78"/>
  <c r="C499" i="78"/>
  <c r="B499" i="78"/>
  <c r="D498" i="78"/>
  <c r="C498" i="78"/>
  <c r="E498" i="78"/>
  <c r="B498" i="78"/>
  <c r="D497" i="78"/>
  <c r="C497" i="78"/>
  <c r="B497" i="78"/>
  <c r="D496" i="78"/>
  <c r="C496" i="78"/>
  <c r="E496" i="78"/>
  <c r="B496" i="78"/>
  <c r="D495" i="78"/>
  <c r="C495" i="78"/>
  <c r="B495" i="78"/>
  <c r="D494" i="78"/>
  <c r="C494" i="78"/>
  <c r="E494" i="78"/>
  <c r="B494" i="78"/>
  <c r="D493" i="78"/>
  <c r="C493" i="78"/>
  <c r="B493" i="78"/>
  <c r="D492" i="78"/>
  <c r="C492" i="78"/>
  <c r="E492" i="78"/>
  <c r="B492" i="78"/>
  <c r="D491" i="78"/>
  <c r="C491" i="78"/>
  <c r="B491" i="78"/>
  <c r="D490" i="78"/>
  <c r="C490" i="78"/>
  <c r="E490" i="78"/>
  <c r="B490" i="78"/>
  <c r="D489" i="78"/>
  <c r="C489" i="78"/>
  <c r="B489" i="78"/>
  <c r="D488" i="78"/>
  <c r="C488" i="78"/>
  <c r="E488" i="78"/>
  <c r="B488" i="78"/>
  <c r="D487" i="78"/>
  <c r="C487" i="78"/>
  <c r="B487" i="78"/>
  <c r="D486" i="78"/>
  <c r="C486" i="78"/>
  <c r="E486" i="78"/>
  <c r="B486" i="78"/>
  <c r="D485" i="78"/>
  <c r="C485" i="78"/>
  <c r="B485" i="78"/>
  <c r="D484" i="78"/>
  <c r="C484" i="78"/>
  <c r="E484" i="78"/>
  <c r="B484" i="78"/>
  <c r="D483" i="78"/>
  <c r="C483" i="78"/>
  <c r="B483" i="78"/>
  <c r="D482" i="78"/>
  <c r="C482" i="78"/>
  <c r="E482" i="78"/>
  <c r="B482" i="78"/>
  <c r="D481" i="78"/>
  <c r="C481" i="78"/>
  <c r="B481" i="78"/>
  <c r="D480" i="78"/>
  <c r="C480" i="78"/>
  <c r="E480" i="78"/>
  <c r="B480" i="78"/>
  <c r="D479" i="78"/>
  <c r="C479" i="78"/>
  <c r="B479" i="78"/>
  <c r="D478" i="78"/>
  <c r="C478" i="78"/>
  <c r="E478" i="78"/>
  <c r="B478" i="78"/>
  <c r="D477" i="78"/>
  <c r="C477" i="78"/>
  <c r="B477" i="78"/>
  <c r="D476" i="78"/>
  <c r="C476" i="78"/>
  <c r="E476" i="78"/>
  <c r="B476" i="78"/>
  <c r="D475" i="78"/>
  <c r="C475" i="78"/>
  <c r="B475" i="78"/>
  <c r="D474" i="78"/>
  <c r="C474" i="78"/>
  <c r="E474" i="78"/>
  <c r="B474" i="78"/>
  <c r="D473" i="78"/>
  <c r="C473" i="78"/>
  <c r="B473" i="78"/>
  <c r="D472" i="78"/>
  <c r="C472" i="78"/>
  <c r="E472" i="78"/>
  <c r="B472" i="78"/>
  <c r="D471" i="78"/>
  <c r="C471" i="78"/>
  <c r="B471" i="78"/>
  <c r="D470" i="78"/>
  <c r="C470" i="78"/>
  <c r="E470" i="78"/>
  <c r="B470" i="78"/>
  <c r="D469" i="78"/>
  <c r="C469" i="78"/>
  <c r="B469" i="78"/>
  <c r="D468" i="78"/>
  <c r="C468" i="78"/>
  <c r="E468" i="78"/>
  <c r="B468" i="78"/>
  <c r="D467" i="78"/>
  <c r="C467" i="78"/>
  <c r="B467" i="78"/>
  <c r="D466" i="78"/>
  <c r="C466" i="78"/>
  <c r="E466" i="78"/>
  <c r="B466" i="78"/>
  <c r="D465" i="78"/>
  <c r="C465" i="78"/>
  <c r="B465" i="78"/>
  <c r="D464" i="78"/>
  <c r="C464" i="78"/>
  <c r="E464" i="78"/>
  <c r="B464" i="78"/>
  <c r="D463" i="78"/>
  <c r="C463" i="78"/>
  <c r="B463" i="78"/>
  <c r="D462" i="78"/>
  <c r="C462" i="78"/>
  <c r="E462" i="78"/>
  <c r="B462" i="78"/>
  <c r="D461" i="78"/>
  <c r="C461" i="78"/>
  <c r="B461" i="78"/>
  <c r="D460" i="78"/>
  <c r="C460" i="78"/>
  <c r="E460" i="78"/>
  <c r="B460" i="78"/>
  <c r="D459" i="78"/>
  <c r="C459" i="78"/>
  <c r="B459" i="78"/>
  <c r="D458" i="78"/>
  <c r="C458" i="78"/>
  <c r="E458" i="78"/>
  <c r="B458" i="78"/>
  <c r="D457" i="78"/>
  <c r="C457" i="78"/>
  <c r="B457" i="78"/>
  <c r="D456" i="78"/>
  <c r="C456" i="78"/>
  <c r="E456" i="78"/>
  <c r="B456" i="78"/>
  <c r="D455" i="78"/>
  <c r="C455" i="78"/>
  <c r="B455" i="78"/>
  <c r="D454" i="78"/>
  <c r="C454" i="78"/>
  <c r="E454" i="78"/>
  <c r="B454" i="78"/>
  <c r="D453" i="78"/>
  <c r="C453" i="78"/>
  <c r="B453" i="78"/>
  <c r="D452" i="78"/>
  <c r="C452" i="78"/>
  <c r="E452" i="78"/>
  <c r="B452" i="78"/>
  <c r="D451" i="78"/>
  <c r="C451" i="78"/>
  <c r="B451" i="78"/>
  <c r="D450" i="78"/>
  <c r="C450" i="78"/>
  <c r="E450" i="78"/>
  <c r="B450" i="78"/>
  <c r="D449" i="78"/>
  <c r="C449" i="78"/>
  <c r="B449" i="78"/>
  <c r="D448" i="78"/>
  <c r="C448" i="78"/>
  <c r="E448" i="78"/>
  <c r="B448" i="78"/>
  <c r="D447" i="78"/>
  <c r="C447" i="78"/>
  <c r="B447" i="78"/>
  <c r="D446" i="78"/>
  <c r="C446" i="78"/>
  <c r="E446" i="78"/>
  <c r="B446" i="78"/>
  <c r="D445" i="78"/>
  <c r="C445" i="78"/>
  <c r="B445" i="78"/>
  <c r="D444" i="78"/>
  <c r="C444" i="78"/>
  <c r="E444" i="78"/>
  <c r="B444" i="78"/>
  <c r="D443" i="78"/>
  <c r="C443" i="78"/>
  <c r="B443" i="78"/>
  <c r="D442" i="78"/>
  <c r="C442" i="78"/>
  <c r="E442" i="78"/>
  <c r="B442" i="78"/>
  <c r="D441" i="78"/>
  <c r="C441" i="78"/>
  <c r="B441" i="78"/>
  <c r="D440" i="78"/>
  <c r="C440" i="78"/>
  <c r="E440" i="78"/>
  <c r="B440" i="78"/>
  <c r="D439" i="78"/>
  <c r="C439" i="78"/>
  <c r="B439" i="78"/>
  <c r="D438" i="78"/>
  <c r="C438" i="78"/>
  <c r="E438" i="78"/>
  <c r="B438" i="78"/>
  <c r="D437" i="78"/>
  <c r="C437" i="78"/>
  <c r="B437" i="78"/>
  <c r="D436" i="78"/>
  <c r="C436" i="78"/>
  <c r="E436" i="78"/>
  <c r="B436" i="78"/>
  <c r="D435" i="78"/>
  <c r="C435" i="78"/>
  <c r="B435" i="78"/>
  <c r="D434" i="78"/>
  <c r="C434" i="78"/>
  <c r="E434" i="78"/>
  <c r="B434" i="78"/>
  <c r="D433" i="78"/>
  <c r="C433" i="78"/>
  <c r="B433" i="78"/>
  <c r="D432" i="78"/>
  <c r="C432" i="78"/>
  <c r="E432" i="78"/>
  <c r="B432" i="78"/>
  <c r="D431" i="78"/>
  <c r="C431" i="78"/>
  <c r="B431" i="78"/>
  <c r="D430" i="78"/>
  <c r="C430" i="78"/>
  <c r="E430" i="78"/>
  <c r="B430" i="78"/>
  <c r="D429" i="78"/>
  <c r="C429" i="78"/>
  <c r="B429" i="78"/>
  <c r="D428" i="78"/>
  <c r="C428" i="78"/>
  <c r="E428" i="78"/>
  <c r="B428" i="78"/>
  <c r="D427" i="78"/>
  <c r="C427" i="78"/>
  <c r="B427" i="78"/>
  <c r="D426" i="78"/>
  <c r="C426" i="78"/>
  <c r="E426" i="78"/>
  <c r="B426" i="78"/>
  <c r="D425" i="78"/>
  <c r="C425" i="78"/>
  <c r="B425" i="78"/>
  <c r="D424" i="78"/>
  <c r="C424" i="78"/>
  <c r="E424" i="78"/>
  <c r="B424" i="78"/>
  <c r="D423" i="78"/>
  <c r="C423" i="78"/>
  <c r="B423" i="78"/>
  <c r="D422" i="78"/>
  <c r="C422" i="78"/>
  <c r="E422" i="78"/>
  <c r="B422" i="78"/>
  <c r="D421" i="78"/>
  <c r="C421" i="78"/>
  <c r="B421" i="78"/>
  <c r="D420" i="78"/>
  <c r="C420" i="78"/>
  <c r="E420" i="78"/>
  <c r="B420" i="78"/>
  <c r="D419" i="78"/>
  <c r="C419" i="78"/>
  <c r="B419" i="78"/>
  <c r="D418" i="78"/>
  <c r="C418" i="78"/>
  <c r="E418" i="78"/>
  <c r="B418" i="78"/>
  <c r="D417" i="78"/>
  <c r="C417" i="78"/>
  <c r="B417" i="78"/>
  <c r="D416" i="78"/>
  <c r="C416" i="78"/>
  <c r="E416" i="78"/>
  <c r="B416" i="78"/>
  <c r="D415" i="78"/>
  <c r="C415" i="78"/>
  <c r="B415" i="78"/>
  <c r="D414" i="78"/>
  <c r="C414" i="78"/>
  <c r="E414" i="78"/>
  <c r="B414" i="78"/>
  <c r="D413" i="78"/>
  <c r="C413" i="78"/>
  <c r="B413" i="78"/>
  <c r="D412" i="78"/>
  <c r="C412" i="78"/>
  <c r="E412" i="78"/>
  <c r="B412" i="78"/>
  <c r="D411" i="78"/>
  <c r="C411" i="78"/>
  <c r="B411" i="78"/>
  <c r="D410" i="78"/>
  <c r="C410" i="78"/>
  <c r="E410" i="78"/>
  <c r="B410" i="78"/>
  <c r="D409" i="78"/>
  <c r="C409" i="78"/>
  <c r="B409" i="78"/>
  <c r="D408" i="78"/>
  <c r="C408" i="78"/>
  <c r="E408" i="78"/>
  <c r="B408" i="78"/>
  <c r="D407" i="78"/>
  <c r="C407" i="78"/>
  <c r="B407" i="78"/>
  <c r="D406" i="78"/>
  <c r="C406" i="78"/>
  <c r="E406" i="78"/>
  <c r="B406" i="78"/>
  <c r="D405" i="78"/>
  <c r="C405" i="78"/>
  <c r="B405" i="78"/>
  <c r="D404" i="78"/>
  <c r="C404" i="78"/>
  <c r="E404" i="78"/>
  <c r="B404" i="78"/>
  <c r="D403" i="78"/>
  <c r="C403" i="78"/>
  <c r="B403" i="78"/>
  <c r="D402" i="78"/>
  <c r="C402" i="78"/>
  <c r="E402" i="78"/>
  <c r="B402" i="78"/>
  <c r="D401" i="78"/>
  <c r="C401" i="78"/>
  <c r="B401" i="78"/>
  <c r="D400" i="78"/>
  <c r="C400" i="78"/>
  <c r="E400" i="78"/>
  <c r="B400" i="78"/>
  <c r="D399" i="78"/>
  <c r="C399" i="78"/>
  <c r="B399" i="78"/>
  <c r="D398" i="78"/>
  <c r="C398" i="78"/>
  <c r="E398" i="78"/>
  <c r="B398" i="78"/>
  <c r="D397" i="78"/>
  <c r="C397" i="78"/>
  <c r="B397" i="78"/>
  <c r="D396" i="78"/>
  <c r="C396" i="78"/>
  <c r="E396" i="78"/>
  <c r="B396" i="78"/>
  <c r="D395" i="78"/>
  <c r="C395" i="78"/>
  <c r="B395" i="78"/>
  <c r="D394" i="78"/>
  <c r="C394" i="78"/>
  <c r="E394" i="78"/>
  <c r="B394" i="78"/>
  <c r="D393" i="78"/>
  <c r="C393" i="78"/>
  <c r="B393" i="78"/>
  <c r="D392" i="78"/>
  <c r="C392" i="78"/>
  <c r="E392" i="78"/>
  <c r="B392" i="78"/>
  <c r="D391" i="78"/>
  <c r="C391" i="78"/>
  <c r="B391" i="78"/>
  <c r="D390" i="78"/>
  <c r="C390" i="78"/>
  <c r="E390" i="78"/>
  <c r="B390" i="78"/>
  <c r="D389" i="78"/>
  <c r="C389" i="78"/>
  <c r="B389" i="78"/>
  <c r="D388" i="78"/>
  <c r="C388" i="78"/>
  <c r="E388" i="78"/>
  <c r="B388" i="78"/>
  <c r="D387" i="78"/>
  <c r="C387" i="78"/>
  <c r="B387" i="78"/>
  <c r="D386" i="78"/>
  <c r="C386" i="78"/>
  <c r="E386" i="78"/>
  <c r="B386" i="78"/>
  <c r="D385" i="78"/>
  <c r="C385" i="78"/>
  <c r="B385" i="78"/>
  <c r="D384" i="78"/>
  <c r="C384" i="78"/>
  <c r="E384" i="78"/>
  <c r="B384" i="78"/>
  <c r="D383" i="78"/>
  <c r="C383" i="78"/>
  <c r="B383" i="78"/>
  <c r="D382" i="78"/>
  <c r="C382" i="78"/>
  <c r="E382" i="78"/>
  <c r="B382" i="78"/>
  <c r="D381" i="78"/>
  <c r="C381" i="78"/>
  <c r="B381" i="78"/>
  <c r="D380" i="78"/>
  <c r="C380" i="78"/>
  <c r="E380" i="78"/>
  <c r="B380" i="78"/>
  <c r="D379" i="78"/>
  <c r="C379" i="78"/>
  <c r="B379" i="78"/>
  <c r="D378" i="78"/>
  <c r="C378" i="78"/>
  <c r="E378" i="78"/>
  <c r="B378" i="78"/>
  <c r="D377" i="78"/>
  <c r="C377" i="78"/>
  <c r="B377" i="78"/>
  <c r="D376" i="78"/>
  <c r="C376" i="78"/>
  <c r="E376" i="78"/>
  <c r="B376" i="78"/>
  <c r="D375" i="78"/>
  <c r="C375" i="78"/>
  <c r="B375" i="78"/>
  <c r="D374" i="78"/>
  <c r="C374" i="78"/>
  <c r="E374" i="78"/>
  <c r="B374" i="78"/>
  <c r="D373" i="78"/>
  <c r="C373" i="78"/>
  <c r="B373" i="78"/>
  <c r="D372" i="78"/>
  <c r="C372" i="78"/>
  <c r="E372" i="78"/>
  <c r="B372" i="78"/>
  <c r="D371" i="78"/>
  <c r="C371" i="78"/>
  <c r="B371" i="78"/>
  <c r="D370" i="78"/>
  <c r="C370" i="78"/>
  <c r="E370" i="78"/>
  <c r="B370" i="78"/>
  <c r="D369" i="78"/>
  <c r="C369" i="78"/>
  <c r="B369" i="78"/>
  <c r="D368" i="78"/>
  <c r="C368" i="78"/>
  <c r="E368" i="78"/>
  <c r="B368" i="78"/>
  <c r="D367" i="78"/>
  <c r="C367" i="78"/>
  <c r="B367" i="78"/>
  <c r="D366" i="78"/>
  <c r="C366" i="78"/>
  <c r="E366" i="78"/>
  <c r="B366" i="78"/>
  <c r="D365" i="78"/>
  <c r="C365" i="78"/>
  <c r="B365" i="78"/>
  <c r="D364" i="78"/>
  <c r="C364" i="78"/>
  <c r="E364" i="78"/>
  <c r="B364" i="78"/>
  <c r="D363" i="78"/>
  <c r="C363" i="78"/>
  <c r="B363" i="78"/>
  <c r="D362" i="78"/>
  <c r="C362" i="78"/>
  <c r="E362" i="78"/>
  <c r="B362" i="78"/>
  <c r="D361" i="78"/>
  <c r="C361" i="78"/>
  <c r="B361" i="78"/>
  <c r="D360" i="78"/>
  <c r="C360" i="78"/>
  <c r="E360" i="78"/>
  <c r="B360" i="78"/>
  <c r="D359" i="78"/>
  <c r="C359" i="78"/>
  <c r="B359" i="78"/>
  <c r="D358" i="78"/>
  <c r="C358" i="78"/>
  <c r="E358" i="78"/>
  <c r="B358" i="78"/>
  <c r="D357" i="78"/>
  <c r="C357" i="78"/>
  <c r="B357" i="78"/>
  <c r="D356" i="78"/>
  <c r="C356" i="78"/>
  <c r="E356" i="78"/>
  <c r="B356" i="78"/>
  <c r="D355" i="78"/>
  <c r="C355" i="78"/>
  <c r="B355" i="78"/>
  <c r="D354" i="78"/>
  <c r="C354" i="78"/>
  <c r="E354" i="78"/>
  <c r="B354" i="78"/>
  <c r="D353" i="78"/>
  <c r="C353" i="78"/>
  <c r="B353" i="78"/>
  <c r="D352" i="78"/>
  <c r="C352" i="78"/>
  <c r="E352" i="78"/>
  <c r="B352" i="78"/>
  <c r="D351" i="78"/>
  <c r="C351" i="78"/>
  <c r="B351" i="78"/>
  <c r="D350" i="78"/>
  <c r="C350" i="78"/>
  <c r="E350" i="78"/>
  <c r="B350" i="78"/>
  <c r="D349" i="78"/>
  <c r="C349" i="78"/>
  <c r="B349" i="78"/>
  <c r="D348" i="78"/>
  <c r="C348" i="78"/>
  <c r="E348" i="78"/>
  <c r="B348" i="78"/>
  <c r="D347" i="78"/>
  <c r="C347" i="78"/>
  <c r="B347" i="78"/>
  <c r="D346" i="78"/>
  <c r="C346" i="78"/>
  <c r="E346" i="78"/>
  <c r="B346" i="78"/>
  <c r="D345" i="78"/>
  <c r="C345" i="78"/>
  <c r="B345" i="78"/>
  <c r="D344" i="78"/>
  <c r="C344" i="78"/>
  <c r="E344" i="78"/>
  <c r="B344" i="78"/>
  <c r="D343" i="78"/>
  <c r="C343" i="78"/>
  <c r="B343" i="78"/>
  <c r="D342" i="78"/>
  <c r="C342" i="78"/>
  <c r="E342" i="78"/>
  <c r="B342" i="78"/>
  <c r="D341" i="78"/>
  <c r="C341" i="78"/>
  <c r="B341" i="78"/>
  <c r="D340" i="78"/>
  <c r="C340" i="78"/>
  <c r="E340" i="78"/>
  <c r="B340" i="78"/>
  <c r="D339" i="78"/>
  <c r="C339" i="78"/>
  <c r="B339" i="78"/>
  <c r="D338" i="78"/>
  <c r="C338" i="78"/>
  <c r="E338" i="78"/>
  <c r="B338" i="78"/>
  <c r="D337" i="78"/>
  <c r="C337" i="78"/>
  <c r="B337" i="78"/>
  <c r="D336" i="78"/>
  <c r="C336" i="78"/>
  <c r="E336" i="78"/>
  <c r="B336" i="78"/>
  <c r="D335" i="78"/>
  <c r="C335" i="78"/>
  <c r="B335" i="78"/>
  <c r="D334" i="78"/>
  <c r="C334" i="78"/>
  <c r="E334" i="78"/>
  <c r="B334" i="78"/>
  <c r="D333" i="78"/>
  <c r="C333" i="78"/>
  <c r="B333" i="78"/>
  <c r="D332" i="78"/>
  <c r="C332" i="78"/>
  <c r="E332" i="78"/>
  <c r="B332" i="78"/>
  <c r="D331" i="78"/>
  <c r="C331" i="78"/>
  <c r="B331" i="78"/>
  <c r="D330" i="78"/>
  <c r="C330" i="78"/>
  <c r="E330" i="78"/>
  <c r="B330" i="78"/>
  <c r="D329" i="78"/>
  <c r="C329" i="78"/>
  <c r="B329" i="78"/>
  <c r="D328" i="78"/>
  <c r="C328" i="78"/>
  <c r="E328" i="78"/>
  <c r="B328" i="78"/>
  <c r="D327" i="78"/>
  <c r="C327" i="78"/>
  <c r="B327" i="78"/>
  <c r="D326" i="78"/>
  <c r="C326" i="78"/>
  <c r="E326" i="78"/>
  <c r="B326" i="78"/>
  <c r="D325" i="78"/>
  <c r="C325" i="78"/>
  <c r="B325" i="78"/>
  <c r="D324" i="78"/>
  <c r="C324" i="78"/>
  <c r="E324" i="78"/>
  <c r="B324" i="78"/>
  <c r="D323" i="78"/>
  <c r="C323" i="78"/>
  <c r="B323" i="78"/>
  <c r="D322" i="78"/>
  <c r="C322" i="78"/>
  <c r="E322" i="78"/>
  <c r="B322" i="78"/>
  <c r="D321" i="78"/>
  <c r="C321" i="78"/>
  <c r="B321" i="78"/>
  <c r="D320" i="78"/>
  <c r="C320" i="78"/>
  <c r="E320" i="78"/>
  <c r="B320" i="78"/>
  <c r="D319" i="78"/>
  <c r="C319" i="78"/>
  <c r="B319" i="78"/>
  <c r="D318" i="78"/>
  <c r="C318" i="78"/>
  <c r="E318" i="78"/>
  <c r="B318" i="78"/>
  <c r="D317" i="78"/>
  <c r="C317" i="78"/>
  <c r="B317" i="78"/>
  <c r="D316" i="78"/>
  <c r="C316" i="78"/>
  <c r="E316" i="78"/>
  <c r="B316" i="78"/>
  <c r="D315" i="78"/>
  <c r="C315" i="78"/>
  <c r="B315" i="78"/>
  <c r="D314" i="78"/>
  <c r="C314" i="78"/>
  <c r="E314" i="78"/>
  <c r="B314" i="78"/>
  <c r="D313" i="78"/>
  <c r="C313" i="78"/>
  <c r="B313" i="78"/>
  <c r="D312" i="78"/>
  <c r="C312" i="78"/>
  <c r="E312" i="78"/>
  <c r="B312" i="78"/>
  <c r="D311" i="78"/>
  <c r="C311" i="78"/>
  <c r="B311" i="78"/>
  <c r="D310" i="78"/>
  <c r="C310" i="78"/>
  <c r="E310" i="78"/>
  <c r="B310" i="78"/>
  <c r="D309" i="78"/>
  <c r="C309" i="78"/>
  <c r="B309" i="78"/>
  <c r="D308" i="78"/>
  <c r="C308" i="78"/>
  <c r="E308" i="78"/>
  <c r="B308" i="78"/>
  <c r="D307" i="78"/>
  <c r="C307" i="78"/>
  <c r="B307" i="78"/>
  <c r="D306" i="78"/>
  <c r="C306" i="78"/>
  <c r="E306" i="78"/>
  <c r="B306" i="78"/>
  <c r="D305" i="78"/>
  <c r="C305" i="78"/>
  <c r="B305" i="78"/>
  <c r="D304" i="78"/>
  <c r="C304" i="78"/>
  <c r="E304" i="78"/>
  <c r="B304" i="78"/>
  <c r="D303" i="78"/>
  <c r="C303" i="78"/>
  <c r="B303" i="78"/>
  <c r="D302" i="78"/>
  <c r="C302" i="78"/>
  <c r="E302" i="78"/>
  <c r="B302" i="78"/>
  <c r="D301" i="78"/>
  <c r="C301" i="78"/>
  <c r="B301" i="78"/>
  <c r="D300" i="78"/>
  <c r="C300" i="78"/>
  <c r="E300" i="78"/>
  <c r="B300" i="78"/>
  <c r="D299" i="78"/>
  <c r="C299" i="78"/>
  <c r="B299" i="78"/>
  <c r="D298" i="78"/>
  <c r="C298" i="78"/>
  <c r="E298" i="78"/>
  <c r="B298" i="78"/>
  <c r="D297" i="78"/>
  <c r="C297" i="78"/>
  <c r="B297" i="78"/>
  <c r="D296" i="78"/>
  <c r="C296" i="78"/>
  <c r="E296" i="78"/>
  <c r="B296" i="78"/>
  <c r="D295" i="78"/>
  <c r="C295" i="78"/>
  <c r="B295" i="78"/>
  <c r="D294" i="78"/>
  <c r="C294" i="78"/>
  <c r="E294" i="78"/>
  <c r="B294" i="78"/>
  <c r="D293" i="78"/>
  <c r="C293" i="78"/>
  <c r="B293" i="78"/>
  <c r="D292" i="78"/>
  <c r="C292" i="78"/>
  <c r="E292" i="78"/>
  <c r="B292" i="78"/>
  <c r="D291" i="78"/>
  <c r="C291" i="78"/>
  <c r="B291" i="78"/>
  <c r="D290" i="78"/>
  <c r="C290" i="78"/>
  <c r="E290" i="78"/>
  <c r="B290" i="78"/>
  <c r="D289" i="78"/>
  <c r="C289" i="78"/>
  <c r="B289" i="78"/>
  <c r="D288" i="78"/>
  <c r="C288" i="78"/>
  <c r="E288" i="78"/>
  <c r="B288" i="78"/>
  <c r="D287" i="78"/>
  <c r="C287" i="78"/>
  <c r="B287" i="78"/>
  <c r="D286" i="78"/>
  <c r="C286" i="78"/>
  <c r="E286" i="78"/>
  <c r="B286" i="78"/>
  <c r="D285" i="78"/>
  <c r="C285" i="78"/>
  <c r="B285" i="78"/>
  <c r="D284" i="78"/>
  <c r="C284" i="78"/>
  <c r="E284" i="78"/>
  <c r="B284" i="78"/>
  <c r="D283" i="78"/>
  <c r="C283" i="78"/>
  <c r="B283" i="78"/>
  <c r="D282" i="78"/>
  <c r="C282" i="78"/>
  <c r="E282" i="78"/>
  <c r="B282" i="78"/>
  <c r="D281" i="78"/>
  <c r="C281" i="78"/>
  <c r="B281" i="78"/>
  <c r="D280" i="78"/>
  <c r="C280" i="78"/>
  <c r="E280" i="78"/>
  <c r="B280" i="78"/>
  <c r="D279" i="78"/>
  <c r="C279" i="78"/>
  <c r="B279" i="78"/>
  <c r="D278" i="78"/>
  <c r="C278" i="78"/>
  <c r="E278" i="78"/>
  <c r="B278" i="78"/>
  <c r="D277" i="78"/>
  <c r="C277" i="78"/>
  <c r="B277" i="78"/>
  <c r="D276" i="78"/>
  <c r="C276" i="78"/>
  <c r="E276" i="78"/>
  <c r="B276" i="78"/>
  <c r="D275" i="78"/>
  <c r="C275" i="78"/>
  <c r="B275" i="78"/>
  <c r="D274" i="78"/>
  <c r="C274" i="78"/>
  <c r="E274" i="78"/>
  <c r="B274" i="78"/>
  <c r="D273" i="78"/>
  <c r="C273" i="78"/>
  <c r="B273" i="78"/>
  <c r="D272" i="78"/>
  <c r="C272" i="78"/>
  <c r="E272" i="78"/>
  <c r="B272" i="78"/>
  <c r="D271" i="78"/>
  <c r="C271" i="78"/>
  <c r="B271" i="78"/>
  <c r="D270" i="78"/>
  <c r="C270" i="78"/>
  <c r="E270" i="78"/>
  <c r="B270" i="78"/>
  <c r="D269" i="78"/>
  <c r="C269" i="78"/>
  <c r="B269" i="78"/>
  <c r="D268" i="78"/>
  <c r="C268" i="78"/>
  <c r="E268" i="78"/>
  <c r="B268" i="78"/>
  <c r="D267" i="78"/>
  <c r="C267" i="78"/>
  <c r="B267" i="78"/>
  <c r="D266" i="78"/>
  <c r="C266" i="78"/>
  <c r="E266" i="78"/>
  <c r="B266" i="78"/>
  <c r="D265" i="78"/>
  <c r="C265" i="78"/>
  <c r="B265" i="78"/>
  <c r="D264" i="78"/>
  <c r="C264" i="78"/>
  <c r="E264" i="78"/>
  <c r="B264" i="78"/>
  <c r="D263" i="78"/>
  <c r="C263" i="78"/>
  <c r="B263" i="78"/>
  <c r="D262" i="78"/>
  <c r="C262" i="78"/>
  <c r="E262" i="78"/>
  <c r="B262" i="78"/>
  <c r="D261" i="78"/>
  <c r="C261" i="78"/>
  <c r="B261" i="78"/>
  <c r="D260" i="78"/>
  <c r="C260" i="78"/>
  <c r="E260" i="78"/>
  <c r="B260" i="78"/>
  <c r="D259" i="78"/>
  <c r="C259" i="78"/>
  <c r="B259" i="78"/>
  <c r="D258" i="78"/>
  <c r="C258" i="78"/>
  <c r="E258" i="78"/>
  <c r="B258" i="78"/>
  <c r="D257" i="78"/>
  <c r="C257" i="78"/>
  <c r="B257" i="78"/>
  <c r="D256" i="78"/>
  <c r="C256" i="78"/>
  <c r="E256" i="78"/>
  <c r="B256" i="78"/>
  <c r="D255" i="78"/>
  <c r="C255" i="78"/>
  <c r="B255" i="78"/>
  <c r="D254" i="78"/>
  <c r="C254" i="78"/>
  <c r="E254" i="78"/>
  <c r="B254" i="78"/>
  <c r="D253" i="78"/>
  <c r="C253" i="78"/>
  <c r="B253" i="78"/>
  <c r="D252" i="78"/>
  <c r="C252" i="78"/>
  <c r="E252" i="78"/>
  <c r="B252" i="78"/>
  <c r="D251" i="78"/>
  <c r="C251" i="78"/>
  <c r="B251" i="78"/>
  <c r="D250" i="78"/>
  <c r="C250" i="78"/>
  <c r="E250" i="78"/>
  <c r="B250" i="78"/>
  <c r="D249" i="78"/>
  <c r="C249" i="78"/>
  <c r="B249" i="78"/>
  <c r="D248" i="78"/>
  <c r="C248" i="78"/>
  <c r="E248" i="78"/>
  <c r="B248" i="78"/>
  <c r="D247" i="78"/>
  <c r="C247" i="78"/>
  <c r="B247" i="78"/>
  <c r="D246" i="78"/>
  <c r="C246" i="78"/>
  <c r="E246" i="78"/>
  <c r="B246" i="78"/>
  <c r="D245" i="78"/>
  <c r="C245" i="78"/>
  <c r="B245" i="78"/>
  <c r="D244" i="78"/>
  <c r="C244" i="78"/>
  <c r="E244" i="78"/>
  <c r="B244" i="78"/>
  <c r="D243" i="78"/>
  <c r="C243" i="78"/>
  <c r="B243" i="78"/>
  <c r="D242" i="78"/>
  <c r="C242" i="78"/>
  <c r="E242" i="78"/>
  <c r="B242" i="78"/>
  <c r="D241" i="78"/>
  <c r="C241" i="78"/>
  <c r="B241" i="78"/>
  <c r="D240" i="78"/>
  <c r="C240" i="78"/>
  <c r="E240" i="78"/>
  <c r="B240" i="78"/>
  <c r="D239" i="78"/>
  <c r="C239" i="78"/>
  <c r="B239" i="78"/>
  <c r="D238" i="78"/>
  <c r="C238" i="78"/>
  <c r="E238" i="78"/>
  <c r="B238" i="78"/>
  <c r="D237" i="78"/>
  <c r="C237" i="78"/>
  <c r="B237" i="78"/>
  <c r="D236" i="78"/>
  <c r="C236" i="78"/>
  <c r="E236" i="78"/>
  <c r="B236" i="78"/>
  <c r="D235" i="78"/>
  <c r="C235" i="78"/>
  <c r="B235" i="78"/>
  <c r="D234" i="78"/>
  <c r="C234" i="78"/>
  <c r="E234" i="78"/>
  <c r="B234" i="78"/>
  <c r="D233" i="78"/>
  <c r="C233" i="78"/>
  <c r="B233" i="78"/>
  <c r="D232" i="78"/>
  <c r="C232" i="78"/>
  <c r="E232" i="78"/>
  <c r="B232" i="78"/>
  <c r="D231" i="78"/>
  <c r="C231" i="78"/>
  <c r="B231" i="78"/>
  <c r="D230" i="78"/>
  <c r="C230" i="78"/>
  <c r="E230" i="78"/>
  <c r="B230" i="78"/>
  <c r="D229" i="78"/>
  <c r="C229" i="78"/>
  <c r="B229" i="78"/>
  <c r="D228" i="78"/>
  <c r="C228" i="78"/>
  <c r="E228" i="78"/>
  <c r="B228" i="78"/>
  <c r="D227" i="78"/>
  <c r="C227" i="78"/>
  <c r="B227" i="78"/>
  <c r="D226" i="78"/>
  <c r="C226" i="78"/>
  <c r="E226" i="78"/>
  <c r="B226" i="78"/>
  <c r="D225" i="78"/>
  <c r="C225" i="78"/>
  <c r="B225" i="78"/>
  <c r="D224" i="78"/>
  <c r="C224" i="78"/>
  <c r="E224" i="78"/>
  <c r="B224" i="78"/>
  <c r="D223" i="78"/>
  <c r="C223" i="78"/>
  <c r="B223" i="78"/>
  <c r="D222" i="78"/>
  <c r="C222" i="78"/>
  <c r="E222" i="78"/>
  <c r="B222" i="78"/>
  <c r="D221" i="78"/>
  <c r="C221" i="78"/>
  <c r="B221" i="78"/>
  <c r="D220" i="78"/>
  <c r="C220" i="78"/>
  <c r="E220" i="78"/>
  <c r="B220" i="78"/>
  <c r="D219" i="78"/>
  <c r="C219" i="78"/>
  <c r="B219" i="78"/>
  <c r="D218" i="78"/>
  <c r="C218" i="78"/>
  <c r="E218" i="78"/>
  <c r="B218" i="78"/>
  <c r="D217" i="78"/>
  <c r="C217" i="78"/>
  <c r="B217" i="78"/>
  <c r="D216" i="78"/>
  <c r="C216" i="78"/>
  <c r="E216" i="78"/>
  <c r="B216" i="78"/>
  <c r="D215" i="78"/>
  <c r="C215" i="78"/>
  <c r="B215" i="78"/>
  <c r="D214" i="78"/>
  <c r="C214" i="78"/>
  <c r="E214" i="78"/>
  <c r="B214" i="78"/>
  <c r="D213" i="78"/>
  <c r="C213" i="78"/>
  <c r="B213" i="78"/>
  <c r="D212" i="78"/>
  <c r="C212" i="78"/>
  <c r="E212" i="78"/>
  <c r="B212" i="78"/>
  <c r="D211" i="78"/>
  <c r="C211" i="78"/>
  <c r="B211" i="78"/>
  <c r="D210" i="78"/>
  <c r="C210" i="78"/>
  <c r="E210" i="78"/>
  <c r="B210" i="78"/>
  <c r="D209" i="78"/>
  <c r="C209" i="78"/>
  <c r="B209" i="78"/>
  <c r="D208" i="78"/>
  <c r="C208" i="78"/>
  <c r="E208" i="78"/>
  <c r="B208" i="78"/>
  <c r="D207" i="78"/>
  <c r="C207" i="78"/>
  <c r="B207" i="78"/>
  <c r="D206" i="78"/>
  <c r="C206" i="78"/>
  <c r="E206" i="78"/>
  <c r="B206" i="78"/>
  <c r="D205" i="78"/>
  <c r="C205" i="78"/>
  <c r="B205" i="78"/>
  <c r="D204" i="78"/>
  <c r="C204" i="78"/>
  <c r="E204" i="78"/>
  <c r="B204" i="78"/>
  <c r="D203" i="78"/>
  <c r="C203" i="78"/>
  <c r="B203" i="78"/>
  <c r="D202" i="78"/>
  <c r="C202" i="78"/>
  <c r="E202" i="78"/>
  <c r="B202" i="78"/>
  <c r="D201" i="78"/>
  <c r="C201" i="78"/>
  <c r="B201" i="78"/>
  <c r="D200" i="78"/>
  <c r="C200" i="78"/>
  <c r="E200" i="78"/>
  <c r="B200" i="78"/>
  <c r="D199" i="78"/>
  <c r="C199" i="78"/>
  <c r="B199" i="78"/>
  <c r="D198" i="78"/>
  <c r="C198" i="78"/>
  <c r="E198" i="78"/>
  <c r="B198" i="78"/>
  <c r="D197" i="78"/>
  <c r="C197" i="78"/>
  <c r="B197" i="78"/>
  <c r="D196" i="78"/>
  <c r="C196" i="78"/>
  <c r="E196" i="78"/>
  <c r="B196" i="78"/>
  <c r="D195" i="78"/>
  <c r="C195" i="78"/>
  <c r="B195" i="78"/>
  <c r="D194" i="78"/>
  <c r="C194" i="78"/>
  <c r="E194" i="78"/>
  <c r="B194" i="78"/>
  <c r="D193" i="78"/>
  <c r="C193" i="78"/>
  <c r="B193" i="78"/>
  <c r="D192" i="78"/>
  <c r="C192" i="78"/>
  <c r="E192" i="78"/>
  <c r="B192" i="78"/>
  <c r="D191" i="78"/>
  <c r="C191" i="78"/>
  <c r="B191" i="78"/>
  <c r="D190" i="78"/>
  <c r="C190" i="78"/>
  <c r="E190" i="78"/>
  <c r="B190" i="78"/>
  <c r="D189" i="78"/>
  <c r="C189" i="78"/>
  <c r="B189" i="78"/>
  <c r="D188" i="78"/>
  <c r="C188" i="78"/>
  <c r="E188" i="78"/>
  <c r="B188" i="78"/>
  <c r="D187" i="78"/>
  <c r="C187" i="78"/>
  <c r="B187" i="78"/>
  <c r="D186" i="78"/>
  <c r="C186" i="78"/>
  <c r="E186" i="78"/>
  <c r="B186" i="78"/>
  <c r="D185" i="78"/>
  <c r="C185" i="78"/>
  <c r="B185" i="78"/>
  <c r="D184" i="78"/>
  <c r="C184" i="78"/>
  <c r="E184" i="78"/>
  <c r="B184" i="78"/>
  <c r="D183" i="78"/>
  <c r="C183" i="78"/>
  <c r="B183" i="78"/>
  <c r="D182" i="78"/>
  <c r="C182" i="78"/>
  <c r="E182" i="78"/>
  <c r="B182" i="78"/>
  <c r="D181" i="78"/>
  <c r="C181" i="78"/>
  <c r="B181" i="78"/>
  <c r="D180" i="78"/>
  <c r="C180" i="78"/>
  <c r="E180" i="78"/>
  <c r="B180" i="78"/>
  <c r="D179" i="78"/>
  <c r="C179" i="78"/>
  <c r="B179" i="78"/>
  <c r="D178" i="78"/>
  <c r="C178" i="78"/>
  <c r="E178" i="78"/>
  <c r="B178" i="78"/>
  <c r="D177" i="78"/>
  <c r="C177" i="78"/>
  <c r="B177" i="78"/>
  <c r="D176" i="78"/>
  <c r="C176" i="78"/>
  <c r="E176" i="78"/>
  <c r="B176" i="78"/>
  <c r="D175" i="78"/>
  <c r="C175" i="78"/>
  <c r="B175" i="78"/>
  <c r="D174" i="78"/>
  <c r="C174" i="78"/>
  <c r="E174" i="78"/>
  <c r="B174" i="78"/>
  <c r="D173" i="78"/>
  <c r="C173" i="78"/>
  <c r="B173" i="78"/>
  <c r="D172" i="78"/>
  <c r="C172" i="78"/>
  <c r="E172" i="78"/>
  <c r="B172" i="78"/>
  <c r="D171" i="78"/>
  <c r="C171" i="78"/>
  <c r="B171" i="78"/>
  <c r="D170" i="78"/>
  <c r="C170" i="78"/>
  <c r="E170" i="78"/>
  <c r="B170" i="78"/>
  <c r="D169" i="78"/>
  <c r="C169" i="78"/>
  <c r="B169" i="78"/>
  <c r="D168" i="78"/>
  <c r="C168" i="78"/>
  <c r="E168" i="78"/>
  <c r="B168" i="78"/>
  <c r="D167" i="78"/>
  <c r="C167" i="78"/>
  <c r="B167" i="78"/>
  <c r="D166" i="78"/>
  <c r="C166" i="78"/>
  <c r="E166" i="78"/>
  <c r="B166" i="78"/>
  <c r="D165" i="78"/>
  <c r="C165" i="78"/>
  <c r="B165" i="78"/>
  <c r="D164" i="78"/>
  <c r="C164" i="78"/>
  <c r="E164" i="78"/>
  <c r="B164" i="78"/>
  <c r="D163" i="78"/>
  <c r="C163" i="78"/>
  <c r="B163" i="78"/>
  <c r="D162" i="78"/>
  <c r="C162" i="78"/>
  <c r="E162" i="78"/>
  <c r="B162" i="78"/>
  <c r="D161" i="78"/>
  <c r="C161" i="78"/>
  <c r="B161" i="78"/>
  <c r="D160" i="78"/>
  <c r="C160" i="78"/>
  <c r="E160" i="78"/>
  <c r="B160" i="78"/>
  <c r="D159" i="78"/>
  <c r="C159" i="78"/>
  <c r="B159" i="78"/>
  <c r="D158" i="78"/>
  <c r="C158" i="78"/>
  <c r="E158" i="78"/>
  <c r="B158" i="78"/>
  <c r="D157" i="78"/>
  <c r="C157" i="78"/>
  <c r="B157" i="78"/>
  <c r="D156" i="78"/>
  <c r="C156" i="78"/>
  <c r="E156" i="78"/>
  <c r="B156" i="78"/>
  <c r="D155" i="78"/>
  <c r="C155" i="78"/>
  <c r="B155" i="78"/>
  <c r="D154" i="78"/>
  <c r="C154" i="78"/>
  <c r="E154" i="78"/>
  <c r="B154" i="78"/>
  <c r="D153" i="78"/>
  <c r="C153" i="78"/>
  <c r="B153" i="78"/>
  <c r="D152" i="78"/>
  <c r="C152" i="78"/>
  <c r="E152" i="78"/>
  <c r="B152" i="78"/>
  <c r="D151" i="78"/>
  <c r="C151" i="78"/>
  <c r="B151" i="78"/>
  <c r="D150" i="78"/>
  <c r="C150" i="78"/>
  <c r="E150" i="78"/>
  <c r="B150" i="78"/>
  <c r="D149" i="78"/>
  <c r="C149" i="78"/>
  <c r="B149" i="78"/>
  <c r="D148" i="78"/>
  <c r="C148" i="78"/>
  <c r="E148" i="78"/>
  <c r="B148" i="78"/>
  <c r="D147" i="78"/>
  <c r="C147" i="78"/>
  <c r="B147" i="78"/>
  <c r="D146" i="78"/>
  <c r="C146" i="78"/>
  <c r="E146" i="78"/>
  <c r="B146" i="78"/>
  <c r="D145" i="78"/>
  <c r="C145" i="78"/>
  <c r="B145" i="78"/>
  <c r="D144" i="78"/>
  <c r="C144" i="78"/>
  <c r="E144" i="78"/>
  <c r="B144" i="78"/>
  <c r="D143" i="78"/>
  <c r="C143" i="78"/>
  <c r="B143" i="78"/>
  <c r="D142" i="78"/>
  <c r="C142" i="78"/>
  <c r="E142" i="78"/>
  <c r="B142" i="78"/>
  <c r="D141" i="78"/>
  <c r="C141" i="78"/>
  <c r="B141" i="78"/>
  <c r="D140" i="78"/>
  <c r="C140" i="78"/>
  <c r="E140" i="78"/>
  <c r="B140" i="78"/>
  <c r="D139" i="78"/>
  <c r="C139" i="78"/>
  <c r="B139" i="78"/>
  <c r="D138" i="78"/>
  <c r="C138" i="78"/>
  <c r="E138" i="78"/>
  <c r="B138" i="78"/>
  <c r="D137" i="78"/>
  <c r="C137" i="78"/>
  <c r="B137" i="78"/>
  <c r="D136" i="78"/>
  <c r="C136" i="78"/>
  <c r="E136" i="78"/>
  <c r="B136" i="78"/>
  <c r="D135" i="78"/>
  <c r="C135" i="78"/>
  <c r="B135" i="78"/>
  <c r="D134" i="78"/>
  <c r="C134" i="78"/>
  <c r="E134" i="78"/>
  <c r="B134" i="78"/>
  <c r="D133" i="78"/>
  <c r="C133" i="78"/>
  <c r="B133" i="78"/>
  <c r="D132" i="78"/>
  <c r="C132" i="78"/>
  <c r="E132" i="78"/>
  <c r="B132" i="78"/>
  <c r="D131" i="78"/>
  <c r="C131" i="78"/>
  <c r="B131" i="78"/>
  <c r="D130" i="78"/>
  <c r="C130" i="78"/>
  <c r="E130" i="78"/>
  <c r="B130" i="78"/>
  <c r="D129" i="78"/>
  <c r="C129" i="78"/>
  <c r="B129" i="78"/>
  <c r="D128" i="78"/>
  <c r="C128" i="78"/>
  <c r="E128" i="78"/>
  <c r="B128" i="78"/>
  <c r="D127" i="78"/>
  <c r="C127" i="78"/>
  <c r="B127" i="78"/>
  <c r="D126" i="78"/>
  <c r="C126" i="78"/>
  <c r="E126" i="78"/>
  <c r="B126" i="78"/>
  <c r="D125" i="78"/>
  <c r="C125" i="78"/>
  <c r="B125" i="78"/>
  <c r="D124" i="78"/>
  <c r="C124" i="78"/>
  <c r="E124" i="78"/>
  <c r="B124" i="78"/>
  <c r="D123" i="78"/>
  <c r="C123" i="78"/>
  <c r="B123" i="78"/>
  <c r="D122" i="78"/>
  <c r="C122" i="78"/>
  <c r="E122" i="78"/>
  <c r="B122" i="78"/>
  <c r="D121" i="78"/>
  <c r="C121" i="78"/>
  <c r="B121" i="78"/>
  <c r="D120" i="78"/>
  <c r="C120" i="78"/>
  <c r="E120" i="78"/>
  <c r="B120" i="78"/>
  <c r="D119" i="78"/>
  <c r="C119" i="78"/>
  <c r="B119" i="78"/>
  <c r="D118" i="78"/>
  <c r="C118" i="78"/>
  <c r="E118" i="78"/>
  <c r="B118" i="78"/>
  <c r="D117" i="78"/>
  <c r="C117" i="78"/>
  <c r="B117" i="78"/>
  <c r="D116" i="78"/>
  <c r="C116" i="78"/>
  <c r="E116" i="78"/>
  <c r="B116" i="78"/>
  <c r="D115" i="78"/>
  <c r="C115" i="78"/>
  <c r="B115" i="78"/>
  <c r="D114" i="78"/>
  <c r="C114" i="78"/>
  <c r="E114" i="78"/>
  <c r="B114" i="78"/>
  <c r="D113" i="78"/>
  <c r="C113" i="78"/>
  <c r="B113" i="78"/>
  <c r="D112" i="78"/>
  <c r="C112" i="78"/>
  <c r="E112" i="78"/>
  <c r="B112" i="78"/>
  <c r="D111" i="78"/>
  <c r="C111" i="78"/>
  <c r="B111" i="78"/>
  <c r="D110" i="78"/>
  <c r="C110" i="78"/>
  <c r="E110" i="78"/>
  <c r="B110" i="78"/>
  <c r="D109" i="78"/>
  <c r="C109" i="78"/>
  <c r="B109" i="78"/>
  <c r="D108" i="78"/>
  <c r="C108" i="78"/>
  <c r="E108" i="78"/>
  <c r="B108" i="78"/>
  <c r="D107" i="78"/>
  <c r="C107" i="78"/>
  <c r="B107" i="78"/>
  <c r="D106" i="78"/>
  <c r="C106" i="78"/>
  <c r="E106" i="78"/>
  <c r="B106" i="78"/>
  <c r="D105" i="78"/>
  <c r="C105" i="78"/>
  <c r="B105" i="78"/>
  <c r="D104" i="78"/>
  <c r="C104" i="78"/>
  <c r="E104" i="78"/>
  <c r="B104" i="78"/>
  <c r="D103" i="78"/>
  <c r="C103" i="78"/>
  <c r="B103" i="78"/>
  <c r="D102" i="78"/>
  <c r="C102" i="78"/>
  <c r="E102" i="78"/>
  <c r="B102" i="78"/>
  <c r="D101" i="78"/>
  <c r="C101" i="78"/>
  <c r="B101" i="78"/>
  <c r="D100" i="78"/>
  <c r="C100" i="78"/>
  <c r="E100" i="78"/>
  <c r="B100" i="78"/>
  <c r="D99" i="78"/>
  <c r="C99" i="78"/>
  <c r="B99" i="78"/>
  <c r="D98" i="78"/>
  <c r="C98" i="78"/>
  <c r="E98" i="78"/>
  <c r="B98" i="78"/>
  <c r="D97" i="78"/>
  <c r="C97" i="78"/>
  <c r="B97" i="78"/>
  <c r="D96" i="78"/>
  <c r="C96" i="78"/>
  <c r="E96" i="78"/>
  <c r="B96" i="78"/>
  <c r="D95" i="78"/>
  <c r="C95" i="78"/>
  <c r="B95" i="78"/>
  <c r="D94" i="78"/>
  <c r="C94" i="78"/>
  <c r="E94" i="78"/>
  <c r="B94" i="78"/>
  <c r="D93" i="78"/>
  <c r="C93" i="78"/>
  <c r="B93" i="78"/>
  <c r="D92" i="78"/>
  <c r="C92" i="78"/>
  <c r="E92" i="78"/>
  <c r="B92" i="78"/>
  <c r="D91" i="78"/>
  <c r="C91" i="78"/>
  <c r="B91" i="78"/>
  <c r="D90" i="78"/>
  <c r="C90" i="78"/>
  <c r="E90" i="78"/>
  <c r="B90" i="78"/>
  <c r="D89" i="78"/>
  <c r="C89" i="78"/>
  <c r="B89" i="78"/>
  <c r="D88" i="78"/>
  <c r="C88" i="78"/>
  <c r="E88" i="78"/>
  <c r="B88" i="78"/>
  <c r="D87" i="78"/>
  <c r="C87" i="78"/>
  <c r="B87" i="78"/>
  <c r="D86" i="78"/>
  <c r="C86" i="78"/>
  <c r="E86" i="78"/>
  <c r="B86" i="78"/>
  <c r="D85" i="78"/>
  <c r="C85" i="78"/>
  <c r="B85" i="78"/>
  <c r="D84" i="78"/>
  <c r="C84" i="78"/>
  <c r="E84" i="78"/>
  <c r="B84" i="78"/>
  <c r="D83" i="78"/>
  <c r="C83" i="78"/>
  <c r="B83" i="78"/>
  <c r="D82" i="78"/>
  <c r="C82" i="78"/>
  <c r="E82" i="78"/>
  <c r="B82" i="78"/>
  <c r="D81" i="78"/>
  <c r="C81" i="78"/>
  <c r="B81" i="78"/>
  <c r="D80" i="78"/>
  <c r="C80" i="78"/>
  <c r="E80" i="78"/>
  <c r="B80" i="78"/>
  <c r="D79" i="78"/>
  <c r="C79" i="78"/>
  <c r="B79" i="78"/>
  <c r="D78" i="78"/>
  <c r="C78" i="78"/>
  <c r="E78" i="78"/>
  <c r="B78" i="78"/>
  <c r="D77" i="78"/>
  <c r="C77" i="78"/>
  <c r="B77" i="78"/>
  <c r="D76" i="78"/>
  <c r="C76" i="78"/>
  <c r="E76" i="78"/>
  <c r="B76" i="78"/>
  <c r="D75" i="78"/>
  <c r="C75" i="78"/>
  <c r="B75" i="78"/>
  <c r="D74" i="78"/>
  <c r="C74" i="78"/>
  <c r="E74" i="78"/>
  <c r="B74" i="78"/>
  <c r="D73" i="78"/>
  <c r="C73" i="78"/>
  <c r="B73" i="78"/>
  <c r="D72" i="78"/>
  <c r="C72" i="78"/>
  <c r="E72" i="78"/>
  <c r="B72" i="78"/>
  <c r="D71" i="78"/>
  <c r="C71" i="78"/>
  <c r="B71" i="78"/>
  <c r="D70" i="78"/>
  <c r="C70" i="78"/>
  <c r="E70" i="78"/>
  <c r="B70" i="78"/>
  <c r="D69" i="78"/>
  <c r="C69" i="78"/>
  <c r="B69" i="78"/>
  <c r="D68" i="78"/>
  <c r="C68" i="78"/>
  <c r="E68" i="78"/>
  <c r="B68" i="78"/>
  <c r="D67" i="78"/>
  <c r="C67" i="78"/>
  <c r="B67" i="78"/>
  <c r="D66" i="78"/>
  <c r="C66" i="78"/>
  <c r="E66" i="78"/>
  <c r="B66" i="78"/>
  <c r="D65" i="78"/>
  <c r="C65" i="78"/>
  <c r="B65" i="78"/>
  <c r="D64" i="78"/>
  <c r="C64" i="78"/>
  <c r="E64" i="78"/>
  <c r="B64" i="78"/>
  <c r="D63" i="78"/>
  <c r="C63" i="78"/>
  <c r="B63" i="78"/>
  <c r="D62" i="78"/>
  <c r="C62" i="78"/>
  <c r="E62" i="78"/>
  <c r="B62" i="78"/>
  <c r="D61" i="78"/>
  <c r="C61" i="78"/>
  <c r="B61" i="78"/>
  <c r="D60" i="78"/>
  <c r="C60" i="78"/>
  <c r="E60" i="78"/>
  <c r="B60" i="78"/>
  <c r="D59" i="78"/>
  <c r="C59" i="78"/>
  <c r="B59" i="78"/>
  <c r="D58" i="78"/>
  <c r="C58" i="78"/>
  <c r="E58" i="78"/>
  <c r="B58" i="78"/>
  <c r="D57" i="78"/>
  <c r="C57" i="78"/>
  <c r="B57" i="78"/>
  <c r="D56" i="78"/>
  <c r="C56" i="78"/>
  <c r="E56" i="78"/>
  <c r="B56" i="78"/>
  <c r="D55" i="78"/>
  <c r="C55" i="78"/>
  <c r="B55" i="78"/>
  <c r="D54" i="78"/>
  <c r="C54" i="78"/>
  <c r="E54" i="78"/>
  <c r="B54" i="78"/>
  <c r="D53" i="78"/>
  <c r="C53" i="78"/>
  <c r="B53" i="78"/>
  <c r="D52" i="78"/>
  <c r="C52" i="78"/>
  <c r="E52" i="78"/>
  <c r="B52" i="78"/>
  <c r="D51" i="78"/>
  <c r="C51" i="78"/>
  <c r="B51" i="78"/>
  <c r="D50" i="78"/>
  <c r="C50" i="78"/>
  <c r="E50" i="78"/>
  <c r="B50" i="78"/>
  <c r="D49" i="78"/>
  <c r="C49" i="78"/>
  <c r="B49" i="78"/>
  <c r="D48" i="78"/>
  <c r="C48" i="78"/>
  <c r="E48" i="78"/>
  <c r="B48" i="78"/>
  <c r="D47" i="78"/>
  <c r="C47" i="78"/>
  <c r="B47" i="78"/>
  <c r="D46" i="78"/>
  <c r="C46" i="78"/>
  <c r="E46" i="78"/>
  <c r="B46" i="78"/>
  <c r="D45" i="78"/>
  <c r="C45" i="78"/>
  <c r="B45" i="78"/>
  <c r="D44" i="78"/>
  <c r="C44" i="78"/>
  <c r="E44" i="78"/>
  <c r="B44" i="78"/>
  <c r="D43" i="78"/>
  <c r="C43" i="78"/>
  <c r="B43" i="78"/>
  <c r="D42" i="78"/>
  <c r="C42" i="78"/>
  <c r="E42" i="78"/>
  <c r="B42" i="78"/>
  <c r="D41" i="78"/>
  <c r="C41" i="78"/>
  <c r="B41" i="78"/>
  <c r="D40" i="78"/>
  <c r="C40" i="78"/>
  <c r="E40" i="78"/>
  <c r="B40" i="78"/>
  <c r="D39" i="78"/>
  <c r="C39" i="78"/>
  <c r="B39" i="78"/>
  <c r="D38" i="78"/>
  <c r="C38" i="78"/>
  <c r="E38" i="78"/>
  <c r="B38" i="78"/>
  <c r="D37" i="78"/>
  <c r="C37" i="78"/>
  <c r="B37" i="78"/>
  <c r="D36" i="78"/>
  <c r="C36" i="78"/>
  <c r="E36" i="78"/>
  <c r="B36" i="78"/>
  <c r="D35" i="78"/>
  <c r="C35" i="78"/>
  <c r="B35" i="78"/>
  <c r="D34" i="78"/>
  <c r="C34" i="78"/>
  <c r="E34" i="78"/>
  <c r="B34" i="78"/>
  <c r="D33" i="78"/>
  <c r="C33" i="78"/>
  <c r="B33" i="78"/>
  <c r="D32" i="78"/>
  <c r="C32" i="78"/>
  <c r="E32" i="78"/>
  <c r="B32" i="78"/>
  <c r="D31" i="78"/>
  <c r="C31" i="78"/>
  <c r="B31" i="78"/>
  <c r="D30" i="78"/>
  <c r="C30" i="78"/>
  <c r="E30" i="78"/>
  <c r="B30" i="78"/>
  <c r="D29" i="78"/>
  <c r="C29" i="78"/>
  <c r="B29" i="78"/>
  <c r="D28" i="78"/>
  <c r="C28" i="78"/>
  <c r="E28" i="78"/>
  <c r="B28" i="78"/>
  <c r="D27" i="78"/>
  <c r="C27" i="78"/>
  <c r="B27" i="78"/>
  <c r="D26" i="78"/>
  <c r="C26" i="78"/>
  <c r="E26" i="78"/>
  <c r="B26" i="78"/>
  <c r="D25" i="78"/>
  <c r="C25" i="78"/>
  <c r="B25" i="78"/>
  <c r="D24" i="78"/>
  <c r="C24" i="78"/>
  <c r="E24" i="78"/>
  <c r="B24" i="78"/>
  <c r="D23" i="78"/>
  <c r="C23" i="78"/>
  <c r="B23" i="78"/>
  <c r="D22" i="78"/>
  <c r="C22" i="78"/>
  <c r="E22" i="78"/>
  <c r="B22" i="78"/>
  <c r="D21" i="78"/>
  <c r="C21" i="78"/>
  <c r="B21" i="78"/>
  <c r="D20" i="78"/>
  <c r="C20" i="78"/>
  <c r="E20" i="78"/>
  <c r="B20" i="78"/>
  <c r="D19" i="78"/>
  <c r="C19" i="78"/>
  <c r="B19" i="78"/>
  <c r="D18" i="78"/>
  <c r="C18" i="78"/>
  <c r="E18" i="78"/>
  <c r="B18" i="78"/>
  <c r="D17" i="78"/>
  <c r="C17" i="78"/>
  <c r="B17" i="78"/>
  <c r="D16" i="78"/>
  <c r="C16" i="78"/>
  <c r="E16" i="78"/>
  <c r="B16" i="78"/>
  <c r="D15" i="78"/>
  <c r="C15" i="78"/>
  <c r="B15" i="78"/>
  <c r="D14" i="78"/>
  <c r="C14" i="78"/>
  <c r="E14" i="78"/>
  <c r="B14" i="78"/>
  <c r="D13" i="78"/>
  <c r="C13" i="78"/>
  <c r="B13" i="78"/>
  <c r="D12" i="78"/>
  <c r="C12" i="78"/>
  <c r="E12" i="78"/>
  <c r="B12" i="78"/>
  <c r="D11" i="78"/>
  <c r="C11" i="78"/>
  <c r="B11" i="78"/>
  <c r="D10" i="78"/>
  <c r="C10" i="78"/>
  <c r="E10" i="78"/>
  <c r="B10" i="78"/>
  <c r="D9" i="78"/>
  <c r="C9" i="78"/>
  <c r="B9" i="78"/>
  <c r="D8" i="78"/>
  <c r="C8" i="78"/>
  <c r="E8" i="78"/>
  <c r="B8" i="78"/>
  <c r="D7" i="78"/>
  <c r="C7" i="78"/>
  <c r="B7" i="78"/>
  <c r="D6" i="78"/>
  <c r="C6" i="78"/>
  <c r="E6" i="78"/>
  <c r="B6" i="78"/>
  <c r="D5" i="78"/>
  <c r="C5" i="78"/>
  <c r="B5" i="78"/>
  <c r="D4" i="78"/>
  <c r="C4" i="78"/>
  <c r="C1227" i="78"/>
  <c r="B4" i="78"/>
  <c r="A2" i="78"/>
  <c r="AB43" i="77"/>
  <c r="N45" i="77"/>
  <c r="M45" i="77"/>
  <c r="K45" i="77"/>
  <c r="J45" i="77"/>
  <c r="I45" i="77"/>
  <c r="G45" i="77"/>
  <c r="D3" i="4"/>
  <c r="X43" i="77"/>
  <c r="D1227" i="78"/>
  <c r="E5" i="78"/>
  <c r="E7" i="78"/>
  <c r="E9" i="78"/>
  <c r="E11" i="78"/>
  <c r="E13" i="78"/>
  <c r="E15" i="78"/>
  <c r="E17" i="78"/>
  <c r="E19" i="78"/>
  <c r="E21" i="78"/>
  <c r="E23" i="78"/>
  <c r="E25" i="78"/>
  <c r="E27" i="78"/>
  <c r="E29" i="78"/>
  <c r="E31" i="78"/>
  <c r="E33" i="78"/>
  <c r="E35" i="78"/>
  <c r="E37" i="78"/>
  <c r="E39" i="78"/>
  <c r="E41" i="78"/>
  <c r="E43" i="78"/>
  <c r="E45" i="78"/>
  <c r="E47" i="78"/>
  <c r="E49" i="78"/>
  <c r="E51" i="78"/>
  <c r="E53" i="78"/>
  <c r="E55" i="78"/>
  <c r="E57" i="78"/>
  <c r="E59" i="78"/>
  <c r="E61" i="78"/>
  <c r="E63" i="78"/>
  <c r="E65" i="78"/>
  <c r="E67" i="78"/>
  <c r="E69" i="78"/>
  <c r="E71" i="78"/>
  <c r="E73" i="78"/>
  <c r="E75" i="78"/>
  <c r="E77" i="78"/>
  <c r="E79" i="78"/>
  <c r="E81" i="78"/>
  <c r="E83" i="78"/>
  <c r="E85" i="78"/>
  <c r="E87" i="78"/>
  <c r="E89" i="78"/>
  <c r="E91" i="78"/>
  <c r="E93" i="78"/>
  <c r="E95" i="78"/>
  <c r="E97" i="78"/>
  <c r="E99" i="78"/>
  <c r="E101" i="78"/>
  <c r="E103" i="78"/>
  <c r="E105" i="78"/>
  <c r="E107" i="78"/>
  <c r="E109" i="78"/>
  <c r="E111" i="78"/>
  <c r="E113" i="78"/>
  <c r="E115" i="78"/>
  <c r="E117" i="78"/>
  <c r="E119" i="78"/>
  <c r="E121" i="78"/>
  <c r="E123" i="78"/>
  <c r="E125" i="78"/>
  <c r="E127" i="78"/>
  <c r="E129" i="78"/>
  <c r="E131" i="78"/>
  <c r="E133" i="78"/>
  <c r="E135" i="78"/>
  <c r="E137" i="78"/>
  <c r="E139" i="78"/>
  <c r="E141" i="78"/>
  <c r="E143" i="78"/>
  <c r="E145" i="78"/>
  <c r="E147" i="78"/>
  <c r="E149" i="78"/>
  <c r="E151" i="78"/>
  <c r="E153" i="78"/>
  <c r="E155" i="78"/>
  <c r="E157" i="78"/>
  <c r="E221" i="78"/>
  <c r="E223" i="78"/>
  <c r="E225" i="78"/>
  <c r="E227" i="78"/>
  <c r="E229" i="78"/>
  <c r="E231" i="78"/>
  <c r="E233" i="78"/>
  <c r="E235" i="78"/>
  <c r="E237" i="78"/>
  <c r="E239" i="78"/>
  <c r="E241" i="78"/>
  <c r="E243" i="78"/>
  <c r="E245" i="78"/>
  <c r="E247" i="78"/>
  <c r="E249" i="78"/>
  <c r="E251" i="78"/>
  <c r="E253" i="78"/>
  <c r="E255" i="78"/>
  <c r="E257" i="78"/>
  <c r="E259" i="78"/>
  <c r="E261" i="78"/>
  <c r="E263" i="78"/>
  <c r="E265" i="78"/>
  <c r="E267" i="78"/>
  <c r="E269" i="78"/>
  <c r="E271" i="78"/>
  <c r="E273" i="78"/>
  <c r="E275" i="78"/>
  <c r="E277" i="78"/>
  <c r="E279" i="78"/>
  <c r="E281" i="78"/>
  <c r="E283" i="78"/>
  <c r="E285" i="78"/>
  <c r="E287" i="78"/>
  <c r="E289" i="78"/>
  <c r="E291" i="78"/>
  <c r="E293" i="78"/>
  <c r="E295" i="78"/>
  <c r="E297" i="78"/>
  <c r="E299" i="78"/>
  <c r="E301" i="78"/>
  <c r="E303" i="78"/>
  <c r="E305" i="78"/>
  <c r="E307" i="78"/>
  <c r="E309" i="78"/>
  <c r="E311" i="78"/>
  <c r="E313" i="78"/>
  <c r="E315" i="78"/>
  <c r="E317" i="78"/>
  <c r="E319" i="78"/>
  <c r="E321" i="78"/>
  <c r="E323" i="78"/>
  <c r="E325" i="78"/>
  <c r="E327" i="78"/>
  <c r="E329" i="78"/>
  <c r="E331" i="78"/>
  <c r="E333" i="78"/>
  <c r="E335" i="78"/>
  <c r="E337" i="78"/>
  <c r="E339" i="78"/>
  <c r="E341" i="78"/>
  <c r="E343" i="78"/>
  <c r="E345" i="78"/>
  <c r="E347" i="78"/>
  <c r="E349" i="78"/>
  <c r="E351" i="78"/>
  <c r="E353" i="78"/>
  <c r="E355" i="78"/>
  <c r="E357" i="78"/>
  <c r="E359" i="78"/>
  <c r="E361" i="78"/>
  <c r="E363" i="78"/>
  <c r="E365" i="78"/>
  <c r="E367" i="78"/>
  <c r="E369" i="78"/>
  <c r="E371" i="78"/>
  <c r="E373" i="78"/>
  <c r="E375" i="78"/>
  <c r="E377" i="78"/>
  <c r="E379" i="78"/>
  <c r="E381" i="78"/>
  <c r="E383" i="78"/>
  <c r="E385" i="78"/>
  <c r="E387" i="78"/>
  <c r="E389" i="78"/>
  <c r="E391" i="78"/>
  <c r="E393" i="78"/>
  <c r="E395" i="78"/>
  <c r="E397" i="78"/>
  <c r="E399" i="78"/>
  <c r="E401" i="78"/>
  <c r="E403" i="78"/>
  <c r="E405" i="78"/>
  <c r="E407" i="78"/>
  <c r="E409" i="78"/>
  <c r="E411" i="78"/>
  <c r="E413" i="78"/>
  <c r="E415" i="78"/>
  <c r="E417" i="78"/>
  <c r="E419" i="78"/>
  <c r="E421" i="78"/>
  <c r="E423" i="78"/>
  <c r="E425" i="78"/>
  <c r="E427" i="78"/>
  <c r="E429" i="78"/>
  <c r="E431" i="78"/>
  <c r="E433" i="78"/>
  <c r="E435" i="78"/>
  <c r="E437" i="78"/>
  <c r="E439" i="78"/>
  <c r="E441" i="78"/>
  <c r="E443" i="78"/>
  <c r="E445" i="78"/>
  <c r="E447" i="78"/>
  <c r="E449" i="78"/>
  <c r="E451" i="78"/>
  <c r="E453" i="78"/>
  <c r="E455" i="78"/>
  <c r="E457" i="78"/>
  <c r="E459" i="78"/>
  <c r="E461" i="78"/>
  <c r="E463" i="78"/>
  <c r="E465" i="78"/>
  <c r="E467" i="78"/>
  <c r="E469" i="78"/>
  <c r="E471" i="78"/>
  <c r="E473" i="78"/>
  <c r="E475" i="78"/>
  <c r="E477" i="78"/>
  <c r="E479" i="78"/>
  <c r="E481" i="78"/>
  <c r="E483" i="78"/>
  <c r="E485" i="78"/>
  <c r="E487" i="78"/>
  <c r="E489" i="78"/>
  <c r="E491" i="78"/>
  <c r="E493" i="78"/>
  <c r="E495" i="78"/>
  <c r="E497" i="78"/>
  <c r="E499" i="78"/>
  <c r="E655" i="78"/>
  <c r="E657" i="78"/>
  <c r="E659" i="78"/>
  <c r="E661" i="78"/>
  <c r="E663" i="78"/>
  <c r="E665" i="78"/>
  <c r="E667" i="78"/>
  <c r="E669" i="78"/>
  <c r="E671" i="78"/>
  <c r="E673" i="78"/>
  <c r="E675" i="78"/>
  <c r="E677" i="78"/>
  <c r="E679" i="78"/>
  <c r="E681" i="78"/>
  <c r="E683" i="78"/>
  <c r="E685" i="78"/>
  <c r="E687" i="78"/>
  <c r="E689" i="78"/>
  <c r="E691" i="78"/>
  <c r="E693" i="78"/>
  <c r="E695" i="78"/>
  <c r="E697" i="78"/>
  <c r="E699" i="78"/>
  <c r="E701" i="78"/>
  <c r="E703" i="78"/>
  <c r="E705" i="78"/>
  <c r="E707" i="78"/>
  <c r="E709" i="78"/>
  <c r="E711" i="78"/>
  <c r="E713" i="78"/>
  <c r="E715" i="78"/>
  <c r="E717" i="78"/>
  <c r="E719" i="78"/>
  <c r="E721" i="78"/>
  <c r="E723" i="78"/>
  <c r="E725" i="78"/>
  <c r="E727" i="78"/>
  <c r="E729" i="78"/>
  <c r="E731" i="78"/>
  <c r="E733" i="78"/>
  <c r="E735" i="78"/>
  <c r="E737" i="78"/>
  <c r="E739" i="78"/>
  <c r="E741" i="78"/>
  <c r="E743" i="78"/>
  <c r="E745" i="78"/>
  <c r="E747" i="78"/>
  <c r="E749" i="78"/>
  <c r="E751" i="78"/>
  <c r="E753" i="78"/>
  <c r="E755" i="78"/>
  <c r="E757" i="78"/>
  <c r="E759" i="78"/>
  <c r="E761" i="78"/>
  <c r="E763" i="78"/>
  <c r="E765" i="78"/>
  <c r="E767" i="78"/>
  <c r="E883" i="78"/>
  <c r="E885" i="78"/>
  <c r="E887" i="78"/>
  <c r="E889" i="78"/>
  <c r="E891" i="78"/>
  <c r="E893" i="78"/>
  <c r="E895" i="78"/>
  <c r="E897" i="78"/>
  <c r="E899" i="78"/>
  <c r="E901" i="78"/>
  <c r="E903" i="78"/>
  <c r="E905" i="78"/>
  <c r="E907" i="78"/>
  <c r="E909" i="78"/>
  <c r="E911" i="78"/>
  <c r="E913" i="78"/>
  <c r="E915" i="78"/>
  <c r="E917" i="78"/>
  <c r="E959" i="78"/>
  <c r="E961" i="78"/>
  <c r="E963" i="78"/>
  <c r="E965" i="78"/>
  <c r="E967" i="78"/>
  <c r="E969" i="78"/>
  <c r="E971" i="78"/>
  <c r="E973" i="78"/>
  <c r="E975" i="78"/>
  <c r="E977" i="78"/>
  <c r="E979" i="78"/>
  <c r="E981" i="78"/>
  <c r="E983" i="78"/>
  <c r="E985" i="78"/>
  <c r="E1015" i="78"/>
  <c r="E1017" i="78"/>
  <c r="E1019" i="78"/>
  <c r="E1021" i="78"/>
  <c r="E1023" i="78"/>
  <c r="E1025" i="78"/>
  <c r="Y38" i="77"/>
  <c r="E1027" i="78"/>
  <c r="E1099" i="78"/>
  <c r="E1101" i="78"/>
  <c r="E1125" i="78"/>
  <c r="E1127" i="78"/>
  <c r="E1129" i="78"/>
  <c r="E1131" i="78"/>
  <c r="E1197" i="78"/>
  <c r="E1199" i="78"/>
  <c r="E1201" i="78"/>
  <c r="E1203" i="78"/>
  <c r="E1205" i="78"/>
  <c r="E1207" i="78"/>
  <c r="E1209" i="78"/>
  <c r="E1211" i="78"/>
  <c r="E1213" i="78"/>
  <c r="E1148" i="78"/>
  <c r="E1160" i="78"/>
  <c r="E1186" i="78"/>
  <c r="E4" i="78"/>
  <c r="E159" i="78"/>
  <c r="E161" i="78"/>
  <c r="E163" i="78"/>
  <c r="E165" i="78"/>
  <c r="E167" i="78"/>
  <c r="E169" i="78"/>
  <c r="E171" i="78"/>
  <c r="E173" i="78"/>
  <c r="E175" i="78"/>
  <c r="E177" i="78"/>
  <c r="E179" i="78"/>
  <c r="E181" i="78"/>
  <c r="E183" i="78"/>
  <c r="E185" i="78"/>
  <c r="E187" i="78"/>
  <c r="E189" i="78"/>
  <c r="E191" i="78"/>
  <c r="E193" i="78"/>
  <c r="E195" i="78"/>
  <c r="E197" i="78"/>
  <c r="E199" i="78"/>
  <c r="E201" i="78"/>
  <c r="E203" i="78"/>
  <c r="E205" i="78"/>
  <c r="E207" i="78"/>
  <c r="E209" i="78"/>
  <c r="E211" i="78"/>
  <c r="E213" i="78"/>
  <c r="E215" i="78"/>
  <c r="E217" i="78"/>
  <c r="E219" i="78"/>
  <c r="E501" i="78"/>
  <c r="E503" i="78"/>
  <c r="E505" i="78"/>
  <c r="E507" i="78"/>
  <c r="E509" i="78"/>
  <c r="E511" i="78"/>
  <c r="E513" i="78"/>
  <c r="E515" i="78"/>
  <c r="E517" i="78"/>
  <c r="E519" i="78"/>
  <c r="E521" i="78"/>
  <c r="E523" i="78"/>
  <c r="E525" i="78"/>
  <c r="E527" i="78"/>
  <c r="E529" i="78"/>
  <c r="E531" i="78"/>
  <c r="E533" i="78"/>
  <c r="E535" i="78"/>
  <c r="E537" i="78"/>
  <c r="E539" i="78"/>
  <c r="E541" i="78"/>
  <c r="E543" i="78"/>
  <c r="E545" i="78"/>
  <c r="E547" i="78"/>
  <c r="E549" i="78"/>
  <c r="E551" i="78"/>
  <c r="E553" i="78"/>
  <c r="E555" i="78"/>
  <c r="E557" i="78"/>
  <c r="E559" i="78"/>
  <c r="E561" i="78"/>
  <c r="E563" i="78"/>
  <c r="E565" i="78"/>
  <c r="E567" i="78"/>
  <c r="E569" i="78"/>
  <c r="E571" i="78"/>
  <c r="E573" i="78"/>
  <c r="E575" i="78"/>
  <c r="E577" i="78"/>
  <c r="E579" i="78"/>
  <c r="E581" i="78"/>
  <c r="E583" i="78"/>
  <c r="E585" i="78"/>
  <c r="E587" i="78"/>
  <c r="E589" i="78"/>
  <c r="E591" i="78"/>
  <c r="E593" i="78"/>
  <c r="E595" i="78"/>
  <c r="E597" i="78"/>
  <c r="E599" i="78"/>
  <c r="E601" i="78"/>
  <c r="E603" i="78"/>
  <c r="E605" i="78"/>
  <c r="E607" i="78"/>
  <c r="E609" i="78"/>
  <c r="E611" i="78"/>
  <c r="E613" i="78"/>
  <c r="E615" i="78"/>
  <c r="E617" i="78"/>
  <c r="E619" i="78"/>
  <c r="E621" i="78"/>
  <c r="E623" i="78"/>
  <c r="E625" i="78"/>
  <c r="E627" i="78"/>
  <c r="E629" i="78"/>
  <c r="E631" i="78"/>
  <c r="E633" i="78"/>
  <c r="E635" i="78"/>
  <c r="E637" i="78"/>
  <c r="E639" i="78"/>
  <c r="E641" i="78"/>
  <c r="E643" i="78"/>
  <c r="E645" i="78"/>
  <c r="E647" i="78"/>
  <c r="E649" i="78"/>
  <c r="E651" i="78"/>
  <c r="E653" i="78"/>
  <c r="E769" i="78"/>
  <c r="E771" i="78"/>
  <c r="E773" i="78"/>
  <c r="E775" i="78"/>
  <c r="E777" i="78"/>
  <c r="E779" i="78"/>
  <c r="E781" i="78"/>
  <c r="E783" i="78"/>
  <c r="E785" i="78"/>
  <c r="E787" i="78"/>
  <c r="E789" i="78"/>
  <c r="E791" i="78"/>
  <c r="E793" i="78"/>
  <c r="E795" i="78"/>
  <c r="E797" i="78"/>
  <c r="E799" i="78"/>
  <c r="E801" i="78"/>
  <c r="E803" i="78"/>
  <c r="E805" i="78"/>
  <c r="E807" i="78"/>
  <c r="E809" i="78"/>
  <c r="E811" i="78"/>
  <c r="E813" i="78"/>
  <c r="E815" i="78"/>
  <c r="E817" i="78"/>
  <c r="E819" i="78"/>
  <c r="E821" i="78"/>
  <c r="E823" i="78"/>
  <c r="E825" i="78"/>
  <c r="E827" i="78"/>
  <c r="E829" i="78"/>
  <c r="E831" i="78"/>
  <c r="E833" i="78"/>
  <c r="E835" i="78"/>
  <c r="E837" i="78"/>
  <c r="E839" i="78"/>
  <c r="E841" i="78"/>
  <c r="E843" i="78"/>
  <c r="E845" i="78"/>
  <c r="E847" i="78"/>
  <c r="E849" i="78"/>
  <c r="E851" i="78"/>
  <c r="E853" i="78"/>
  <c r="E855" i="78"/>
  <c r="E857" i="78"/>
  <c r="E859" i="78"/>
  <c r="E861" i="78"/>
  <c r="E863" i="78"/>
  <c r="E865" i="78"/>
  <c r="Y10" i="77"/>
  <c r="E867" i="78"/>
  <c r="E869" i="78"/>
  <c r="E871" i="78"/>
  <c r="E873" i="78"/>
  <c r="Y12" i="77"/>
  <c r="E875" i="78"/>
  <c r="Y13" i="77"/>
  <c r="E877" i="78"/>
  <c r="Y14" i="77"/>
  <c r="E879" i="78"/>
  <c r="Y15" i="77"/>
  <c r="E881" i="78"/>
  <c r="Y41" i="77"/>
  <c r="Y16" i="77"/>
  <c r="Y17" i="77"/>
  <c r="Y18" i="77"/>
  <c r="Y19" i="77"/>
  <c r="Y20" i="77"/>
  <c r="Y21" i="77"/>
  <c r="Y22" i="77"/>
  <c r="Y23" i="77"/>
  <c r="Y24" i="77"/>
  <c r="Y25" i="77"/>
  <c r="Y26" i="77"/>
  <c r="Y27" i="77"/>
  <c r="Y28" i="77"/>
  <c r="Y29" i="77"/>
  <c r="Y30" i="77"/>
  <c r="Y6" i="77"/>
  <c r="E919" i="78"/>
  <c r="Y31" i="77"/>
  <c r="E921" i="78"/>
  <c r="Y32" i="77"/>
  <c r="E923" i="78"/>
  <c r="Y33" i="77"/>
  <c r="E925" i="78"/>
  <c r="Y34" i="77"/>
  <c r="E927" i="78"/>
  <c r="E929" i="78"/>
  <c r="E931" i="78"/>
  <c r="E933" i="78"/>
  <c r="E935" i="78"/>
  <c r="E937" i="78"/>
  <c r="E939" i="78"/>
  <c r="E941" i="78"/>
  <c r="E943" i="78"/>
  <c r="E945" i="78"/>
  <c r="E947" i="78"/>
  <c r="E949" i="78"/>
  <c r="E951" i="78"/>
  <c r="E953" i="78"/>
  <c r="E955" i="78"/>
  <c r="E957" i="78"/>
  <c r="E987" i="78"/>
  <c r="E989" i="78"/>
  <c r="E991" i="78"/>
  <c r="E993" i="78"/>
  <c r="E995" i="78"/>
  <c r="E997" i="78"/>
  <c r="E999" i="78"/>
  <c r="E1001" i="78"/>
  <c r="E1003" i="78"/>
  <c r="E1005" i="78"/>
  <c r="E1007" i="78"/>
  <c r="E1009" i="78"/>
  <c r="E1011" i="78"/>
  <c r="Y36" i="77"/>
  <c r="E1013" i="78"/>
  <c r="Y37" i="77"/>
  <c r="Y40" i="77"/>
  <c r="Y42" i="77"/>
  <c r="E1215" i="78"/>
  <c r="E1217" i="78"/>
  <c r="E1219" i="78"/>
  <c r="E1221" i="78"/>
  <c r="E1223" i="78"/>
  <c r="E1225" i="78"/>
  <c r="L48" i="77"/>
  <c r="F20" i="6"/>
  <c r="Y35" i="77"/>
  <c r="Y8" i="77"/>
  <c r="Y4" i="77"/>
  <c r="Y11" i="77"/>
  <c r="Y7" i="77"/>
  <c r="Y5" i="77"/>
  <c r="Y9" i="77"/>
  <c r="E1227" i="78"/>
  <c r="G22" i="6"/>
  <c r="L45" i="77"/>
  <c r="O15" i="3"/>
  <c r="M15" i="45"/>
  <c r="L15" i="45"/>
  <c r="K15" i="45"/>
  <c r="J15" i="45"/>
  <c r="I15" i="45"/>
  <c r="H15" i="45"/>
  <c r="G15" i="45"/>
  <c r="F15" i="45"/>
  <c r="E15" i="45"/>
  <c r="D15" i="45"/>
  <c r="C15" i="45"/>
  <c r="B15" i="45"/>
  <c r="AH5" i="71"/>
  <c r="AG5" i="71"/>
  <c r="AE5" i="71"/>
  <c r="AF5" i="71"/>
  <c r="AD5" i="71"/>
  <c r="Q5" i="71"/>
  <c r="P5" i="71"/>
  <c r="O5" i="71"/>
  <c r="N5" i="71"/>
  <c r="AD6" i="71"/>
  <c r="AH6" i="71"/>
  <c r="AG6" i="71"/>
  <c r="AE6" i="71"/>
  <c r="AF6" i="71"/>
  <c r="Q6" i="71"/>
  <c r="P6" i="71"/>
  <c r="O6" i="71"/>
  <c r="N6" i="71"/>
  <c r="G20" i="43"/>
  <c r="E41" i="43"/>
  <c r="C41" i="43"/>
  <c r="L3" i="71"/>
  <c r="AH3" i="71"/>
  <c r="K3" i="71"/>
  <c r="AG3" i="71"/>
  <c r="J3" i="71"/>
  <c r="AE3" i="71"/>
  <c r="I3" i="71"/>
  <c r="AH7" i="71"/>
  <c r="AG7" i="71"/>
  <c r="AE7" i="71"/>
  <c r="AF7" i="71"/>
  <c r="AD7" i="71"/>
  <c r="Q7" i="71"/>
  <c r="Q8" i="71"/>
  <c r="AB7" i="71"/>
  <c r="P7" i="71"/>
  <c r="P8" i="71"/>
  <c r="O7" i="71"/>
  <c r="Y5" i="71"/>
  <c r="Z5" i="71"/>
  <c r="O8" i="71"/>
  <c r="Y7" i="71"/>
  <c r="Z7" i="71"/>
  <c r="N7" i="71"/>
  <c r="N8" i="71"/>
  <c r="N9" i="71"/>
  <c r="X8" i="71"/>
  <c r="AH8" i="71"/>
  <c r="AG8" i="71"/>
  <c r="AE8" i="71"/>
  <c r="AF8" i="71"/>
  <c r="AD8" i="71"/>
  <c r="Q9" i="71"/>
  <c r="P9" i="71"/>
  <c r="O9" i="71"/>
  <c r="F9" i="71"/>
  <c r="F8" i="71"/>
  <c r="M19" i="43"/>
  <c r="D11" i="71"/>
  <c r="AH9" i="71"/>
  <c r="AG9" i="71"/>
  <c r="AE9" i="71"/>
  <c r="AF9" i="71"/>
  <c r="AD9" i="71"/>
  <c r="AD10" i="71"/>
  <c r="AG10" i="71"/>
  <c r="AH10" i="71"/>
  <c r="AE10" i="71"/>
  <c r="AF10" i="71"/>
  <c r="N10" i="71"/>
  <c r="Q10" i="71"/>
  <c r="P10" i="71"/>
  <c r="O10" i="71"/>
  <c r="C10" i="71"/>
  <c r="T10" i="71"/>
  <c r="Q11" i="71"/>
  <c r="AB10" i="71"/>
  <c r="F10" i="71"/>
  <c r="P11" i="71"/>
  <c r="AA10" i="71"/>
  <c r="E10" i="71"/>
  <c r="E9" i="71"/>
  <c r="E8" i="71"/>
  <c r="O11" i="71"/>
  <c r="Y8" i="71"/>
  <c r="Z8" i="71"/>
  <c r="N11" i="71"/>
  <c r="B10" i="71"/>
  <c r="S10" i="71"/>
  <c r="V10" i="71"/>
  <c r="A2" i="53"/>
  <c r="K59" i="67"/>
  <c r="P61" i="67"/>
  <c r="K59"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2" i="71"/>
  <c r="P12" i="71"/>
  <c r="O12" i="71"/>
  <c r="Y10" i="71"/>
  <c r="Z10" i="71"/>
  <c r="N12" i="71"/>
  <c r="A15" i="5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3" i="71"/>
  <c r="P13" i="71"/>
  <c r="Q13" i="71"/>
  <c r="N13" i="71"/>
  <c r="X9"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Q23" i="71"/>
  <c r="F24" i="71"/>
  <c r="F25" i="71"/>
  <c r="F26" i="71"/>
  <c r="V26" i="71"/>
  <c r="P23" i="71"/>
  <c r="O23" i="71"/>
  <c r="C24" i="71"/>
  <c r="N23" i="71"/>
  <c r="D23" i="71"/>
  <c r="Q22" i="71"/>
  <c r="AB22" i="71"/>
  <c r="P22" i="71"/>
  <c r="O22" i="71"/>
  <c r="Y22" i="71"/>
  <c r="Z22" i="71"/>
  <c r="N22" i="71"/>
  <c r="Q21" i="71"/>
  <c r="AB21" i="71"/>
  <c r="P21" i="71"/>
  <c r="AA19" i="71"/>
  <c r="O21" i="71"/>
  <c r="Y21" i="71"/>
  <c r="Z21" i="71"/>
  <c r="N21" i="71"/>
  <c r="X19"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AA16" i="71"/>
  <c r="O17" i="71"/>
  <c r="Y17" i="71"/>
  <c r="Z17" i="71"/>
  <c r="N17" i="71"/>
  <c r="X15" i="71"/>
  <c r="Q16" i="71"/>
  <c r="AB16" i="71"/>
  <c r="P16" i="71"/>
  <c r="O16" i="71"/>
  <c r="Y16" i="71"/>
  <c r="Z16" i="71"/>
  <c r="N16" i="71"/>
  <c r="Q15" i="71"/>
  <c r="AB15" i="71"/>
  <c r="P15" i="71"/>
  <c r="O15" i="71"/>
  <c r="Y15" i="71"/>
  <c r="Z15" i="71"/>
  <c r="N15" i="71"/>
  <c r="D15" i="71"/>
  <c r="O14" i="71"/>
  <c r="N14" i="71"/>
  <c r="X11" i="71"/>
  <c r="B16" i="71"/>
  <c r="B17" i="71"/>
  <c r="B18" i="71"/>
  <c r="S18" i="71"/>
  <c r="E16" i="71"/>
  <c r="E17" i="71"/>
  <c r="E18" i="71"/>
  <c r="U18" i="71"/>
  <c r="AA15" i="71"/>
  <c r="B20" i="71"/>
  <c r="B21" i="71"/>
  <c r="B22" i="71"/>
  <c r="S22" i="71"/>
  <c r="B24" i="71"/>
  <c r="B25" i="71"/>
  <c r="B26" i="71"/>
  <c r="S26" i="71"/>
  <c r="X23" i="71"/>
  <c r="E24" i="71"/>
  <c r="E25" i="71"/>
  <c r="E26" i="71"/>
  <c r="U26" i="71"/>
  <c r="N54" i="71"/>
  <c r="E20" i="71"/>
  <c r="E21" i="71"/>
  <c r="E22" i="71"/>
  <c r="U22" i="71"/>
  <c r="C16" i="71"/>
  <c r="C17" i="71"/>
  <c r="X16" i="71"/>
  <c r="X17" i="71"/>
  <c r="X18" i="71"/>
  <c r="C20" i="71"/>
  <c r="C21" i="71"/>
  <c r="Y19" i="71"/>
  <c r="Z19" i="71"/>
  <c r="AB19" i="71"/>
  <c r="AA20" i="71"/>
  <c r="AA21" i="71"/>
  <c r="X22" i="71"/>
  <c r="AA22" i="71"/>
  <c r="Y23" i="71"/>
  <c r="Z23" i="71"/>
  <c r="AB23" i="71"/>
  <c r="X24" i="71"/>
  <c r="AA24" i="71"/>
  <c r="C14" i="71"/>
  <c r="T14" i="71"/>
  <c r="Y11" i="71"/>
  <c r="Z11" i="71"/>
  <c r="Y12" i="71"/>
  <c r="Z12" i="71"/>
  <c r="Y13" i="71"/>
  <c r="Z13" i="71"/>
  <c r="Y14" i="71"/>
  <c r="Z14" i="71"/>
  <c r="B14" i="71"/>
  <c r="B13" i="71"/>
  <c r="B12" i="71"/>
  <c r="X12" i="71"/>
  <c r="X14" i="71"/>
  <c r="D16" i="71"/>
  <c r="P14" i="71"/>
  <c r="E49" i="71"/>
  <c r="E50" i="71"/>
  <c r="U50" i="71"/>
  <c r="U54" i="71"/>
  <c r="E53" i="71"/>
  <c r="Q14" i="71"/>
  <c r="AB11" i="71"/>
  <c r="C49" i="71"/>
  <c r="D48" i="71"/>
  <c r="N53" i="71"/>
  <c r="B52" i="71"/>
  <c r="N52" i="71"/>
  <c r="T54" i="71"/>
  <c r="O54" i="71"/>
  <c r="D54" i="71"/>
  <c r="C53" i="71"/>
  <c r="Q54" i="71"/>
  <c r="C57" i="71"/>
  <c r="E57" i="71"/>
  <c r="E56" i="71"/>
  <c r="D58" i="71"/>
  <c r="C61" i="71"/>
  <c r="E61" i="71"/>
  <c r="E60" i="71"/>
  <c r="D62" i="71"/>
  <c r="C65" i="71"/>
  <c r="E65" i="71"/>
  <c r="E64" i="71"/>
  <c r="D66" i="71"/>
  <c r="C69" i="71"/>
  <c r="C73" i="71"/>
  <c r="C72" i="71"/>
  <c r="D72" i="71"/>
  <c r="C13" i="71"/>
  <c r="C12" i="71"/>
  <c r="D12" i="71"/>
  <c r="F14" i="71"/>
  <c r="F13" i="71"/>
  <c r="F12" i="71"/>
  <c r="AB12" i="71"/>
  <c r="AB14" i="71"/>
  <c r="E14" i="71"/>
  <c r="E13" i="71"/>
  <c r="E12" i="71"/>
  <c r="AA3" i="71"/>
  <c r="AA12" i="71"/>
  <c r="AA14" i="71"/>
  <c r="C52" i="71"/>
  <c r="O53" i="71"/>
  <c r="D53" i="71"/>
  <c r="C50" i="71"/>
  <c r="D50" i="71"/>
  <c r="D49" i="71"/>
  <c r="D69" i="71"/>
  <c r="C68" i="71"/>
  <c r="D68" i="71"/>
  <c r="D61" i="71"/>
  <c r="C60" i="71"/>
  <c r="D60" i="71"/>
  <c r="N51" i="71"/>
  <c r="D73" i="71"/>
  <c r="D65" i="71"/>
  <c r="C64" i="71"/>
  <c r="D64" i="71"/>
  <c r="D57" i="71"/>
  <c r="C56" i="71"/>
  <c r="D56" i="71"/>
  <c r="P53" i="71"/>
  <c r="E52" i="71"/>
  <c r="P51" i="71"/>
  <c r="V14" i="71"/>
  <c r="P52" i="71"/>
  <c r="O52" i="71"/>
  <c r="D52" i="71"/>
  <c r="O51" i="71"/>
  <c r="T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D83" i="21"/>
  <c r="F21" i="21"/>
  <c r="AA21" i="21"/>
  <c r="D81" i="21"/>
  <c r="G20" i="20"/>
  <c r="B86" i="43"/>
  <c r="C22" i="20"/>
  <c r="B75" i="43"/>
  <c r="B55" i="43"/>
  <c r="C25" i="40"/>
  <c r="S25" i="40"/>
  <c r="S18" i="36"/>
  <c r="U18" i="36"/>
  <c r="S21" i="34"/>
  <c r="F94" i="40"/>
  <c r="H25" i="40"/>
  <c r="G94" i="40"/>
  <c r="J25" i="40"/>
  <c r="H29" i="39"/>
  <c r="AB29" i="39"/>
  <c r="J29" i="39"/>
  <c r="W29" i="39"/>
  <c r="J18" i="36"/>
  <c r="F68" i="35"/>
  <c r="H18" i="35"/>
  <c r="U18" i="35"/>
  <c r="S18" i="35"/>
  <c r="G68" i="35"/>
  <c r="J18" i="35"/>
  <c r="H21" i="37"/>
  <c r="F21" i="37"/>
  <c r="S21" i="37"/>
  <c r="F84" i="34"/>
  <c r="H21" i="34"/>
  <c r="U21" i="34"/>
  <c r="H21" i="33"/>
  <c r="AB21" i="33"/>
  <c r="F21" i="33"/>
  <c r="E83" i="21"/>
  <c r="H1" i="69"/>
  <c r="AC25" i="40"/>
  <c r="W25" i="40"/>
  <c r="AB25" i="40"/>
  <c r="U25" i="40"/>
  <c r="AC18" i="36"/>
  <c r="W18" i="36"/>
  <c r="AB21" i="37"/>
  <c r="U21" i="37"/>
  <c r="AA21" i="37"/>
  <c r="AB21" i="34"/>
  <c r="U21" i="33"/>
  <c r="AA21" i="33"/>
  <c r="S21" i="33"/>
  <c r="AB18" i="35"/>
  <c r="AC18" i="35"/>
  <c r="W18" i="35"/>
  <c r="J21" i="37"/>
  <c r="G84" i="34"/>
  <c r="J21" i="34"/>
  <c r="J21" i="33"/>
  <c r="F83" i="21"/>
  <c r="H21" i="21"/>
  <c r="AB21" i="21"/>
  <c r="F38" i="69"/>
  <c r="E37" i="69"/>
  <c r="F36" i="69"/>
  <c r="F35" i="69"/>
  <c r="F21" i="69"/>
  <c r="C21" i="69"/>
  <c r="F20" i="69"/>
  <c r="E10" i="69"/>
  <c r="E9" i="69"/>
  <c r="F7" i="69"/>
  <c r="C7" i="69"/>
  <c r="AC21" i="37"/>
  <c r="W21" i="37"/>
  <c r="AC21" i="34"/>
  <c r="W21" i="34"/>
  <c r="AC21" i="33"/>
  <c r="W21" i="33"/>
  <c r="G83" i="21"/>
  <c r="J21" i="21"/>
  <c r="W21" i="21"/>
  <c r="F38" i="68"/>
  <c r="E37" i="68"/>
  <c r="F36" i="68"/>
  <c r="F35" i="68"/>
  <c r="F21" i="68"/>
  <c r="C21" i="68"/>
  <c r="F20" i="68"/>
  <c r="E10" i="68"/>
  <c r="E9" i="68"/>
  <c r="F7" i="68"/>
  <c r="Q72" i="67"/>
  <c r="Q59" i="67"/>
  <c r="Q58" i="67"/>
  <c r="Q51" i="67"/>
  <c r="J50" i="67"/>
  <c r="M47" i="67"/>
  <c r="J53" i="67"/>
  <c r="D46" i="67"/>
  <c r="F33" i="67"/>
  <c r="F61" i="67"/>
  <c r="F23" i="67"/>
  <c r="D24" i="67"/>
  <c r="F21" i="67"/>
  <c r="F20" i="67"/>
  <c r="M19" i="67"/>
  <c r="F18" i="67"/>
  <c r="F17" i="67"/>
  <c r="F15"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c r="E7" i="1"/>
  <c r="A8" i="1"/>
  <c r="B8" i="1"/>
  <c r="E8" i="1"/>
  <c r="A9" i="1"/>
  <c r="A10" i="1"/>
  <c r="A11" i="1"/>
  <c r="A12" i="1"/>
  <c r="A13" i="1"/>
  <c r="A6" i="1"/>
  <c r="G1" i="79"/>
  <c r="B11" i="1"/>
  <c r="E11" i="1"/>
  <c r="K10" i="1"/>
  <c r="M10" i="1"/>
  <c r="O10" i="1"/>
  <c r="P10" i="1"/>
  <c r="B13" i="1"/>
  <c r="E13" i="1"/>
  <c r="K13" i="1"/>
  <c r="M13" i="1"/>
  <c r="O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G13" i="1"/>
  <c r="G11" i="1"/>
  <c r="I15" i="4"/>
  <c r="H15" i="4"/>
  <c r="G15" i="4"/>
  <c r="F9" i="1"/>
  <c r="E15" i="4"/>
  <c r="F8" i="1"/>
  <c r="D15" i="4"/>
  <c r="F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K6" i="1"/>
  <c r="M6" i="1"/>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c r="H14" i="3"/>
  <c r="AC14" i="3"/>
  <c r="G14" i="3"/>
  <c r="H15" i="3"/>
  <c r="AC15" i="3"/>
  <c r="H16" i="3"/>
  <c r="AC16" i="3"/>
  <c r="H17" i="3"/>
  <c r="G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W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H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F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D89" i="39"/>
  <c r="E89" i="39"/>
  <c r="F89" i="39"/>
  <c r="G89" i="39"/>
  <c r="B86" i="39"/>
  <c r="F14"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S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D110" i="21"/>
  <c r="E110" i="21"/>
  <c r="F110" i="21"/>
  <c r="G110" i="21"/>
  <c r="H110" i="21"/>
  <c r="I110" i="21"/>
  <c r="J110" i="21"/>
  <c r="K110" i="21"/>
  <c r="L110" i="21"/>
  <c r="M110" i="21"/>
  <c r="J36" i="21"/>
  <c r="W36"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1" i="21"/>
  <c r="D77" i="21"/>
  <c r="E77" i="21"/>
  <c r="B130" i="21"/>
  <c r="H46" i="21"/>
  <c r="B128" i="21"/>
  <c r="J45" i="21"/>
  <c r="B126" i="21"/>
  <c r="H44" i="21"/>
  <c r="B98" i="21"/>
  <c r="F31" i="21"/>
  <c r="B96" i="21"/>
  <c r="B94" i="21"/>
  <c r="J29" i="21"/>
  <c r="AC29" i="21"/>
  <c r="B92" i="21"/>
  <c r="F28" i="21"/>
  <c r="B90" i="21"/>
  <c r="J27" i="21"/>
  <c r="B74" i="21"/>
  <c r="B72" i="21"/>
  <c r="H13" i="21"/>
  <c r="U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AB38" i="21"/>
  <c r="H43" i="21"/>
  <c r="U43" i="21"/>
  <c r="F38" i="21"/>
  <c r="S38" i="21"/>
  <c r="F36" i="21"/>
  <c r="S36" i="21"/>
  <c r="F39" i="21"/>
  <c r="AA39" i="21"/>
  <c r="J40" i="21"/>
  <c r="W40" i="21"/>
  <c r="J8" i="21"/>
  <c r="AC8" i="21"/>
  <c r="H8" i="21"/>
  <c r="U8" i="21"/>
  <c r="H10" i="21"/>
  <c r="AB10" i="21"/>
  <c r="H39" i="21"/>
  <c r="U39" i="21"/>
  <c r="J34" i="21"/>
  <c r="W34" i="21"/>
  <c r="H36" i="21"/>
  <c r="U36" i="21"/>
  <c r="J10" i="21"/>
  <c r="AC10" i="21"/>
  <c r="H26" i="21"/>
  <c r="AB26" i="21"/>
  <c r="J19" i="21"/>
  <c r="AC19" i="21"/>
  <c r="J26" i="21"/>
  <c r="W26" i="21"/>
  <c r="F26" i="21"/>
  <c r="S26" i="21"/>
  <c r="S41" i="21"/>
  <c r="AA41" i="21"/>
  <c r="J45" i="39"/>
  <c r="W45" i="39"/>
  <c r="J44" i="39"/>
  <c r="AC44" i="39"/>
  <c r="F36" i="39"/>
  <c r="AA36" i="39"/>
  <c r="J35" i="39"/>
  <c r="W35" i="39"/>
  <c r="F35" i="39"/>
  <c r="AA35" i="39"/>
  <c r="J36" i="39"/>
  <c r="W36" i="39"/>
  <c r="W25" i="37"/>
  <c r="U30" i="37"/>
  <c r="W31" i="37"/>
  <c r="E103" i="37"/>
  <c r="F103" i="37"/>
  <c r="G103" i="37"/>
  <c r="H103" i="37"/>
  <c r="I103" i="37"/>
  <c r="J103" i="37"/>
  <c r="K103" i="37"/>
  <c r="L103" i="37"/>
  <c r="M103" i="37"/>
  <c r="F39" i="37"/>
  <c r="S39" i="37"/>
  <c r="U14" i="37"/>
  <c r="F29" i="36"/>
  <c r="AA29" i="36"/>
  <c r="F16" i="36"/>
  <c r="AA16" i="36"/>
  <c r="U9" i="36"/>
  <c r="W28" i="36"/>
  <c r="S30" i="36"/>
  <c r="AA31" i="36"/>
  <c r="AC31" i="36"/>
  <c r="W31" i="36"/>
  <c r="U31" i="36"/>
  <c r="J33" i="36"/>
  <c r="W33" i="36"/>
  <c r="H22" i="35"/>
  <c r="AB22" i="35"/>
  <c r="W28" i="35"/>
  <c r="U31" i="35"/>
  <c r="S31" i="35"/>
  <c r="F36" i="34"/>
  <c r="J35" i="34"/>
  <c r="W9" i="34"/>
  <c r="S34" i="34"/>
  <c r="U34" i="34"/>
  <c r="H39" i="33"/>
  <c r="AB39" i="33"/>
  <c r="F26" i="33"/>
  <c r="AA26" i="33"/>
  <c r="S9" i="33"/>
  <c r="U33" i="33"/>
  <c r="U35" i="33"/>
  <c r="S40" i="33"/>
  <c r="W33" i="33"/>
  <c r="W39" i="33"/>
  <c r="H39" i="37"/>
  <c r="AB39" i="37"/>
  <c r="F11" i="40"/>
  <c r="AA11" i="40"/>
  <c r="H11" i="40"/>
  <c r="AB11" i="40"/>
  <c r="W8" i="40"/>
  <c r="AC40" i="40"/>
  <c r="AA9" i="40"/>
  <c r="AC9" i="40"/>
  <c r="U9" i="40"/>
  <c r="S34" i="40"/>
  <c r="S40" i="40"/>
  <c r="W31" i="40"/>
  <c r="U34" i="40"/>
  <c r="U40" i="40"/>
  <c r="F42" i="39"/>
  <c r="S42" i="39"/>
  <c r="F41" i="39"/>
  <c r="S41" i="39"/>
  <c r="H40" i="39"/>
  <c r="AB40" i="39"/>
  <c r="H39" i="39"/>
  <c r="U39"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F11" i="21"/>
  <c r="S11" i="21"/>
  <c r="S34" i="21"/>
  <c r="C27" i="39"/>
  <c r="H11"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AC14" i="21"/>
  <c r="F14" i="21"/>
  <c r="S14" i="21"/>
  <c r="H14" i="21"/>
  <c r="U14" i="21"/>
  <c r="H30" i="21"/>
  <c r="U30" i="21"/>
  <c r="F30" i="21"/>
  <c r="S30" i="21"/>
  <c r="J30" i="21"/>
  <c r="AC30" i="21"/>
  <c r="J44" i="21"/>
  <c r="AC44" i="21"/>
  <c r="F44" i="21"/>
  <c r="S44" i="21"/>
  <c r="J46" i="21"/>
  <c r="AC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W13" i="21"/>
  <c r="H27" i="21"/>
  <c r="AB27" i="21"/>
  <c r="H29" i="21"/>
  <c r="U29" i="21"/>
  <c r="F45" i="21"/>
  <c r="S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W14" i="39"/>
  <c r="H14" i="39"/>
  <c r="U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Z585" i="3"/>
  <c r="F15" i="21"/>
  <c r="S15" i="21"/>
  <c r="AB11" i="21"/>
  <c r="J41" i="39"/>
  <c r="W41" i="39"/>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c r="BA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AB25" i="21"/>
  <c r="F25" i="21"/>
  <c r="S25" i="21"/>
  <c r="J25" i="21"/>
  <c r="W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F15" i="39"/>
  <c r="AA15" i="39"/>
  <c r="H15" i="39"/>
  <c r="U15" i="39"/>
  <c r="J15" i="39"/>
  <c r="W15" i="39"/>
  <c r="H41" i="39"/>
  <c r="U41" i="39"/>
  <c r="AB34" i="39"/>
  <c r="AA41" i="39"/>
  <c r="W9" i="39"/>
  <c r="W8" i="39"/>
  <c r="J19" i="40"/>
  <c r="AC19" i="40"/>
  <c r="J50" i="40"/>
  <c r="H103" i="9"/>
  <c r="D8" i="53"/>
  <c r="B16" i="53"/>
  <c r="B33" i="72"/>
  <c r="C7" i="34"/>
  <c r="W35" i="40"/>
  <c r="A118" i="9"/>
  <c r="A4" i="52"/>
  <c r="B41" i="72"/>
  <c r="J11" i="39"/>
  <c r="W11" i="39"/>
  <c r="F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A17" i="3"/>
  <c r="AZ350" i="3"/>
  <c r="AZ352" i="3"/>
  <c r="AZ360" i="3"/>
  <c r="AZ368" i="3"/>
  <c r="BR5" i="3"/>
  <c r="AZ380" i="3"/>
  <c r="AZ388" i="3"/>
  <c r="AZ396" i="3"/>
  <c r="AZ499" i="3"/>
  <c r="AZ509" i="3"/>
  <c r="G509" i="3"/>
  <c r="BL493" i="3"/>
  <c r="AZ491" i="3"/>
  <c r="AZ390" i="3"/>
  <c r="AZ493" i="3"/>
  <c r="U36" i="40"/>
  <c r="N4" i="43"/>
  <c r="F36" i="43"/>
  <c r="F81" i="43"/>
  <c r="H83" i="43"/>
  <c r="H113" i="43"/>
  <c r="F48" i="43"/>
  <c r="H52" i="43"/>
  <c r="N7" i="43"/>
  <c r="F70" i="43"/>
  <c r="H73" i="43"/>
  <c r="M6" i="43"/>
  <c r="M11" i="43"/>
  <c r="D17" i="43"/>
  <c r="F39" i="43"/>
  <c r="I17" i="43"/>
  <c r="F35" i="43"/>
  <c r="J17" i="43"/>
  <c r="F6" i="1"/>
  <c r="G6" i="1"/>
  <c r="S14" i="35"/>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S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D93" i="9"/>
  <c r="AC26" i="33"/>
  <c r="W26" i="33"/>
  <c r="W27" i="34"/>
  <c r="AC27" i="34"/>
  <c r="AB34" i="36"/>
  <c r="U34" i="36"/>
  <c r="AB33" i="36"/>
  <c r="U33" i="36"/>
  <c r="W12" i="39"/>
  <c r="AC39" i="40"/>
  <c r="W39" i="40"/>
  <c r="AZ401" i="3"/>
  <c r="AZ412" i="3"/>
  <c r="AZ417" i="3"/>
  <c r="AZ428" i="3"/>
  <c r="AZ433" i="3"/>
  <c r="AZ465"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S13" i="1"/>
  <c r="AR13" i="1"/>
  <c r="R13" i="1"/>
  <c r="S11" i="1"/>
  <c r="AQ11" i="1"/>
  <c r="R11" i="1"/>
  <c r="J51" i="67"/>
  <c r="C42" i="1"/>
  <c r="C24" i="12"/>
  <c r="H100" i="43"/>
  <c r="C30" i="66"/>
  <c r="E26" i="66"/>
  <c r="AC34" i="33"/>
  <c r="AA34" i="33"/>
  <c r="B41" i="1"/>
  <c r="F30" i="11"/>
  <c r="S22" i="31"/>
  <c r="J100" i="43"/>
  <c r="AB37" i="40"/>
  <c r="S35" i="40"/>
  <c r="U35" i="40"/>
  <c r="AC36" i="40"/>
  <c r="AA32" i="40"/>
  <c r="S17" i="40"/>
  <c r="S23" i="40"/>
  <c r="AC17" i="40"/>
  <c r="AC15" i="40"/>
  <c r="AB27" i="40"/>
  <c r="AA19" i="40"/>
  <c r="S28" i="40"/>
  <c r="AA27" i="40"/>
  <c r="U21" i="40"/>
  <c r="AB19" i="40"/>
  <c r="S37" i="39"/>
  <c r="U31" i="39"/>
  <c r="W19"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AA43" i="21"/>
  <c r="AA36" i="21"/>
  <c r="AC40" i="21"/>
  <c r="E85" i="21"/>
  <c r="F23" i="21"/>
  <c r="AA23" i="21"/>
  <c r="AA14" i="21"/>
  <c r="AB8" i="21"/>
  <c r="S8" i="21"/>
  <c r="M3" i="43"/>
  <c r="N10" i="43"/>
  <c r="M1" i="43"/>
  <c r="M8" i="43"/>
  <c r="N8" i="43"/>
  <c r="N9" i="43"/>
  <c r="D120" i="9"/>
  <c r="C18" i="9"/>
  <c r="D18" i="9"/>
  <c r="F34" i="67"/>
  <c r="F62" i="67"/>
  <c r="M20" i="67"/>
  <c r="F34" i="15"/>
  <c r="F62" i="15"/>
  <c r="BL17" i="3"/>
  <c r="J56" i="9"/>
  <c r="J57" i="9"/>
  <c r="J59" i="9"/>
  <c r="J61" i="9"/>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3"/>
  <c r="C58" i="33"/>
  <c r="C7" i="21"/>
  <c r="C7" i="40"/>
  <c r="C63" i="40"/>
  <c r="D63" i="40"/>
  <c r="M47" i="9"/>
  <c r="G19" i="43"/>
  <c r="T35" i="4"/>
  <c r="A19" i="51"/>
  <c r="B14" i="72"/>
  <c r="C59" i="34"/>
  <c r="D59" i="34"/>
  <c r="A4" i="51"/>
  <c r="B6" i="72"/>
  <c r="C58" i="21"/>
  <c r="D58" i="21"/>
  <c r="H62" i="43"/>
  <c r="H66" i="43"/>
  <c r="H61" i="43"/>
  <c r="H65" i="43"/>
  <c r="H60" i="43"/>
  <c r="H64" i="43"/>
  <c r="H59" i="43"/>
  <c r="H63" i="43"/>
  <c r="H67" i="43"/>
  <c r="H55" i="43"/>
  <c r="H51" i="43"/>
  <c r="H56" i="43"/>
  <c r="H76" i="43"/>
  <c r="H72" i="43"/>
  <c r="H77" i="43"/>
  <c r="B6" i="1"/>
  <c r="E6" i="1"/>
  <c r="K11" i="1"/>
  <c r="M11" i="1"/>
  <c r="AP6" i="1"/>
  <c r="B9" i="1"/>
  <c r="E9" i="1"/>
  <c r="K7"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AB41" i="39"/>
  <c r="U13" i="39"/>
  <c r="AA13" i="39"/>
  <c r="S13" i="39"/>
  <c r="AB11" i="39"/>
  <c r="U11" i="39"/>
  <c r="W31" i="39"/>
  <c r="AC31"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AA11" i="21"/>
  <c r="AA26" i="21"/>
  <c r="U40" i="21"/>
  <c r="AB13" i="21"/>
  <c r="W8" i="21"/>
  <c r="H15" i="21"/>
  <c r="U15" i="21"/>
  <c r="W30" i="21"/>
  <c r="H45" i="21"/>
  <c r="AB45" i="21"/>
  <c r="F29" i="21"/>
  <c r="S29" i="21"/>
  <c r="F13" i="21"/>
  <c r="AA13" i="21"/>
  <c r="AC38" i="21"/>
  <c r="H32" i="21"/>
  <c r="U32" i="21"/>
  <c r="H9" i="21"/>
  <c r="AB9" i="21"/>
  <c r="J9" i="21"/>
  <c r="J32" i="21"/>
  <c r="W32" i="21"/>
  <c r="F32" i="21"/>
  <c r="S32" i="21"/>
  <c r="S9" i="21"/>
  <c r="AA9" i="21"/>
  <c r="K141" i="21"/>
  <c r="K144" i="21"/>
  <c r="K143" i="21"/>
  <c r="AA30" i="21"/>
  <c r="W42" i="21"/>
  <c r="F10" i="21"/>
  <c r="S10" i="21"/>
  <c r="K145" i="21"/>
  <c r="AA15" i="21"/>
  <c r="AC26" i="21"/>
  <c r="AB29" i="21"/>
  <c r="AC34" i="21"/>
  <c r="W10" i="21"/>
  <c r="AB36" i="21"/>
  <c r="W30" i="40"/>
  <c r="C19" i="39"/>
  <c r="C15" i="40"/>
  <c r="C17" i="40"/>
  <c r="C23" i="40"/>
  <c r="C21" i="40"/>
  <c r="U30" i="40"/>
  <c r="B54" i="43"/>
  <c r="B65" i="43"/>
  <c r="B49" i="43"/>
  <c r="B52" i="43"/>
  <c r="B56" i="43"/>
  <c r="B60" i="43"/>
  <c r="B63" i="43"/>
  <c r="B67" i="43"/>
  <c r="D23" i="15"/>
  <c r="D22" i="15"/>
  <c r="E7" i="70"/>
  <c r="AA39" i="40"/>
  <c r="S39" i="40"/>
  <c r="S12" i="33"/>
  <c r="AA12" i="33"/>
  <c r="J32" i="39"/>
  <c r="AC32" i="39"/>
  <c r="H32" i="39"/>
  <c r="U32" i="39"/>
  <c r="S26" i="35"/>
  <c r="U9" i="35"/>
  <c r="AB9" i="35"/>
  <c r="AA9" i="35"/>
  <c r="S9" i="35"/>
  <c r="AC26" i="35"/>
  <c r="W26" i="35"/>
  <c r="AB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AC27" i="33"/>
  <c r="U25" i="33"/>
  <c r="AB25" i="33"/>
  <c r="S25" i="33"/>
  <c r="AA25" i="33"/>
  <c r="G87" i="33"/>
  <c r="H87" i="33"/>
  <c r="I87" i="33"/>
  <c r="J87" i="33"/>
  <c r="K87" i="33"/>
  <c r="L87" i="33"/>
  <c r="M87" i="33"/>
  <c r="J25" i="33"/>
  <c r="AC25" i="33"/>
  <c r="AB23" i="33"/>
  <c r="U23" i="33"/>
  <c r="F23" i="33"/>
  <c r="G85" i="33"/>
  <c r="AC23" i="33"/>
  <c r="W23" i="33"/>
  <c r="AA19" i="33"/>
  <c r="H19" i="33"/>
  <c r="U19" i="33"/>
  <c r="G81" i="33"/>
  <c r="G79" i="33"/>
  <c r="H17" i="33"/>
  <c r="F17" i="33"/>
  <c r="S17" i="33"/>
  <c r="W17" i="33"/>
  <c r="AC17" i="33"/>
  <c r="U10" i="33"/>
  <c r="AB10" i="33"/>
  <c r="AC10" i="33"/>
  <c r="W10" i="33"/>
  <c r="F85" i="21"/>
  <c r="G85" i="21"/>
  <c r="S13" i="21"/>
  <c r="D6" i="52"/>
  <c r="D121" i="9"/>
  <c r="D7" i="52"/>
  <c r="K120" i="9"/>
  <c r="A18" i="62"/>
  <c r="B64" i="72"/>
  <c r="R22" i="31"/>
  <c r="B21" i="31"/>
  <c r="O19" i="43"/>
  <c r="U9" i="21"/>
  <c r="W9" i="21"/>
  <c r="AC9" i="21"/>
  <c r="E6" i="70"/>
  <c r="W19" i="37"/>
  <c r="W23" i="37"/>
  <c r="AC23" i="37"/>
  <c r="AB11" i="37"/>
  <c r="H63" i="37"/>
  <c r="I63" i="37"/>
  <c r="J63" i="37"/>
  <c r="K63" i="37"/>
  <c r="L63" i="37"/>
  <c r="M63" i="37"/>
  <c r="J11" i="37"/>
  <c r="W11" i="37"/>
  <c r="W10" i="37"/>
  <c r="AC10" i="37"/>
  <c r="AB11" i="34"/>
  <c r="AC10" i="34"/>
  <c r="W10" i="34"/>
  <c r="H70" i="34"/>
  <c r="I70" i="34"/>
  <c r="J70" i="34"/>
  <c r="K70" i="34"/>
  <c r="L70" i="34"/>
  <c r="M70" i="34"/>
  <c r="J11" i="34"/>
  <c r="AC36" i="33"/>
  <c r="W36" i="33"/>
  <c r="U36" i="33"/>
  <c r="W27" i="33"/>
  <c r="W25" i="33"/>
  <c r="AA23" i="33"/>
  <c r="S23" i="33"/>
  <c r="AB19" i="33"/>
  <c r="AA17" i="33"/>
  <c r="U17" i="33"/>
  <c r="AB17" i="33"/>
  <c r="F1" i="67"/>
  <c r="Q52" i="67"/>
  <c r="AC11" i="37"/>
  <c r="W11" i="34"/>
  <c r="AC11" i="34"/>
  <c r="AE7" i="1"/>
  <c r="AE6" i="1"/>
  <c r="AG6" i="1"/>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F6" i="79"/>
  <c r="F8" i="79"/>
  <c r="F7" i="79"/>
  <c r="F9" i="79"/>
  <c r="C6" i="79"/>
  <c r="F11" i="79"/>
  <c r="C10" i="79"/>
  <c r="C5" i="79"/>
  <c r="C32" i="79"/>
  <c r="C33" i="79"/>
  <c r="R9"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9" i="1"/>
  <c r="F41" i="79"/>
  <c r="C40" i="79"/>
  <c r="M6" i="79"/>
  <c r="M8" i="79"/>
  <c r="M7" i="79"/>
  <c r="M9" i="79"/>
  <c r="J6" i="79"/>
  <c r="M11" i="79"/>
  <c r="J10" i="79"/>
  <c r="J5" i="79"/>
  <c r="J26" i="79"/>
  <c r="J29" i="79"/>
  <c r="J60" i="79"/>
  <c r="L46" i="79"/>
  <c r="B2" i="79"/>
  <c r="F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H107" i="9"/>
  <c r="M49" i="9"/>
  <c r="D45" i="9"/>
  <c r="D53" i="9"/>
  <c r="D48" i="9"/>
  <c r="M52" i="9"/>
  <c r="D55" i="9"/>
  <c r="M53" i="9"/>
  <c r="C85" i="9"/>
  <c r="C93" i="9"/>
  <c r="C92" i="9"/>
  <c r="C94" i="9"/>
  <c r="C86" i="9"/>
  <c r="C95" i="9"/>
  <c r="C96" i="9"/>
  <c r="C97" i="9"/>
  <c r="D58" i="9"/>
  <c r="D56" i="9"/>
  <c r="M54" i="9"/>
  <c r="N57" i="9"/>
  <c r="N59" i="9"/>
  <c r="N61" i="9"/>
  <c r="H112" i="9"/>
  <c r="D21" i="53"/>
  <c r="B39" i="72"/>
  <c r="H111" i="9"/>
  <c r="D126" i="9"/>
  <c r="D59" i="9"/>
  <c r="M55" i="9"/>
  <c r="AD3" i="71"/>
  <c r="B8" i="76"/>
  <c r="F13" i="67"/>
  <c r="F42" i="67"/>
  <c r="E2" i="69"/>
  <c r="D34" i="9"/>
  <c r="C76" i="67"/>
  <c r="D3" i="73"/>
  <c r="M22" i="67"/>
  <c r="D35" i="9"/>
  <c r="M22" i="15"/>
  <c r="B10" i="76"/>
  <c r="M21" i="67"/>
  <c r="B13" i="76"/>
  <c r="D2" i="36"/>
  <c r="D2" i="37"/>
  <c r="D6" i="73"/>
  <c r="L47" i="67"/>
  <c r="F20" i="31"/>
  <c r="D2" i="33"/>
  <c r="AO6" i="1"/>
  <c r="M29" i="79"/>
  <c r="E10" i="76"/>
  <c r="E9" i="76"/>
  <c r="M29" i="15"/>
  <c r="M23" i="15"/>
  <c r="M27" i="67"/>
  <c r="D2" i="35"/>
  <c r="F9" i="67"/>
  <c r="F38" i="67"/>
  <c r="D2" i="34"/>
  <c r="AO11" i="1"/>
  <c r="AO7" i="1"/>
  <c r="F41" i="67"/>
  <c r="L48" i="67"/>
  <c r="B12" i="76"/>
  <c r="E7" i="76"/>
  <c r="E8" i="76"/>
  <c r="E12" i="76"/>
  <c r="E11" i="76"/>
  <c r="F8" i="67"/>
  <c r="AO12" i="1"/>
  <c r="B9" i="76"/>
  <c r="F40" i="67"/>
  <c r="D2" i="21"/>
  <c r="E2" i="68"/>
  <c r="M26" i="15"/>
  <c r="AO13" i="1"/>
  <c r="E13" i="76"/>
  <c r="B11" i="76"/>
  <c r="J15" i="67"/>
  <c r="M27" i="15"/>
  <c r="M24" i="15"/>
  <c r="AO10" i="1"/>
  <c r="D7" i="73"/>
  <c r="C76" i="15"/>
  <c r="F7" i="67"/>
  <c r="B7" i="76"/>
  <c r="D4" i="73"/>
  <c r="F52" i="9"/>
  <c r="C40" i="68"/>
  <c r="C40" i="69"/>
  <c r="AZ557" i="3"/>
  <c r="AZ17" i="3"/>
  <c r="F101" i="39"/>
  <c r="H27" i="39"/>
  <c r="F27" i="39"/>
  <c r="F81" i="21"/>
  <c r="G81" i="21"/>
  <c r="F19" i="21"/>
  <c r="W34" i="35"/>
  <c r="AC34" i="35"/>
  <c r="AZ439" i="3"/>
  <c r="AZ475" i="3"/>
  <c r="AZ489" i="3"/>
  <c r="E7" i="21"/>
  <c r="I7" i="21"/>
  <c r="G7" i="21"/>
  <c r="S32" i="37"/>
  <c r="S27" i="36"/>
  <c r="S30" i="40"/>
  <c r="AA39" i="34"/>
  <c r="G29" i="6"/>
  <c r="AA14" i="33"/>
  <c r="AA44" i="33"/>
  <c r="J12" i="21"/>
  <c r="H12" i="21"/>
  <c r="E108" i="21"/>
  <c r="F108" i="21"/>
  <c r="G108" i="21"/>
  <c r="H108" i="21"/>
  <c r="I108" i="21"/>
  <c r="J108" i="21"/>
  <c r="K108" i="21"/>
  <c r="L108" i="21"/>
  <c r="M108" i="21"/>
  <c r="F35" i="21"/>
  <c r="S35" i="21"/>
  <c r="AA40" i="21"/>
  <c r="S40" i="21"/>
  <c r="AA12" i="34"/>
  <c r="S12" i="34"/>
  <c r="S38" i="40"/>
  <c r="AA38" i="40"/>
  <c r="AZ398" i="3"/>
  <c r="AZ405" i="3"/>
  <c r="AZ407" i="3"/>
  <c r="AZ410" i="3"/>
  <c r="AZ415" i="3"/>
  <c r="AZ420" i="3"/>
  <c r="AZ426" i="3"/>
  <c r="AZ431" i="3"/>
  <c r="AZ448" i="3"/>
  <c r="AZ452" i="3"/>
  <c r="AZ461" i="3"/>
  <c r="AZ463" i="3"/>
  <c r="AZ468" i="3"/>
  <c r="AZ470" i="3"/>
  <c r="AZ479" i="3"/>
  <c r="AZ485" i="3"/>
  <c r="O17" i="43"/>
  <c r="M17" i="43"/>
  <c r="N17" i="43"/>
  <c r="L17" i="43"/>
  <c r="E17" i="4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C22" i="71"/>
  <c r="D21" i="71"/>
  <c r="C18" i="71"/>
  <c r="D17" i="71"/>
  <c r="D24" i="71"/>
  <c r="C25" i="71"/>
  <c r="D28" i="71"/>
  <c r="C29" i="71"/>
  <c r="C33" i="71"/>
  <c r="D33" i="71"/>
  <c r="D32" i="71"/>
  <c r="C37" i="71"/>
  <c r="D36" i="71"/>
  <c r="C41" i="71"/>
  <c r="D40" i="71"/>
  <c r="C45" i="71"/>
  <c r="D44" i="71"/>
  <c r="C15" i="39"/>
  <c r="C21" i="39"/>
  <c r="C25" i="39"/>
  <c r="S27" i="35"/>
  <c r="W22" i="35"/>
  <c r="AC27" i="35"/>
  <c r="W8" i="36"/>
  <c r="H9" i="34"/>
  <c r="AC31" i="35"/>
  <c r="F34" i="35"/>
  <c r="H34" i="35"/>
  <c r="J36" i="35"/>
  <c r="H38" i="40"/>
  <c r="J38" i="40"/>
  <c r="H39" i="40"/>
  <c r="AC5" i="3"/>
  <c r="BL15" i="3"/>
  <c r="A15" i="62"/>
  <c r="B61" i="72"/>
  <c r="X7" i="43"/>
  <c r="F3" i="35"/>
  <c r="J51" i="15"/>
  <c r="C29" i="39"/>
  <c r="B66" i="43"/>
  <c r="F16" i="71"/>
  <c r="F17" i="71"/>
  <c r="F18" i="71"/>
  <c r="V18" i="71"/>
  <c r="X10" i="71"/>
  <c r="Y9" i="71"/>
  <c r="Z9" i="71"/>
  <c r="AA9" i="71"/>
  <c r="AB9" i="71"/>
  <c r="B9" i="71"/>
  <c r="B8" i="71"/>
  <c r="B7" i="71"/>
  <c r="B6" i="71"/>
  <c r="C9" i="71"/>
  <c r="AA8" i="71"/>
  <c r="AB8" i="71"/>
  <c r="X7" i="71"/>
  <c r="X6" i="71"/>
  <c r="AA7" i="71"/>
  <c r="AA6" i="71"/>
  <c r="AA5" i="71"/>
  <c r="C7" i="37"/>
  <c r="C52" i="37"/>
  <c r="J51" i="79"/>
  <c r="M100" i="43"/>
  <c r="I100" i="43"/>
  <c r="E100" i="43"/>
  <c r="D100" i="43"/>
  <c r="D22" i="67"/>
  <c r="D13" i="71"/>
  <c r="D14" i="71"/>
  <c r="U14" i="71"/>
  <c r="AA13" i="71"/>
  <c r="AA11" i="71"/>
  <c r="AB13" i="71"/>
  <c r="S14" i="71"/>
  <c r="D20" i="71"/>
  <c r="X13" i="71"/>
  <c r="Y3" i="71"/>
  <c r="Z3" i="71"/>
  <c r="X21" i="71"/>
  <c r="X20" i="71"/>
  <c r="AA18" i="71"/>
  <c r="AA17" i="71"/>
  <c r="AA23" i="71"/>
  <c r="F53" i="71"/>
  <c r="D10" i="71"/>
  <c r="U10" i="71"/>
  <c r="AB6" i="71"/>
  <c r="AB5" i="71"/>
  <c r="X5" i="71"/>
  <c r="AC25" i="21"/>
  <c r="AA25" i="21"/>
  <c r="U25" i="21"/>
  <c r="W43" i="21"/>
  <c r="H35" i="21"/>
  <c r="U35" i="21"/>
  <c r="J35" i="21"/>
  <c r="W35" i="21"/>
  <c r="W12" i="21"/>
  <c r="AC12" i="21"/>
  <c r="AB14" i="21"/>
  <c r="AC13" i="21"/>
  <c r="W14" i="21"/>
  <c r="F12" i="21"/>
  <c r="W29" i="21"/>
  <c r="AC41" i="21"/>
  <c r="AB41" i="21"/>
  <c r="H23" i="21"/>
  <c r="U23" i="21"/>
  <c r="J23" i="21"/>
  <c r="AC23" i="21"/>
  <c r="AB43" i="21"/>
  <c r="S42" i="21"/>
  <c r="S39" i="21"/>
  <c r="W23" i="21"/>
  <c r="S23" i="21"/>
  <c r="AC21" i="21"/>
  <c r="U21" i="21"/>
  <c r="S21" i="21"/>
  <c r="H19" i="21"/>
  <c r="W19" i="21"/>
  <c r="H17" i="21"/>
  <c r="AB17" i="21"/>
  <c r="F79" i="21"/>
  <c r="F17" i="21"/>
  <c r="AA17" i="21"/>
  <c r="AB30" i="21"/>
  <c r="F77" i="21"/>
  <c r="G77" i="21"/>
  <c r="J15" i="21"/>
  <c r="W15" i="21"/>
  <c r="AB15" i="21"/>
  <c r="U34" i="21"/>
  <c r="AA35" i="21"/>
  <c r="U38" i="21"/>
  <c r="AB39" i="21"/>
  <c r="W39" i="21"/>
  <c r="AA38" i="21"/>
  <c r="S31" i="21"/>
  <c r="AA31" i="21"/>
  <c r="H31" i="21"/>
  <c r="J31" i="21"/>
  <c r="AC32" i="21"/>
  <c r="AA29" i="21"/>
  <c r="S28" i="21"/>
  <c r="AA28" i="21"/>
  <c r="J28" i="21"/>
  <c r="H28" i="21"/>
  <c r="AC27" i="21"/>
  <c r="W27" i="21"/>
  <c r="F27" i="21"/>
  <c r="U27" i="21"/>
  <c r="U10" i="21"/>
  <c r="AA10" i="21"/>
  <c r="AC36" i="21"/>
  <c r="AB32" i="21"/>
  <c r="AA32" i="21"/>
  <c r="AC45" i="21"/>
  <c r="W45" i="21"/>
  <c r="U44" i="21"/>
  <c r="AB44" i="21"/>
  <c r="U46" i="21"/>
  <c r="AB46" i="21"/>
  <c r="U45" i="21"/>
  <c r="AA45" i="21"/>
  <c r="W46" i="21"/>
  <c r="AA44" i="21"/>
  <c r="F46" i="21"/>
  <c r="F50" i="79"/>
  <c r="F71" i="79"/>
  <c r="M9" i="1"/>
  <c r="G113" i="21"/>
  <c r="H37" i="21"/>
  <c r="AC11" i="21"/>
  <c r="F32" i="39"/>
  <c r="G107" i="39"/>
  <c r="H107" i="39"/>
  <c r="I107" i="39"/>
  <c r="J107" i="39"/>
  <c r="K107" i="39"/>
  <c r="L107" i="39"/>
  <c r="M107" i="39"/>
  <c r="AB32" i="39"/>
  <c r="W32" i="39"/>
  <c r="W40" i="39"/>
  <c r="W39" i="39"/>
  <c r="U42" i="39"/>
  <c r="U40" i="39"/>
  <c r="W42" i="39"/>
  <c r="AA42" i="39"/>
  <c r="AB39" i="39"/>
  <c r="U29" i="39"/>
  <c r="AC29" i="39"/>
  <c r="S29" i="39"/>
  <c r="G101" i="39"/>
  <c r="J27" i="39"/>
  <c r="F25" i="39"/>
  <c r="S25" i="39"/>
  <c r="J25" i="39"/>
  <c r="F99" i="39"/>
  <c r="G99" i="39"/>
  <c r="H25" i="39"/>
  <c r="AA25" i="39"/>
  <c r="AA23" i="39"/>
  <c r="W23" i="39"/>
  <c r="H21" i="39"/>
  <c r="F95" i="39"/>
  <c r="G95" i="39"/>
  <c r="F21" i="39"/>
  <c r="S21" i="39"/>
  <c r="J21" i="39"/>
  <c r="AC21" i="39"/>
  <c r="AA21" i="39"/>
  <c r="AC15" i="39"/>
  <c r="H17" i="39"/>
  <c r="AB17" i="39"/>
  <c r="E91" i="39"/>
  <c r="AB15" i="39"/>
  <c r="S15" i="39"/>
  <c r="U38" i="39"/>
  <c r="S38" i="39"/>
  <c r="S43" i="39"/>
  <c r="AA43" i="39"/>
  <c r="U45" i="39"/>
  <c r="AB45" i="39"/>
  <c r="AB44" i="39"/>
  <c r="U44" i="39"/>
  <c r="AC45" i="39"/>
  <c r="S44" i="39"/>
  <c r="J43" i="39"/>
  <c r="F45" i="39"/>
  <c r="H43" i="39"/>
  <c r="U37" i="39"/>
  <c r="AB37" i="39"/>
  <c r="AB36" i="39"/>
  <c r="U36" i="39"/>
  <c r="U35" i="39"/>
  <c r="AC36" i="39"/>
  <c r="S36" i="39"/>
  <c r="AC35" i="39"/>
  <c r="J37" i="39"/>
  <c r="U19" i="39"/>
  <c r="AA14" i="39"/>
  <c r="S14" i="39"/>
  <c r="AB14" i="39"/>
  <c r="S12" i="39"/>
  <c r="AC14" i="39"/>
  <c r="S9" i="39"/>
  <c r="U9" i="39"/>
  <c r="AA11" i="39"/>
  <c r="Q52" i="15"/>
  <c r="P74" i="15"/>
  <c r="C77" i="9"/>
  <c r="C74" i="9"/>
  <c r="F54" i="9"/>
  <c r="F28" i="15"/>
  <c r="C28" i="15"/>
  <c r="M18" i="67"/>
  <c r="C48" i="11"/>
  <c r="C30" i="11"/>
  <c r="F32" i="15"/>
  <c r="F60" i="15"/>
  <c r="F32" i="67"/>
  <c r="F60" i="67"/>
  <c r="F31" i="12"/>
  <c r="F32" i="79"/>
  <c r="F60" i="79"/>
  <c r="F28" i="79"/>
  <c r="C28" i="79"/>
  <c r="M18" i="79"/>
  <c r="D68" i="9"/>
  <c r="M18" i="15"/>
  <c r="F30" i="69"/>
  <c r="F28" i="67"/>
  <c r="C28" i="67"/>
  <c r="F30" i="68"/>
  <c r="F53" i="9"/>
  <c r="F34" i="79"/>
  <c r="F62" i="79"/>
  <c r="M20" i="79"/>
  <c r="M20" i="15"/>
  <c r="D23" i="67"/>
  <c r="G17" i="43"/>
  <c r="C16" i="43"/>
  <c r="G7" i="1"/>
  <c r="G16" i="1"/>
  <c r="F10" i="40"/>
  <c r="AA10" i="40"/>
  <c r="BA14" i="3"/>
  <c r="AZ14" i="3"/>
  <c r="F29" i="6"/>
  <c r="BA15" i="3"/>
  <c r="AZ15" i="3"/>
  <c r="G15" i="3"/>
  <c r="G5" i="3"/>
  <c r="B3" i="3"/>
  <c r="C33" i="21"/>
  <c r="E32" i="6"/>
  <c r="BE5" i="3"/>
  <c r="BC5" i="3"/>
  <c r="BB5" i="3"/>
  <c r="H5" i="3"/>
  <c r="E29" i="6"/>
  <c r="K15" i="1"/>
  <c r="BL13" i="3"/>
  <c r="BL5" i="3"/>
  <c r="F28" i="6"/>
  <c r="F30" i="6"/>
  <c r="T12" i="1"/>
  <c r="AQ12" i="1"/>
  <c r="BT5" i="3"/>
  <c r="G28" i="6"/>
  <c r="BA13" i="3"/>
  <c r="AR10" i="1"/>
  <c r="I4" i="6"/>
  <c r="G3" i="43"/>
  <c r="AB11" i="43"/>
  <c r="AB13" i="43"/>
  <c r="C36" i="69"/>
  <c r="AQ13" i="1"/>
  <c r="P13" i="1"/>
  <c r="T13" i="1"/>
  <c r="T10" i="1"/>
  <c r="Q16" i="1"/>
  <c r="O11" i="1"/>
  <c r="P11" i="1"/>
  <c r="O12" i="1"/>
  <c r="P12" i="1"/>
  <c r="O8" i="1"/>
  <c r="P8" i="1"/>
  <c r="H16" i="1"/>
  <c r="M7" i="1"/>
  <c r="O6" i="1"/>
  <c r="AR11" i="1"/>
  <c r="T11" i="1"/>
  <c r="D19" i="53"/>
  <c r="D127" i="9"/>
  <c r="D13" i="52"/>
  <c r="I14" i="74"/>
  <c r="B8" i="74"/>
  <c r="D12" i="52"/>
  <c r="K56" i="9"/>
  <c r="N56" i="9"/>
  <c r="D65" i="40"/>
  <c r="E63" i="40"/>
  <c r="C70" i="39"/>
  <c r="D68" i="39"/>
  <c r="D52" i="37"/>
  <c r="E52" i="37"/>
  <c r="F52" i="37"/>
  <c r="G52" i="37"/>
  <c r="H52" i="37"/>
  <c r="I52" i="37"/>
  <c r="J52" i="37"/>
  <c r="K52" i="37"/>
  <c r="L52" i="37"/>
  <c r="M52" i="37"/>
  <c r="N52" i="37"/>
  <c r="O52" i="37"/>
  <c r="E58" i="21"/>
  <c r="F58" i="21"/>
  <c r="G58" i="21"/>
  <c r="H58" i="21"/>
  <c r="I58" i="21"/>
  <c r="J58" i="21"/>
  <c r="K58" i="21"/>
  <c r="L58" i="21"/>
  <c r="M58" i="21"/>
  <c r="N58" i="21"/>
  <c r="O58" i="21"/>
  <c r="H7" i="21"/>
  <c r="F7" i="21"/>
  <c r="D58" i="33"/>
  <c r="E58" i="33"/>
  <c r="F58" i="33"/>
  <c r="G58" i="33"/>
  <c r="H58" i="33"/>
  <c r="I58" i="33"/>
  <c r="J58" i="33"/>
  <c r="K58" i="33"/>
  <c r="L58" i="33"/>
  <c r="M58" i="33"/>
  <c r="N58" i="33"/>
  <c r="O58" i="33"/>
  <c r="E59" i="34"/>
  <c r="F59" i="34"/>
  <c r="G59" i="34"/>
  <c r="H59" i="34"/>
  <c r="I59" i="34"/>
  <c r="J59" i="34"/>
  <c r="K59" i="34"/>
  <c r="L59" i="34"/>
  <c r="M59" i="34"/>
  <c r="N59" i="34"/>
  <c r="O59" i="34"/>
  <c r="C65" i="40"/>
  <c r="C7" i="35"/>
  <c r="C48" i="35"/>
  <c r="C7" i="36"/>
  <c r="C46" i="36"/>
  <c r="L1" i="73"/>
  <c r="C20" i="43"/>
  <c r="F7" i="71"/>
  <c r="F6" i="71"/>
  <c r="F5" i="71"/>
  <c r="Y6" i="71"/>
  <c r="Z6" i="71"/>
  <c r="B7" i="49"/>
  <c r="C4" i="4"/>
  <c r="E7" i="49"/>
  <c r="B15" i="49"/>
  <c r="AB3" i="71"/>
  <c r="X3" i="71"/>
  <c r="E7" i="71"/>
  <c r="E6" i="71"/>
  <c r="E10" i="49"/>
  <c r="B6" i="49"/>
  <c r="E14" i="49"/>
  <c r="AF3" i="71"/>
  <c r="P24" i="43"/>
  <c r="B66" i="40"/>
  <c r="P22" i="43"/>
  <c r="B13" i="49"/>
  <c r="E4" i="4"/>
  <c r="B5" i="62"/>
  <c r="B73" i="72"/>
  <c r="B4" i="49"/>
  <c r="B9" i="49"/>
  <c r="E22" i="49"/>
  <c r="E16" i="49"/>
  <c r="E11" i="49"/>
  <c r="B10" i="49"/>
  <c r="E6" i="49"/>
  <c r="E8" i="49"/>
  <c r="E5" i="49"/>
  <c r="B8" i="49"/>
  <c r="B5" i="49"/>
  <c r="E21" i="49"/>
  <c r="E4" i="49"/>
  <c r="B11" i="49"/>
  <c r="B14" i="49"/>
  <c r="B16" i="49"/>
  <c r="E13" i="49"/>
  <c r="E15" i="49"/>
  <c r="E9" i="49"/>
  <c r="B22" i="49"/>
  <c r="B6" i="70"/>
  <c r="F70" i="67"/>
  <c r="J57" i="15"/>
  <c r="J55" i="15"/>
  <c r="J58" i="15"/>
  <c r="Q50" i="15"/>
  <c r="I54" i="15"/>
  <c r="F66" i="15"/>
  <c r="B10" i="70"/>
  <c r="F68" i="67"/>
  <c r="F66" i="67"/>
  <c r="L59" i="67"/>
  <c r="M59" i="67"/>
  <c r="N59" i="67"/>
  <c r="L58" i="67"/>
  <c r="F68" i="15"/>
  <c r="Q71" i="67"/>
  <c r="B13" i="70"/>
  <c r="E20" i="43"/>
  <c r="B20" i="31"/>
  <c r="B7" i="70"/>
  <c r="F69" i="67"/>
  <c r="J20" i="67"/>
  <c r="Q71" i="15"/>
  <c r="M7" i="67"/>
  <c r="F50" i="67"/>
  <c r="F51" i="67"/>
  <c r="B11" i="70"/>
  <c r="F64" i="15"/>
  <c r="I54" i="67"/>
  <c r="J57" i="67"/>
  <c r="J55" i="67"/>
  <c r="J58" i="67"/>
  <c r="Q50" i="67"/>
  <c r="L56" i="67"/>
  <c r="B12" i="70"/>
  <c r="K1" i="73"/>
  <c r="F59" i="67"/>
  <c r="F31" i="67"/>
  <c r="F31" i="15"/>
  <c r="M17" i="15"/>
  <c r="F59" i="15"/>
  <c r="M17" i="67"/>
  <c r="F37" i="67"/>
  <c r="M29" i="67"/>
  <c r="M26" i="79"/>
  <c r="L47" i="79"/>
  <c r="F36" i="67"/>
  <c r="M28" i="15"/>
  <c r="M24" i="79"/>
  <c r="F43" i="67"/>
  <c r="F6" i="67"/>
  <c r="L47" i="15"/>
  <c r="J15" i="79"/>
  <c r="C76" i="79"/>
  <c r="M24" i="67"/>
  <c r="M28" i="67"/>
  <c r="F26" i="67"/>
  <c r="M26" i="67"/>
  <c r="F5" i="73"/>
  <c r="J15" i="15"/>
  <c r="M22" i="79"/>
  <c r="F35" i="67"/>
  <c r="F3" i="73"/>
  <c r="M8" i="67"/>
  <c r="M27" i="79"/>
  <c r="F6" i="73"/>
  <c r="F7" i="73"/>
  <c r="M6" i="67"/>
  <c r="M23" i="79"/>
  <c r="F16" i="67"/>
  <c r="M9" i="67"/>
  <c r="M28" i="79"/>
  <c r="M23" i="67"/>
  <c r="J7" i="33"/>
  <c r="F68" i="79"/>
  <c r="Q71" i="79"/>
  <c r="F51" i="79"/>
  <c r="F71" i="15"/>
  <c r="F63" i="67"/>
  <c r="C62" i="67"/>
  <c r="C34" i="67"/>
  <c r="F71" i="67"/>
  <c r="L58" i="79"/>
  <c r="N59" i="79"/>
  <c r="M59" i="79"/>
  <c r="L59" i="79"/>
  <c r="Q74" i="79"/>
  <c r="Q52" i="79"/>
  <c r="F65" i="79"/>
  <c r="F66" i="79"/>
  <c r="F64" i="79"/>
  <c r="F65" i="67"/>
  <c r="N59" i="15"/>
  <c r="L58" i="15"/>
  <c r="Q60" i="15"/>
  <c r="M59" i="15"/>
  <c r="L59" i="15"/>
  <c r="Q74" i="15"/>
  <c r="F51" i="15"/>
  <c r="C6" i="67"/>
  <c r="F50" i="15"/>
  <c r="C27" i="67"/>
  <c r="F65" i="15"/>
  <c r="F64" i="67"/>
  <c r="J6" i="67"/>
  <c r="P21" i="43"/>
  <c r="J7" i="34"/>
  <c r="F7" i="33"/>
  <c r="J7" i="21"/>
  <c r="C49" i="79"/>
  <c r="C8" i="71"/>
  <c r="D9" i="71"/>
  <c r="AC38" i="40"/>
  <c r="W38" i="40"/>
  <c r="AC36" i="35"/>
  <c r="W36" i="35"/>
  <c r="AA34" i="35"/>
  <c r="S34" i="35"/>
  <c r="AB9" i="34"/>
  <c r="U9" i="34"/>
  <c r="C30" i="71"/>
  <c r="D29" i="71"/>
  <c r="C26" i="71"/>
  <c r="D25" i="71"/>
  <c r="U27" i="39"/>
  <c r="AB27" i="39"/>
  <c r="E5" i="71"/>
  <c r="V6" i="71"/>
  <c r="Q53" i="71"/>
  <c r="F52" i="71"/>
  <c r="I54" i="79"/>
  <c r="J57" i="79"/>
  <c r="J55" i="79"/>
  <c r="J58" i="79"/>
  <c r="Q50" i="79"/>
  <c r="B5" i="71"/>
  <c r="S6" i="71"/>
  <c r="AB39" i="40"/>
  <c r="U39" i="40"/>
  <c r="U38" i="40"/>
  <c r="AB38" i="40"/>
  <c r="U34" i="35"/>
  <c r="AB34" i="35"/>
  <c r="C46" i="71"/>
  <c r="D45" i="71"/>
  <c r="C42" i="71"/>
  <c r="D41" i="71"/>
  <c r="C38" i="71"/>
  <c r="D37" i="71"/>
  <c r="D18" i="71"/>
  <c r="T18" i="71"/>
  <c r="D22" i="71"/>
  <c r="T22" i="71"/>
  <c r="AB12" i="21"/>
  <c r="U12" i="21"/>
  <c r="AA19" i="21"/>
  <c r="S19" i="21"/>
  <c r="S27" i="39"/>
  <c r="AA27" i="39"/>
  <c r="AB35" i="21"/>
  <c r="AC35" i="21"/>
  <c r="S12" i="21"/>
  <c r="AA12" i="21"/>
  <c r="AB23" i="21"/>
  <c r="AB19" i="21"/>
  <c r="U19" i="21"/>
  <c r="G79" i="21"/>
  <c r="J17" i="21"/>
  <c r="U17" i="21"/>
  <c r="S17" i="21"/>
  <c r="AC15" i="21"/>
  <c r="U31" i="21"/>
  <c r="AB31" i="21"/>
  <c r="AC31" i="21"/>
  <c r="W31" i="21"/>
  <c r="W28" i="21"/>
  <c r="AC28" i="21"/>
  <c r="U28" i="21"/>
  <c r="AB28" i="21"/>
  <c r="S27" i="21"/>
  <c r="AA27" i="21"/>
  <c r="AA46" i="21"/>
  <c r="S46" i="21"/>
  <c r="H33" i="21"/>
  <c r="F33" i="21"/>
  <c r="J33" i="21"/>
  <c r="O9" i="1"/>
  <c r="P9" i="1"/>
  <c r="U37" i="21"/>
  <c r="AB37" i="21"/>
  <c r="J37" i="21"/>
  <c r="F37" i="21"/>
  <c r="H113" i="21"/>
  <c r="S32" i="39"/>
  <c r="AA32" i="39"/>
  <c r="AC27" i="39"/>
  <c r="W27" i="39"/>
  <c r="AC25" i="39"/>
  <c r="W25" i="39"/>
  <c r="AB25" i="39"/>
  <c r="U25" i="39"/>
  <c r="U21" i="39"/>
  <c r="AB21" i="39"/>
  <c r="W21" i="39"/>
  <c r="F91" i="39"/>
  <c r="F17" i="39"/>
  <c r="U17" i="39"/>
  <c r="W43" i="39"/>
  <c r="AC43" i="39"/>
  <c r="S45" i="39"/>
  <c r="AA45" i="39"/>
  <c r="AB43" i="39"/>
  <c r="U43" i="39"/>
  <c r="AC37" i="39"/>
  <c r="W37" i="39"/>
  <c r="L56" i="15"/>
  <c r="C48" i="68"/>
  <c r="C30" i="68"/>
  <c r="C48" i="69"/>
  <c r="C30" i="69"/>
  <c r="L56" i="79"/>
  <c r="C5" i="43"/>
  <c r="D5" i="43"/>
  <c r="BA5" i="3"/>
  <c r="E175" i="3"/>
  <c r="E435" i="3"/>
  <c r="E557" i="3"/>
  <c r="E211" i="3"/>
  <c r="E394" i="3"/>
  <c r="E10" i="6"/>
  <c r="E216" i="3"/>
  <c r="E326" i="3"/>
  <c r="E227" i="3"/>
  <c r="E436" i="3"/>
  <c r="E567" i="3"/>
  <c r="E400" i="3"/>
  <c r="E68" i="3"/>
  <c r="I6" i="3"/>
  <c r="E119" i="3"/>
  <c r="E168" i="3"/>
  <c r="E197" i="3"/>
  <c r="E109" i="3"/>
  <c r="E337" i="3"/>
  <c r="E134" i="3"/>
  <c r="E344" i="3"/>
  <c r="E13" i="3"/>
  <c r="E41" i="3"/>
  <c r="E268" i="3"/>
  <c r="E380" i="3"/>
  <c r="AO6" i="3"/>
  <c r="E182" i="3"/>
  <c r="E184" i="3"/>
  <c r="E114" i="3"/>
  <c r="E341" i="3"/>
  <c r="E207" i="3"/>
  <c r="E256" i="3"/>
  <c r="E154" i="3"/>
  <c r="AQ6" i="3"/>
  <c r="E250" i="3"/>
  <c r="AA6" i="3"/>
  <c r="E276" i="3"/>
  <c r="E530" i="3"/>
  <c r="E538" i="3"/>
  <c r="E327" i="3"/>
  <c r="E531" i="3"/>
  <c r="E46" i="3"/>
  <c r="E148" i="3"/>
  <c r="E503" i="3"/>
  <c r="E141" i="3"/>
  <c r="E363" i="3"/>
  <c r="E286" i="3"/>
  <c r="E19" i="3"/>
  <c r="E62" i="3"/>
  <c r="E70" i="3"/>
  <c r="E572" i="3"/>
  <c r="E371" i="3"/>
  <c r="E555" i="3"/>
  <c r="E368" i="3"/>
  <c r="E462" i="3"/>
  <c r="E396" i="3"/>
  <c r="E473" i="3"/>
  <c r="E532" i="3"/>
  <c r="E353" i="3"/>
  <c r="E234" i="3"/>
  <c r="E491" i="3"/>
  <c r="Q6" i="3"/>
  <c r="E195" i="3"/>
  <c r="E524" i="3"/>
  <c r="E391" i="3"/>
  <c r="E199" i="3"/>
  <c r="E293" i="3"/>
  <c r="E217" i="3"/>
  <c r="E270" i="3"/>
  <c r="E140" i="3"/>
  <c r="E485" i="3"/>
  <c r="E489" i="3"/>
  <c r="E377" i="3"/>
  <c r="E200" i="3"/>
  <c r="E264" i="3"/>
  <c r="E550" i="3"/>
  <c r="E549" i="3"/>
  <c r="E289" i="3"/>
  <c r="E514" i="3"/>
  <c r="E266" i="3"/>
  <c r="W6" i="3"/>
  <c r="E402" i="3"/>
  <c r="E127" i="3"/>
  <c r="E115" i="3"/>
  <c r="E456" i="3"/>
  <c r="E34" i="3"/>
  <c r="E401" i="3"/>
  <c r="E544" i="3"/>
  <c r="E541" i="3"/>
  <c r="E226" i="3"/>
  <c r="E78" i="3"/>
  <c r="E454" i="3"/>
  <c r="E247" i="3"/>
  <c r="E57" i="3"/>
  <c r="E500" i="3"/>
  <c r="E294" i="3"/>
  <c r="E35" i="3"/>
  <c r="E493" i="3"/>
  <c r="L19" i="6"/>
  <c r="L20" i="6"/>
  <c r="E405" i="3"/>
  <c r="E302" i="3"/>
  <c r="E31" i="3"/>
  <c r="E421" i="3"/>
  <c r="E474" i="3"/>
  <c r="E209" i="3"/>
  <c r="E214" i="3"/>
  <c r="E465" i="3"/>
  <c r="E221" i="3"/>
  <c r="E304" i="3"/>
  <c r="E428" i="3"/>
  <c r="E450" i="3"/>
  <c r="E193" i="3"/>
  <c r="E65" i="3"/>
  <c r="E150" i="3"/>
  <c r="E490" i="3"/>
  <c r="E578" i="3"/>
  <c r="E245" i="3"/>
  <c r="AJ6" i="3"/>
  <c r="AR6" i="3"/>
  <c r="E135" i="3"/>
  <c r="Z6" i="3"/>
  <c r="E345" i="3"/>
  <c r="E28" i="3"/>
  <c r="E273" i="3"/>
  <c r="E484" i="3"/>
  <c r="E84" i="3"/>
  <c r="E21" i="3"/>
  <c r="E395" i="3"/>
  <c r="E397" i="3"/>
  <c r="E196" i="3"/>
  <c r="E235" i="3"/>
  <c r="E387" i="3"/>
  <c r="E261" i="3"/>
  <c r="E333" i="3"/>
  <c r="E507" i="3"/>
  <c r="E159" i="3"/>
  <c r="E153" i="3"/>
  <c r="E488" i="3"/>
  <c r="E55" i="3"/>
  <c r="E430" i="3"/>
  <c r="E252" i="3"/>
  <c r="E93" i="3"/>
  <c r="E566" i="3"/>
  <c r="E232" i="3"/>
  <c r="E409" i="3"/>
  <c r="E132" i="3"/>
  <c r="E497" i="3"/>
  <c r="K6" i="3"/>
  <c r="E551" i="3"/>
  <c r="E22" i="3"/>
  <c r="E219" i="3"/>
  <c r="E378" i="3"/>
  <c r="E463" i="3"/>
  <c r="E527" i="3"/>
  <c r="E149" i="3"/>
  <c r="E583" i="3"/>
  <c r="E5" i="6"/>
  <c r="E15" i="6"/>
  <c r="E65" i="39"/>
  <c r="E11" i="6"/>
  <c r="E61" i="39"/>
  <c r="E8" i="6"/>
  <c r="E56" i="39"/>
  <c r="E12" i="6"/>
  <c r="E62" i="39"/>
  <c r="E14" i="6"/>
  <c r="E13" i="6"/>
  <c r="E58" i="40"/>
  <c r="E553" i="3"/>
  <c r="N6" i="3"/>
  <c r="E352" i="3"/>
  <c r="E506" i="3"/>
  <c r="E298" i="3"/>
  <c r="E117" i="3"/>
  <c r="E105" i="3"/>
  <c r="E515" i="3"/>
  <c r="E414" i="3"/>
  <c r="E505" i="3"/>
  <c r="E476" i="3"/>
  <c r="E27" i="3"/>
  <c r="E186" i="3"/>
  <c r="E331" i="3"/>
  <c r="E44" i="3"/>
  <c r="E64" i="3"/>
  <c r="E300" i="3"/>
  <c r="E144" i="3"/>
  <c r="E118" i="3"/>
  <c r="E69" i="3"/>
  <c r="E445" i="3"/>
  <c r="E359" i="3"/>
  <c r="E511" i="3"/>
  <c r="E306" i="3"/>
  <c r="E89" i="3"/>
  <c r="E113" i="3"/>
  <c r="E18" i="3"/>
  <c r="E91" i="3"/>
  <c r="E335" i="3"/>
  <c r="E229" i="3"/>
  <c r="E528" i="3"/>
  <c r="E342" i="3"/>
  <c r="E14" i="3"/>
  <c r="E40" i="3"/>
  <c r="E582" i="3"/>
  <c r="E564" i="3"/>
  <c r="E212" i="3"/>
  <c r="E350" i="3"/>
  <c r="E399" i="3"/>
  <c r="E53" i="3"/>
  <c r="E307" i="3"/>
  <c r="E356" i="3"/>
  <c r="E152" i="3"/>
  <c r="E496" i="3"/>
  <c r="E556" i="3"/>
  <c r="E466" i="3"/>
  <c r="T6" i="3"/>
  <c r="E253" i="3"/>
  <c r="E147" i="3"/>
  <c r="E540" i="3"/>
  <c r="E155" i="3"/>
  <c r="J6" i="3"/>
  <c r="E83" i="3"/>
  <c r="E284" i="3"/>
  <c r="E299" i="3"/>
  <c r="E482" i="3"/>
  <c r="E349" i="3"/>
  <c r="E171" i="3"/>
  <c r="E26" i="3"/>
  <c r="E554" i="3"/>
  <c r="E406" i="3"/>
  <c r="E534" i="3"/>
  <c r="E77" i="3"/>
  <c r="E230" i="3"/>
  <c r="V6" i="3"/>
  <c r="E509" i="3"/>
  <c r="E565" i="3"/>
  <c r="E192" i="3"/>
  <c r="E158" i="3"/>
  <c r="E340" i="3"/>
  <c r="E24" i="3"/>
  <c r="E324" i="3"/>
  <c r="E170" i="3"/>
  <c r="E521" i="3"/>
  <c r="E60" i="3"/>
  <c r="E318" i="3"/>
  <c r="E259" i="3"/>
  <c r="E202" i="3"/>
  <c r="E111" i="3"/>
  <c r="E39" i="3"/>
  <c r="E483" i="3"/>
  <c r="E571" i="3"/>
  <c r="E374" i="3"/>
  <c r="E422" i="3"/>
  <c r="E458" i="3"/>
  <c r="E542" i="3"/>
  <c r="E107" i="3"/>
  <c r="E45" i="3"/>
  <c r="E191" i="3"/>
  <c r="E423" i="3"/>
  <c r="E385" i="3"/>
  <c r="X6" i="3"/>
  <c r="E343" i="3"/>
  <c r="E526" i="3"/>
  <c r="E322" i="3"/>
  <c r="E539" i="3"/>
  <c r="E461" i="3"/>
  <c r="E165" i="3"/>
  <c r="E533" i="3"/>
  <c r="E561" i="3"/>
  <c r="E439" i="3"/>
  <c r="E231" i="3"/>
  <c r="E185" i="3"/>
  <c r="E161" i="3"/>
  <c r="E223" i="3"/>
  <c r="E173" i="3"/>
  <c r="E576" i="3"/>
  <c r="AG6" i="3"/>
  <c r="E448" i="3"/>
  <c r="P6" i="3"/>
  <c r="E443" i="3"/>
  <c r="E558" i="3"/>
  <c r="E581" i="3"/>
  <c r="E444" i="3"/>
  <c r="E404" i="3"/>
  <c r="E88" i="3"/>
  <c r="E121" i="3"/>
  <c r="E166" i="3"/>
  <c r="E295" i="3"/>
  <c r="E316" i="3"/>
  <c r="E334" i="3"/>
  <c r="E30" i="3"/>
  <c r="E480" i="3"/>
  <c r="E467" i="3"/>
  <c r="E160" i="3"/>
  <c r="E249" i="3"/>
  <c r="E492" i="3"/>
  <c r="E33" i="3"/>
  <c r="E355" i="3"/>
  <c r="E81" i="3"/>
  <c r="E309" i="3"/>
  <c r="E415" i="3"/>
  <c r="E260" i="3"/>
  <c r="E388" i="3"/>
  <c r="E410" i="3"/>
  <c r="E143" i="3"/>
  <c r="E568" i="3"/>
  <c r="E536" i="3"/>
  <c r="E453" i="3"/>
  <c r="E244" i="3"/>
  <c r="E156" i="3"/>
  <c r="E122" i="3"/>
  <c r="E265" i="3"/>
  <c r="E66" i="3"/>
  <c r="E100" i="3"/>
  <c r="E42" i="3"/>
  <c r="E180" i="3"/>
  <c r="E215" i="3"/>
  <c r="M6" i="3"/>
  <c r="E151" i="3"/>
  <c r="E516" i="3"/>
  <c r="E183" i="3"/>
  <c r="E218" i="3"/>
  <c r="E52" i="3"/>
  <c r="E129" i="3"/>
  <c r="E58" i="3"/>
  <c r="E297" i="3"/>
  <c r="E54" i="3"/>
  <c r="E419" i="3"/>
  <c r="E459" i="3"/>
  <c r="E529" i="3"/>
  <c r="E393" i="3"/>
  <c r="E224" i="3"/>
  <c r="E228" i="3"/>
  <c r="E303" i="3"/>
  <c r="AN6" i="3"/>
  <c r="E280" i="3"/>
  <c r="E328" i="3"/>
  <c r="E319" i="3"/>
  <c r="E20" i="3"/>
  <c r="E522" i="3"/>
  <c r="E98" i="3"/>
  <c r="E580" i="3"/>
  <c r="E274" i="3"/>
  <c r="E203" i="3"/>
  <c r="E37" i="3"/>
  <c r="E420" i="3"/>
  <c r="E429" i="3"/>
  <c r="AP6" i="3"/>
  <c r="E451" i="3"/>
  <c r="E481" i="3"/>
  <c r="E502" i="3"/>
  <c r="E525" i="3"/>
  <c r="E177" i="3"/>
  <c r="E101" i="3"/>
  <c r="E251" i="3"/>
  <c r="E339" i="3"/>
  <c r="E412" i="3"/>
  <c r="E375" i="3"/>
  <c r="E242" i="3"/>
  <c r="E90" i="3"/>
  <c r="E537" i="3"/>
  <c r="E440" i="3"/>
  <c r="E552" i="3"/>
  <c r="E287" i="3"/>
  <c r="E364" i="3"/>
  <c r="E48" i="3"/>
  <c r="E383" i="3"/>
  <c r="E137" i="3"/>
  <c r="E446" i="3"/>
  <c r="E94" i="3"/>
  <c r="E362" i="3"/>
  <c r="E292" i="3"/>
  <c r="E225" i="3"/>
  <c r="E146" i="3"/>
  <c r="E56" i="3"/>
  <c r="E470" i="3"/>
  <c r="E577" i="3"/>
  <c r="I3" i="6"/>
  <c r="E408" i="3"/>
  <c r="E472" i="3"/>
  <c r="R6" i="3"/>
  <c r="E369" i="3"/>
  <c r="E277" i="3"/>
  <c r="E130" i="3"/>
  <c r="E407" i="3"/>
  <c r="E358" i="3"/>
  <c r="E579" i="3"/>
  <c r="E213" i="3"/>
  <c r="E370" i="3"/>
  <c r="E222" i="3"/>
  <c r="AF6" i="3"/>
  <c r="E112" i="3"/>
  <c r="E386" i="3"/>
  <c r="E174" i="3"/>
  <c r="E455" i="3"/>
  <c r="E110" i="3"/>
  <c r="E372" i="3"/>
  <c r="E351" i="3"/>
  <c r="E240" i="3"/>
  <c r="E178" i="3"/>
  <c r="E72" i="3"/>
  <c r="E520" i="3"/>
  <c r="E498" i="3"/>
  <c r="E562" i="3"/>
  <c r="E416" i="3"/>
  <c r="E486" i="3"/>
  <c r="E573" i="3"/>
  <c r="E312" i="3"/>
  <c r="E271" i="3"/>
  <c r="E188" i="3"/>
  <c r="E382" i="3"/>
  <c r="E518" i="3"/>
  <c r="E336" i="3"/>
  <c r="E305" i="3"/>
  <c r="E125" i="3"/>
  <c r="E545" i="3"/>
  <c r="E128" i="3"/>
  <c r="S6" i="3"/>
  <c r="E338" i="3"/>
  <c r="E61" i="3"/>
  <c r="E238" i="3"/>
  <c r="E585" i="3"/>
  <c r="E478" i="3"/>
  <c r="E477" i="3"/>
  <c r="AS6" i="3"/>
  <c r="E447" i="3"/>
  <c r="E162" i="3"/>
  <c r="E210" i="3"/>
  <c r="E384" i="3"/>
  <c r="E441" i="3"/>
  <c r="E142" i="3"/>
  <c r="E23" i="3"/>
  <c r="E381" i="3"/>
  <c r="E513" i="3"/>
  <c r="E563" i="3"/>
  <c r="O6" i="3"/>
  <c r="E97" i="3"/>
  <c r="AK6" i="3"/>
  <c r="E262" i="3"/>
  <c r="E236" i="3"/>
  <c r="E325" i="3"/>
  <c r="E389" i="3"/>
  <c r="E570" i="3"/>
  <c r="E239" i="3"/>
  <c r="E80" i="3"/>
  <c r="E47" i="3"/>
  <c r="E208" i="3"/>
  <c r="E438" i="3"/>
  <c r="E313" i="3"/>
  <c r="E99" i="3"/>
  <c r="E495" i="3"/>
  <c r="E426" i="3"/>
  <c r="Y6" i="3"/>
  <c r="E15" i="3"/>
  <c r="E241" i="3"/>
  <c r="E104" i="3"/>
  <c r="E517" i="3"/>
  <c r="E424" i="3"/>
  <c r="E330" i="3"/>
  <c r="E308" i="3"/>
  <c r="E275" i="3"/>
  <c r="E357" i="3"/>
  <c r="E475" i="3"/>
  <c r="E398" i="3"/>
  <c r="E176" i="3"/>
  <c r="E86" i="3"/>
  <c r="E138" i="3"/>
  <c r="E74" i="3"/>
  <c r="E243" i="3"/>
  <c r="E95" i="3"/>
  <c r="E468" i="3"/>
  <c r="E360" i="3"/>
  <c r="E442" i="3"/>
  <c r="E133" i="3"/>
  <c r="E201" i="3"/>
  <c r="E366" i="3"/>
  <c r="E282" i="3"/>
  <c r="E329" i="3"/>
  <c r="E510" i="3"/>
  <c r="E205" i="3"/>
  <c r="E390" i="3"/>
  <c r="E523" i="3"/>
  <c r="E418" i="3"/>
  <c r="E321" i="3"/>
  <c r="E169" i="3"/>
  <c r="E290" i="3"/>
  <c r="E85" i="3"/>
  <c r="E116" i="3"/>
  <c r="E379" i="3"/>
  <c r="U6" i="3"/>
  <c r="E411" i="3"/>
  <c r="E548" i="3"/>
  <c r="E432" i="3"/>
  <c r="E367" i="3"/>
  <c r="E547" i="3"/>
  <c r="E403" i="3"/>
  <c r="E546" i="3"/>
  <c r="E71" i="3"/>
  <c r="E92" i="3"/>
  <c r="E126" i="3"/>
  <c r="E272" i="3"/>
  <c r="E291" i="3"/>
  <c r="E317" i="3"/>
  <c r="AM6" i="3"/>
  <c r="E29" i="3"/>
  <c r="E425" i="3"/>
  <c r="E103" i="3"/>
  <c r="E267" i="3"/>
  <c r="E310" i="3"/>
  <c r="E67" i="3"/>
  <c r="E233" i="3"/>
  <c r="E63" i="3"/>
  <c r="E283" i="3"/>
  <c r="E278" i="3"/>
  <c r="E172" i="3"/>
  <c r="E535" i="3"/>
  <c r="E574" i="3"/>
  <c r="E285" i="3"/>
  <c r="E314" i="3"/>
  <c r="E16" i="3"/>
  <c r="E434" i="3"/>
  <c r="E296" i="3"/>
  <c r="E136" i="3"/>
  <c r="E269" i="3"/>
  <c r="E82" i="3"/>
  <c r="E49" i="3"/>
  <c r="E163" i="3"/>
  <c r="E32" i="3"/>
  <c r="E281" i="3"/>
  <c r="E189" i="3"/>
  <c r="AB6" i="3"/>
  <c r="E311" i="3"/>
  <c r="E569" i="3"/>
  <c r="E361" i="3"/>
  <c r="E373" i="3"/>
  <c r="E87" i="3"/>
  <c r="E194" i="3"/>
  <c r="E43" i="3"/>
  <c r="E348" i="3"/>
  <c r="E131" i="3"/>
  <c r="E471" i="3"/>
  <c r="E376" i="3"/>
  <c r="E464" i="3"/>
  <c r="AD6" i="3"/>
  <c r="E145" i="3"/>
  <c r="E157" i="3"/>
  <c r="E301" i="3"/>
  <c r="E586" i="3"/>
  <c r="E124" i="3"/>
  <c r="E347" i="3"/>
  <c r="E501" i="3"/>
  <c r="E179" i="3"/>
  <c r="E36" i="3"/>
  <c r="E190" i="3"/>
  <c r="E76" i="3"/>
  <c r="E332" i="3"/>
  <c r="E139" i="3"/>
  <c r="E73" i="3"/>
  <c r="E479" i="3"/>
  <c r="E452" i="3"/>
  <c r="AE6" i="3"/>
  <c r="E255" i="3"/>
  <c r="E512" i="3"/>
  <c r="E437" i="3"/>
  <c r="E499" i="3"/>
  <c r="E164" i="3"/>
  <c r="E120" i="3"/>
  <c r="E50" i="3"/>
  <c r="E584" i="3"/>
  <c r="E38" i="3"/>
  <c r="L6" i="3"/>
  <c r="E257" i="3"/>
  <c r="E108" i="3"/>
  <c r="E460" i="3"/>
  <c r="E288" i="3"/>
  <c r="E427" i="3"/>
  <c r="E323" i="3"/>
  <c r="E102" i="3"/>
  <c r="E123" i="3"/>
  <c r="E354" i="3"/>
  <c r="E220" i="3"/>
  <c r="E79" i="3"/>
  <c r="E59" i="3"/>
  <c r="AL6" i="3"/>
  <c r="E315" i="3"/>
  <c r="E258" i="3"/>
  <c r="E198" i="3"/>
  <c r="E106" i="3"/>
  <c r="E417" i="3"/>
  <c r="E494" i="3"/>
  <c r="E587" i="3"/>
  <c r="E449" i="3"/>
  <c r="E469" i="3"/>
  <c r="E560" i="3"/>
  <c r="E575" i="3"/>
  <c r="E204" i="3"/>
  <c r="E254" i="3"/>
  <c r="E320" i="3"/>
  <c r="E559" i="3"/>
  <c r="E431" i="3"/>
  <c r="E17" i="3"/>
  <c r="E237" i="3"/>
  <c r="E365" i="3"/>
  <c r="E51" i="3"/>
  <c r="E206" i="3"/>
  <c r="E392" i="3"/>
  <c r="E248" i="3"/>
  <c r="E96" i="3"/>
  <c r="E75" i="3"/>
  <c r="E504" i="3"/>
  <c r="E346" i="3"/>
  <c r="E279" i="3"/>
  <c r="E187" i="3"/>
  <c r="E25" i="3"/>
  <c r="E433" i="3"/>
  <c r="E413" i="3"/>
  <c r="AH6" i="3"/>
  <c r="E457" i="3"/>
  <c r="E487" i="3"/>
  <c r="E543" i="3"/>
  <c r="E519" i="3"/>
  <c r="E167" i="3"/>
  <c r="E181" i="3"/>
  <c r="E263" i="3"/>
  <c r="AI6" i="3"/>
  <c r="E246" i="3"/>
  <c r="E508" i="3"/>
  <c r="D101" i="43"/>
  <c r="D102" i="43"/>
  <c r="K101" i="43"/>
  <c r="K102" i="43"/>
  <c r="M101" i="43"/>
  <c r="M109" i="43"/>
  <c r="N104" i="46"/>
  <c r="AG11" i="43"/>
  <c r="AG13" i="43"/>
  <c r="AD11" i="43"/>
  <c r="AD13" i="43"/>
  <c r="Z11" i="43"/>
  <c r="Z13" i="43"/>
  <c r="B113" i="43"/>
  <c r="D117" i="43"/>
  <c r="E117" i="43"/>
  <c r="F117" i="43"/>
  <c r="G117" i="43"/>
  <c r="H117" i="43"/>
  <c r="G30" i="6"/>
  <c r="G31" i="6"/>
  <c r="E28" i="6"/>
  <c r="D9" i="11"/>
  <c r="C9" i="11"/>
  <c r="AI11" i="43"/>
  <c r="AI13" i="43"/>
  <c r="AC11" i="43"/>
  <c r="AC13" i="43"/>
  <c r="N101" i="43"/>
  <c r="N105" i="43"/>
  <c r="G22" i="43"/>
  <c r="F101" i="43"/>
  <c r="F107" i="43"/>
  <c r="H101" i="43"/>
  <c r="H107" i="43"/>
  <c r="E101" i="43"/>
  <c r="E109" i="43"/>
  <c r="AA11" i="43"/>
  <c r="AA13" i="43"/>
  <c r="E22" i="43"/>
  <c r="AE11" i="43"/>
  <c r="AE13" i="43"/>
  <c r="Y11" i="43"/>
  <c r="Y13" i="43"/>
  <c r="I101" i="43"/>
  <c r="I107" i="43"/>
  <c r="C101" i="43"/>
  <c r="C109" i="43"/>
  <c r="AH11" i="43"/>
  <c r="AH13" i="43"/>
  <c r="J101" i="43"/>
  <c r="J102" i="43"/>
  <c r="G101" i="43"/>
  <c r="G102" i="43"/>
  <c r="J22" i="43"/>
  <c r="AF11" i="43"/>
  <c r="AF13" i="43"/>
  <c r="F22" i="43"/>
  <c r="AJ11" i="43"/>
  <c r="AJ13" i="43"/>
  <c r="H22" i="43"/>
  <c r="Z7" i="43"/>
  <c r="L101" i="43"/>
  <c r="L106" i="43"/>
  <c r="AZ13" i="3"/>
  <c r="AZ5" i="3"/>
  <c r="E3" i="6"/>
  <c r="D19" i="11"/>
  <c r="C19" i="11"/>
  <c r="C20" i="11"/>
  <c r="H10" i="39"/>
  <c r="U10" i="39"/>
  <c r="F10" i="39"/>
  <c r="AA10" i="39"/>
  <c r="H10" i="40"/>
  <c r="U10" i="40"/>
  <c r="J10" i="40"/>
  <c r="W10" i="40"/>
  <c r="F27" i="11"/>
  <c r="J10" i="39"/>
  <c r="W10" i="39"/>
  <c r="F27" i="69"/>
  <c r="C47" i="69"/>
  <c r="D45" i="69"/>
  <c r="P6" i="1"/>
  <c r="O7" i="1"/>
  <c r="P7" i="1"/>
  <c r="S10" i="40"/>
  <c r="B38" i="72"/>
  <c r="D20" i="53"/>
  <c r="B40" i="72"/>
  <c r="K4" i="4"/>
  <c r="B46" i="48"/>
  <c r="B4" i="72"/>
  <c r="B4" i="62"/>
  <c r="B71" i="72"/>
  <c r="U7" i="21"/>
  <c r="AB7" i="21"/>
  <c r="S7" i="21"/>
  <c r="AA7" i="21"/>
  <c r="D70" i="39"/>
  <c r="E68" i="39"/>
  <c r="F7" i="37"/>
  <c r="S7" i="33"/>
  <c r="AA7" i="33"/>
  <c r="R48" i="33"/>
  <c r="D48" i="35"/>
  <c r="E48" i="35"/>
  <c r="F48" i="35"/>
  <c r="G48" i="35"/>
  <c r="H48" i="35"/>
  <c r="I48" i="35"/>
  <c r="J48" i="35"/>
  <c r="K48" i="35"/>
  <c r="L48" i="35"/>
  <c r="M48" i="35"/>
  <c r="N48" i="35"/>
  <c r="O48" i="35"/>
  <c r="F7" i="34"/>
  <c r="H7" i="33"/>
  <c r="J7" i="37"/>
  <c r="AC7" i="34"/>
  <c r="V49" i="34"/>
  <c r="I49" i="34"/>
  <c r="W7" i="34"/>
  <c r="W7" i="33"/>
  <c r="AC7" i="33"/>
  <c r="V48" i="33"/>
  <c r="I48" i="33"/>
  <c r="D46" i="36"/>
  <c r="E46" i="36"/>
  <c r="F46" i="36"/>
  <c r="G46" i="36"/>
  <c r="H46" i="36"/>
  <c r="I46" i="36"/>
  <c r="J46" i="36"/>
  <c r="K46" i="36"/>
  <c r="L46" i="36"/>
  <c r="M46" i="36"/>
  <c r="N46" i="36"/>
  <c r="O46" i="36"/>
  <c r="AC7" i="21"/>
  <c r="W7" i="21"/>
  <c r="E65" i="40"/>
  <c r="F63" i="40"/>
  <c r="H7" i="34"/>
  <c r="H7" i="37"/>
  <c r="P23" i="43"/>
  <c r="B71" i="39"/>
  <c r="P25" i="43"/>
  <c r="C49" i="67"/>
  <c r="Q73" i="67"/>
  <c r="Q60" i="67"/>
  <c r="P28" i="43"/>
  <c r="M28" i="43"/>
  <c r="N28" i="43"/>
  <c r="O28" i="43"/>
  <c r="Q61" i="15"/>
  <c r="Q61" i="67"/>
  <c r="Q74" i="67"/>
  <c r="C16" i="67"/>
  <c r="C14" i="67"/>
  <c r="C17" i="67"/>
  <c r="F7" i="36"/>
  <c r="Q73" i="15"/>
  <c r="C49" i="15"/>
  <c r="Q61" i="79"/>
  <c r="C18" i="67"/>
  <c r="C15" i="67"/>
  <c r="D38" i="71"/>
  <c r="T38" i="71"/>
  <c r="D42" i="71"/>
  <c r="T42" i="71"/>
  <c r="D46" i="71"/>
  <c r="T46" i="71"/>
  <c r="J7" i="36"/>
  <c r="AC7" i="36"/>
  <c r="V36" i="36"/>
  <c r="I36" i="36"/>
  <c r="H7" i="36"/>
  <c r="F7" i="35"/>
  <c r="AA7" i="35"/>
  <c r="R38" i="35"/>
  <c r="Q52" i="71"/>
  <c r="Q51" i="71"/>
  <c r="D26" i="71"/>
  <c r="T26" i="71"/>
  <c r="D30" i="71"/>
  <c r="T30" i="71"/>
  <c r="D8" i="71"/>
  <c r="C7" i="71"/>
  <c r="Q73" i="79"/>
  <c r="Q60" i="79"/>
  <c r="AC17" i="21"/>
  <c r="W17" i="21"/>
  <c r="U33" i="21"/>
  <c r="AB33" i="21"/>
  <c r="T48" i="21"/>
  <c r="G48" i="21"/>
  <c r="G52" i="21"/>
  <c r="H52" i="21"/>
  <c r="AA33" i="21"/>
  <c r="R48" i="21"/>
  <c r="S33" i="21"/>
  <c r="W33" i="21"/>
  <c r="AC33" i="21"/>
  <c r="V48" i="21"/>
  <c r="I48" i="21"/>
  <c r="I52" i="21"/>
  <c r="J52" i="21"/>
  <c r="W37" i="21"/>
  <c r="AC37" i="21"/>
  <c r="S37" i="21"/>
  <c r="AA37" i="21"/>
  <c r="AA17" i="39"/>
  <c r="S17" i="39"/>
  <c r="G91" i="39"/>
  <c r="J17" i="39"/>
  <c r="M11" i="67"/>
  <c r="J10" i="67"/>
  <c r="J5" i="67"/>
  <c r="J18" i="67"/>
  <c r="E63" i="39"/>
  <c r="E56" i="40"/>
  <c r="L27" i="6"/>
  <c r="E60" i="40"/>
  <c r="K103" i="43"/>
  <c r="E51" i="40"/>
  <c r="K106" i="43"/>
  <c r="F27" i="6"/>
  <c r="F31" i="6"/>
  <c r="D107" i="43"/>
  <c r="AC6" i="3"/>
  <c r="E57" i="40"/>
  <c r="D109" i="43"/>
  <c r="E16" i="6"/>
  <c r="D9" i="69"/>
  <c r="C9" i="69"/>
  <c r="D103" i="43"/>
  <c r="C9" i="68"/>
  <c r="E64" i="39"/>
  <c r="E66" i="39"/>
  <c r="E59" i="40"/>
  <c r="H6" i="3"/>
  <c r="AB10" i="40"/>
  <c r="G118" i="43"/>
  <c r="H118" i="43"/>
  <c r="D106" i="43"/>
  <c r="D105" i="43"/>
  <c r="E104" i="43"/>
  <c r="D104" i="43"/>
  <c r="E102" i="43"/>
  <c r="E106" i="43"/>
  <c r="L102" i="43"/>
  <c r="E107" i="43"/>
  <c r="L109" i="43"/>
  <c r="E105" i="43"/>
  <c r="I105" i="43"/>
  <c r="E103" i="43"/>
  <c r="D115" i="43"/>
  <c r="E115" i="43"/>
  <c r="F115" i="43"/>
  <c r="G115" i="43"/>
  <c r="H115" i="43"/>
  <c r="L104" i="43"/>
  <c r="L107" i="43"/>
  <c r="I115" i="43"/>
  <c r="J115" i="43"/>
  <c r="K115" i="43"/>
  <c r="L115" i="43"/>
  <c r="M115" i="43"/>
  <c r="L105" i="43"/>
  <c r="J109" i="43"/>
  <c r="N107" i="43"/>
  <c r="H105" i="43"/>
  <c r="B116" i="43"/>
  <c r="C116" i="43"/>
  <c r="I118" i="43"/>
  <c r="J118" i="43"/>
  <c r="K118" i="43"/>
  <c r="L118" i="43"/>
  <c r="M118" i="43"/>
  <c r="L103" i="43"/>
  <c r="H109" i="43"/>
  <c r="K107" i="43"/>
  <c r="K104" i="43"/>
  <c r="F102" i="43"/>
  <c r="K109" i="43"/>
  <c r="K105" i="43"/>
  <c r="M102" i="43"/>
  <c r="G105" i="43"/>
  <c r="M105" i="43"/>
  <c r="D118" i="43"/>
  <c r="E118" i="43"/>
  <c r="F118" i="43"/>
  <c r="M107" i="43"/>
  <c r="I116" i="43"/>
  <c r="J116" i="43"/>
  <c r="K116" i="43"/>
  <c r="L116" i="43"/>
  <c r="M116" i="43"/>
  <c r="B118" i="43"/>
  <c r="C118" i="43"/>
  <c r="I117" i="43"/>
  <c r="J117" i="43"/>
  <c r="K117" i="43"/>
  <c r="L117" i="43"/>
  <c r="M117" i="43"/>
  <c r="B115" i="43"/>
  <c r="M104" i="43"/>
  <c r="M103" i="43"/>
  <c r="C106" i="43"/>
  <c r="M106" i="43"/>
  <c r="D116" i="43"/>
  <c r="E116" i="43"/>
  <c r="F116" i="43"/>
  <c r="G116" i="43"/>
  <c r="H116" i="43"/>
  <c r="B117" i="43"/>
  <c r="C117" i="43"/>
  <c r="G104" i="43"/>
  <c r="I106" i="43"/>
  <c r="F105" i="43"/>
  <c r="K14" i="1"/>
  <c r="E30" i="6"/>
  <c r="J107" i="43"/>
  <c r="J105" i="43"/>
  <c r="F106" i="43"/>
  <c r="J103" i="43"/>
  <c r="J104" i="43"/>
  <c r="F109" i="43"/>
  <c r="F103" i="43"/>
  <c r="J106" i="43"/>
  <c r="C104" i="43"/>
  <c r="F104" i="43"/>
  <c r="D37" i="11"/>
  <c r="AY6" i="3"/>
  <c r="AY249" i="3"/>
  <c r="C103" i="43"/>
  <c r="C105" i="43"/>
  <c r="D3" i="33"/>
  <c r="C102" i="43"/>
  <c r="C107" i="43"/>
  <c r="C17" i="4"/>
  <c r="B4" i="52"/>
  <c r="B43" i="72"/>
  <c r="L18" i="9"/>
  <c r="E6" i="6"/>
  <c r="G107" i="43"/>
  <c r="G103" i="43"/>
  <c r="I104" i="43"/>
  <c r="N109" i="43"/>
  <c r="N102" i="43"/>
  <c r="M18" i="9"/>
  <c r="B118" i="9"/>
  <c r="B14" i="74"/>
  <c r="B1" i="74"/>
  <c r="C8" i="74"/>
  <c r="D3" i="21"/>
  <c r="D22" i="43"/>
  <c r="AC10" i="39"/>
  <c r="G106" i="43"/>
  <c r="I102" i="43"/>
  <c r="I109" i="43"/>
  <c r="N103" i="43"/>
  <c r="N106" i="43"/>
  <c r="H104" i="43"/>
  <c r="H103" i="43"/>
  <c r="H106" i="43"/>
  <c r="D3" i="34"/>
  <c r="D3" i="37"/>
  <c r="G109" i="43"/>
  <c r="I103" i="43"/>
  <c r="N104" i="43"/>
  <c r="H102" i="43"/>
  <c r="S10" i="39"/>
  <c r="C28" i="11"/>
  <c r="C27" i="11"/>
  <c r="AB10" i="39"/>
  <c r="C29" i="11"/>
  <c r="D27" i="11"/>
  <c r="C47" i="11"/>
  <c r="D45" i="11"/>
  <c r="AC10" i="40"/>
  <c r="C29" i="69"/>
  <c r="D27" i="69"/>
  <c r="J24" i="15"/>
  <c r="F11" i="67"/>
  <c r="C10" i="67"/>
  <c r="C5" i="67"/>
  <c r="W7" i="36"/>
  <c r="I52" i="33"/>
  <c r="J52" i="33"/>
  <c r="S7" i="35"/>
  <c r="AB7" i="34"/>
  <c r="T49" i="34"/>
  <c r="G49" i="34"/>
  <c r="U7" i="34"/>
  <c r="I53" i="34"/>
  <c r="J53" i="34"/>
  <c r="E48" i="33"/>
  <c r="R49" i="33"/>
  <c r="F65" i="40"/>
  <c r="G63" i="40"/>
  <c r="AC7" i="37"/>
  <c r="V42" i="37"/>
  <c r="I42" i="37"/>
  <c r="W7" i="37"/>
  <c r="U7" i="37"/>
  <c r="AB7" i="37"/>
  <c r="T42" i="37"/>
  <c r="G42" i="37"/>
  <c r="AB7" i="36"/>
  <c r="T36" i="36"/>
  <c r="G36" i="36"/>
  <c r="U7" i="36"/>
  <c r="S7" i="34"/>
  <c r="AA7" i="34"/>
  <c r="R49" i="34"/>
  <c r="E70" i="39"/>
  <c r="F68" i="39"/>
  <c r="H7" i="35"/>
  <c r="S7" i="36"/>
  <c r="AA7" i="36"/>
  <c r="R36" i="36"/>
  <c r="AB7" i="33"/>
  <c r="T48" i="33"/>
  <c r="G48" i="33"/>
  <c r="U7" i="33"/>
  <c r="S7" i="37"/>
  <c r="AA7" i="37"/>
  <c r="R42" i="37"/>
  <c r="J7" i="35"/>
  <c r="F24" i="67"/>
  <c r="C24" i="67"/>
  <c r="F22" i="11"/>
  <c r="F22" i="69"/>
  <c r="C19" i="67"/>
  <c r="C20" i="67"/>
  <c r="C26" i="67"/>
  <c r="C6" i="71"/>
  <c r="D7" i="71"/>
  <c r="G53" i="21"/>
  <c r="H53" i="21"/>
  <c r="R49" i="21"/>
  <c r="E48" i="21"/>
  <c r="E53" i="21"/>
  <c r="F53" i="21"/>
  <c r="F69" i="15"/>
  <c r="F69" i="79"/>
  <c r="AC17" i="39"/>
  <c r="W17" i="39"/>
  <c r="J24" i="67"/>
  <c r="J26" i="67"/>
  <c r="J29" i="67"/>
  <c r="C53" i="79"/>
  <c r="C48" i="79"/>
  <c r="J24" i="79"/>
  <c r="J18" i="79"/>
  <c r="AY560" i="3"/>
  <c r="AY488" i="3"/>
  <c r="E6" i="3"/>
  <c r="AY129" i="3"/>
  <c r="AY536" i="3"/>
  <c r="E27" i="6"/>
  <c r="K19" i="6"/>
  <c r="M19" i="6"/>
  <c r="AY13" i="3"/>
  <c r="AY42" i="3"/>
  <c r="AY239" i="3"/>
  <c r="AY298" i="3"/>
  <c r="AY88" i="3"/>
  <c r="AY191" i="3"/>
  <c r="AY36" i="3"/>
  <c r="AY190" i="3"/>
  <c r="AY551" i="3"/>
  <c r="AY177" i="3"/>
  <c r="AY53" i="3"/>
  <c r="AY281" i="3"/>
  <c r="AY462" i="3"/>
  <c r="AY446" i="3"/>
  <c r="AY418" i="3"/>
  <c r="AY544" i="3"/>
  <c r="AY476" i="3"/>
  <c r="AY22" i="3"/>
  <c r="AY479" i="3"/>
  <c r="AY549" i="3"/>
  <c r="AY43" i="3"/>
  <c r="AY557" i="3"/>
  <c r="AY59" i="3"/>
  <c r="AY554" i="3"/>
  <c r="AY123" i="3"/>
  <c r="AY412" i="3"/>
  <c r="AY354" i="3"/>
  <c r="BC6" i="3"/>
  <c r="AY470" i="3"/>
  <c r="AY307" i="3"/>
  <c r="AY331" i="3"/>
  <c r="AY468" i="3"/>
  <c r="AY259" i="3"/>
  <c r="AY524" i="3"/>
  <c r="AY54" i="3"/>
  <c r="AY78" i="3"/>
  <c r="AY435" i="3"/>
  <c r="AY84" i="3"/>
  <c r="AY561" i="3"/>
  <c r="AY90" i="3"/>
  <c r="AY224" i="3"/>
  <c r="AY372" i="3"/>
  <c r="AY194" i="3"/>
  <c r="AY343" i="3"/>
  <c r="AY276" i="3"/>
  <c r="AY250" i="3"/>
  <c r="AY362" i="3"/>
  <c r="AY491" i="3"/>
  <c r="AY213" i="3"/>
  <c r="AY330" i="3"/>
  <c r="AY278" i="3"/>
  <c r="AY535" i="3"/>
  <c r="AY438" i="3"/>
  <c r="AY25" i="3"/>
  <c r="AY172" i="3"/>
  <c r="AY319" i="3"/>
  <c r="AY328" i="3"/>
  <c r="AY349" i="3"/>
  <c r="AY455" i="3"/>
  <c r="AY366" i="3"/>
  <c r="AY534" i="3"/>
  <c r="AY432" i="3"/>
  <c r="AY338" i="3"/>
  <c r="AY510" i="3"/>
  <c r="BT6" i="3"/>
  <c r="AY93" i="3"/>
  <c r="AY295" i="3"/>
  <c r="AY258" i="3"/>
  <c r="AY506" i="3"/>
  <c r="AY186" i="3"/>
  <c r="AY71" i="3"/>
  <c r="AY100" i="3"/>
  <c r="AY94" i="3"/>
  <c r="AY109" i="3"/>
  <c r="AY138" i="3"/>
  <c r="AY380" i="3"/>
  <c r="AY211" i="3"/>
  <c r="AY451" i="3"/>
  <c r="AY478" i="3"/>
  <c r="D3" i="6"/>
  <c r="AY559" i="3"/>
  <c r="AY392" i="3"/>
  <c r="AY303" i="3"/>
  <c r="AY571" i="3"/>
  <c r="AY15" i="3"/>
  <c r="AY429" i="3"/>
  <c r="AY543" i="3"/>
  <c r="AY17" i="3"/>
  <c r="AY41" i="3"/>
  <c r="AY587" i="3"/>
  <c r="AY563" i="3"/>
  <c r="AY469" i="3"/>
  <c r="AY283" i="3"/>
  <c r="AY436" i="3"/>
  <c r="AY467" i="3"/>
  <c r="AY52" i="3"/>
  <c r="AY19" i="3"/>
  <c r="AY371" i="3"/>
  <c r="AY313" i="3"/>
  <c r="K20" i="6"/>
  <c r="AY335" i="3"/>
  <c r="AY280" i="3"/>
  <c r="AY168" i="3"/>
  <c r="AY562" i="3"/>
  <c r="AY105" i="3"/>
  <c r="AY337" i="3"/>
  <c r="AY493" i="3"/>
  <c r="AY547" i="3"/>
  <c r="AY400" i="3"/>
  <c r="AY55" i="3"/>
  <c r="AY58" i="3"/>
  <c r="AY573" i="3"/>
  <c r="AY389" i="3"/>
  <c r="AY223" i="3"/>
  <c r="AY424" i="3"/>
  <c r="AY306" i="3"/>
  <c r="AY181" i="3"/>
  <c r="AY112" i="3"/>
  <c r="AY575" i="3"/>
  <c r="AY421" i="3"/>
  <c r="AY31" i="3"/>
  <c r="AY279" i="3"/>
  <c r="AY542" i="3"/>
  <c r="AY111" i="3"/>
  <c r="AY310" i="3"/>
  <c r="AY154" i="3"/>
  <c r="AY56" i="3"/>
  <c r="AY398" i="3"/>
  <c r="AY67" i="3"/>
  <c r="AY228" i="3"/>
  <c r="AY117" i="3"/>
  <c r="AY175" i="3"/>
  <c r="AY417" i="3"/>
  <c r="AY161" i="3"/>
  <c r="AY312" i="3"/>
  <c r="AY38" i="3"/>
  <c r="AY237" i="3"/>
  <c r="AY541" i="3"/>
  <c r="AY368" i="3"/>
  <c r="AY403" i="3"/>
  <c r="AY361" i="3"/>
  <c r="BP6" i="3"/>
  <c r="AY500" i="3"/>
  <c r="AY443" i="3"/>
  <c r="AY558" i="3"/>
  <c r="AY292" i="3"/>
  <c r="AY513" i="3"/>
  <c r="AY227" i="3"/>
  <c r="AY454" i="3"/>
  <c r="AY266" i="3"/>
  <c r="AY509" i="3"/>
  <c r="AY466" i="3"/>
  <c r="AY323" i="3"/>
  <c r="AY24" i="3"/>
  <c r="AY352" i="3"/>
  <c r="AY272" i="3"/>
  <c r="AY124" i="3"/>
  <c r="AY26" i="3"/>
  <c r="AY397" i="3"/>
  <c r="AY582" i="3"/>
  <c r="AY564" i="3"/>
  <c r="AY263" i="3"/>
  <c r="AY285" i="3"/>
  <c r="AY358" i="3"/>
  <c r="AY325" i="3"/>
  <c r="AY505" i="3"/>
  <c r="AY257" i="3"/>
  <c r="AY82" i="3"/>
  <c r="AY173" i="3"/>
  <c r="AY410" i="3"/>
  <c r="AY294" i="3"/>
  <c r="AY463" i="3"/>
  <c r="AY202" i="3"/>
  <c r="AY379" i="3"/>
  <c r="AY288" i="3"/>
  <c r="AY471" i="3"/>
  <c r="AY225" i="3"/>
  <c r="BI6" i="3"/>
  <c r="AY414" i="3"/>
  <c r="D15" i="6"/>
  <c r="AY473" i="3"/>
  <c r="AY533" i="3"/>
  <c r="AY247" i="3"/>
  <c r="AY242" i="3"/>
  <c r="AY495" i="3"/>
  <c r="AY75" i="3"/>
  <c r="BK6" i="3"/>
  <c r="AY516" i="3"/>
  <c r="AY50" i="3"/>
  <c r="AY193" i="3"/>
  <c r="AY581" i="3"/>
  <c r="AY565" i="3"/>
  <c r="AY511" i="3"/>
  <c r="AY526" i="3"/>
  <c r="AY201" i="3"/>
  <c r="AY121" i="3"/>
  <c r="AY556" i="3"/>
  <c r="AY445" i="3"/>
  <c r="AY151" i="3"/>
  <c r="AY200" i="3"/>
  <c r="AY375" i="3"/>
  <c r="AY448" i="3"/>
  <c r="AY486" i="3"/>
  <c r="AY60" i="3"/>
  <c r="AY29" i="3"/>
  <c r="AY518" i="3"/>
  <c r="AY487" i="3"/>
  <c r="AY35" i="3"/>
  <c r="AY86" i="3"/>
  <c r="AY504" i="3"/>
  <c r="AY309" i="3"/>
  <c r="AY235" i="3"/>
  <c r="AY47" i="3"/>
  <c r="AY195" i="3"/>
  <c r="AY106" i="3"/>
  <c r="AY580" i="3"/>
  <c r="BL6" i="3"/>
  <c r="AY95" i="3"/>
  <c r="AY217" i="3"/>
  <c r="AY33" i="3"/>
  <c r="BH6" i="3"/>
  <c r="AY472" i="3"/>
  <c r="AY48" i="3"/>
  <c r="AY409" i="3"/>
  <c r="AY198" i="3"/>
  <c r="AY347" i="3"/>
  <c r="AY244" i="3"/>
  <c r="BJ6" i="3"/>
  <c r="AY234" i="3"/>
  <c r="AY437" i="3"/>
  <c r="AY163" i="3"/>
  <c r="AY433" i="3"/>
  <c r="AY238" i="3"/>
  <c r="AY464" i="3"/>
  <c r="AY267" i="3"/>
  <c r="AY515" i="3"/>
  <c r="AY485" i="3"/>
  <c r="AY351" i="3"/>
  <c r="AY232" i="3"/>
  <c r="AY132" i="3"/>
  <c r="AY342" i="3"/>
  <c r="AY286" i="3"/>
  <c r="AY340" i="3"/>
  <c r="AY169" i="3"/>
  <c r="AY499" i="3"/>
  <c r="AY376" i="3"/>
  <c r="AY256" i="3"/>
  <c r="AY365" i="3"/>
  <c r="AY520" i="3"/>
  <c r="AY450" i="3"/>
  <c r="AY383" i="3"/>
  <c r="AY83" i="3"/>
  <c r="AY270" i="3"/>
  <c r="AY344" i="3"/>
  <c r="AY144" i="3"/>
  <c r="AY260" i="3"/>
  <c r="AY44" i="3"/>
  <c r="AY360" i="3"/>
  <c r="AY475" i="3"/>
  <c r="AY65" i="3"/>
  <c r="AY444" i="3"/>
  <c r="AY28" i="3"/>
  <c r="AY120" i="3"/>
  <c r="AY116" i="3"/>
  <c r="AY373" i="3"/>
  <c r="AY287" i="3"/>
  <c r="AY346" i="3"/>
  <c r="AY74" i="3"/>
  <c r="AY447" i="3"/>
  <c r="AY231" i="3"/>
  <c r="AY483" i="3"/>
  <c r="AY113" i="3"/>
  <c r="AY522" i="3"/>
  <c r="AY315" i="3"/>
  <c r="AY386" i="3"/>
  <c r="AY135" i="3"/>
  <c r="AY160" i="3"/>
  <c r="AY355" i="3"/>
  <c r="AY299" i="3"/>
  <c r="AY341" i="3"/>
  <c r="AY205" i="3"/>
  <c r="AY579" i="3"/>
  <c r="AY221" i="3"/>
  <c r="AY273" i="3"/>
  <c r="AY214" i="3"/>
  <c r="AY122" i="3"/>
  <c r="AY102" i="3"/>
  <c r="AY514" i="3"/>
  <c r="AY512" i="3"/>
  <c r="AY550" i="3"/>
  <c r="AY393" i="3"/>
  <c r="AY548" i="3"/>
  <c r="AY209" i="3"/>
  <c r="AY34" i="3"/>
  <c r="AY61" i="3"/>
  <c r="AY348" i="3"/>
  <c r="AY69" i="3"/>
  <c r="AY318" i="3"/>
  <c r="AY49" i="3"/>
  <c r="AY171" i="3"/>
  <c r="AY291" i="3"/>
  <c r="AY189" i="3"/>
  <c r="AY394" i="3"/>
  <c r="AY578" i="3"/>
  <c r="AY245" i="3"/>
  <c r="AY226" i="3"/>
  <c r="AY96" i="3"/>
  <c r="AY159" i="3"/>
  <c r="AY427" i="3"/>
  <c r="AY336" i="3"/>
  <c r="AY296" i="3"/>
  <c r="AY474" i="3"/>
  <c r="AY77" i="3"/>
  <c r="AY137" i="3"/>
  <c r="AY165" i="3"/>
  <c r="AY411" i="3"/>
  <c r="AY18" i="3"/>
  <c r="AY255" i="3"/>
  <c r="AY274" i="3"/>
  <c r="AY148" i="3"/>
  <c r="BM6" i="3"/>
  <c r="BR6" i="3"/>
  <c r="AY236" i="3"/>
  <c r="AY253" i="3"/>
  <c r="AY420" i="3"/>
  <c r="AY133" i="3"/>
  <c r="AY166" i="3"/>
  <c r="BQ6" i="3"/>
  <c r="AY176" i="3"/>
  <c r="AY311" i="3"/>
  <c r="AY384" i="3"/>
  <c r="AY208" i="3"/>
  <c r="AY539" i="3"/>
  <c r="AY356" i="3"/>
  <c r="AY458" i="3"/>
  <c r="AY241" i="3"/>
  <c r="AY363" i="3"/>
  <c r="AY85" i="3"/>
  <c r="AY104" i="3"/>
  <c r="AY572" i="3"/>
  <c r="AY305" i="3"/>
  <c r="AY79" i="3"/>
  <c r="AY568" i="3"/>
  <c r="AY521" i="3"/>
  <c r="AY184" i="3"/>
  <c r="AY284" i="3"/>
  <c r="BO6" i="3"/>
  <c r="AY357" i="3"/>
  <c r="AY419" i="3"/>
  <c r="AY369" i="3"/>
  <c r="AY531" i="3"/>
  <c r="AY405" i="3"/>
  <c r="AY459" i="3"/>
  <c r="AY130" i="3"/>
  <c r="AY21" i="3"/>
  <c r="AY537" i="3"/>
  <c r="AY528" i="3"/>
  <c r="AY261" i="3"/>
  <c r="AY215" i="3"/>
  <c r="AY99" i="3"/>
  <c r="AY87" i="3"/>
  <c r="AY529" i="3"/>
  <c r="AY92" i="3"/>
  <c r="AY219" i="3"/>
  <c r="AY333" i="3"/>
  <c r="AY494" i="3"/>
  <c r="AY387" i="3"/>
  <c r="AY108" i="3"/>
  <c r="AY461" i="3"/>
  <c r="AY350" i="3"/>
  <c r="AY302" i="3"/>
  <c r="AY523" i="3"/>
  <c r="AY156" i="3"/>
  <c r="AY196" i="3"/>
  <c r="AY390" i="3"/>
  <c r="AY118" i="3"/>
  <c r="AY370" i="3"/>
  <c r="AY32" i="3"/>
  <c r="AY415" i="3"/>
  <c r="AY248" i="3"/>
  <c r="AY293" i="3"/>
  <c r="AY407" i="3"/>
  <c r="AY103" i="3"/>
  <c r="AY199" i="3"/>
  <c r="AY170" i="3"/>
  <c r="AY275" i="3"/>
  <c r="AY577" i="3"/>
  <c r="AY442" i="3"/>
  <c r="AY127" i="3"/>
  <c r="AY179" i="3"/>
  <c r="AY178" i="3"/>
  <c r="AY422" i="3"/>
  <c r="AY321" i="3"/>
  <c r="AY140" i="3"/>
  <c r="AY339" i="3"/>
  <c r="AY569" i="3"/>
  <c r="AY37" i="3"/>
  <c r="AY441" i="3"/>
  <c r="AY97" i="3"/>
  <c r="AY230" i="3"/>
  <c r="AY353" i="3"/>
  <c r="AY501" i="3"/>
  <c r="AY252" i="3"/>
  <c r="AY555" i="3"/>
  <c r="AY385" i="3"/>
  <c r="AY268" i="3"/>
  <c r="AY134" i="3"/>
  <c r="AY508" i="3"/>
  <c r="AY63" i="3"/>
  <c r="AY66" i="3"/>
  <c r="AY229" i="3"/>
  <c r="AY157" i="3"/>
  <c r="AY210" i="3"/>
  <c r="AY81" i="3"/>
  <c r="AY402" i="3"/>
  <c r="AY265" i="3"/>
  <c r="AY143" i="3"/>
  <c r="AY546" i="3"/>
  <c r="AY586" i="3"/>
  <c r="AY497" i="3"/>
  <c r="AY182" i="3"/>
  <c r="AY114" i="3"/>
  <c r="AY532" i="3"/>
  <c r="AY453" i="3"/>
  <c r="AY167" i="3"/>
  <c r="AY27" i="3"/>
  <c r="AY188" i="3"/>
  <c r="AY449" i="3"/>
  <c r="AY203" i="3"/>
  <c r="AY452" i="3"/>
  <c r="AY14" i="3"/>
  <c r="E31" i="6"/>
  <c r="S6" i="43"/>
  <c r="C23" i="43"/>
  <c r="C21" i="43"/>
  <c r="S3" i="43"/>
  <c r="S7" i="43"/>
  <c r="S4" i="43"/>
  <c r="S5" i="43"/>
  <c r="S2" i="43"/>
  <c r="AY496" i="3"/>
  <c r="AY399" i="3"/>
  <c r="AY440" i="3"/>
  <c r="AY289" i="3"/>
  <c r="AY457" i="3"/>
  <c r="AY490" i="3"/>
  <c r="BF6" i="3"/>
  <c r="AY492" i="3"/>
  <c r="AY216" i="3"/>
  <c r="AY583" i="3"/>
  <c r="AY40" i="3"/>
  <c r="C115" i="43"/>
  <c r="D113" i="43"/>
  <c r="M14" i="1"/>
  <c r="K16" i="1"/>
  <c r="C34" i="69"/>
  <c r="AY51" i="3"/>
  <c r="AY152" i="3"/>
  <c r="AY327" i="3"/>
  <c r="AY185" i="3"/>
  <c r="AY73" i="3"/>
  <c r="AY430" i="3"/>
  <c r="AY158" i="3"/>
  <c r="AY269" i="3"/>
  <c r="AY141" i="3"/>
  <c r="AY39" i="3"/>
  <c r="AY481" i="3"/>
  <c r="AY197" i="3"/>
  <c r="AY329" i="3"/>
  <c r="AY91" i="3"/>
  <c r="AY204" i="3"/>
  <c r="AY574" i="3"/>
  <c r="AY381" i="3"/>
  <c r="AY406" i="3"/>
  <c r="AY396" i="3"/>
  <c r="AY545" i="3"/>
  <c r="AY408" i="3"/>
  <c r="AY477" i="3"/>
  <c r="AY456" i="3"/>
  <c r="AY183" i="3"/>
  <c r="AY404" i="3"/>
  <c r="AY246" i="3"/>
  <c r="AY480" i="3"/>
  <c r="AY282" i="3"/>
  <c r="AY502" i="3"/>
  <c r="AY314" i="3"/>
  <c r="AY367" i="3"/>
  <c r="BB6" i="3"/>
  <c r="AY584" i="3"/>
  <c r="AY431" i="3"/>
  <c r="AY482" i="3"/>
  <c r="AY155" i="3"/>
  <c r="BS6" i="3"/>
  <c r="AY439" i="3"/>
  <c r="AY207" i="3"/>
  <c r="AY300" i="3"/>
  <c r="AY76" i="3"/>
  <c r="AY374" i="3"/>
  <c r="AY316" i="3"/>
  <c r="AY101" i="3"/>
  <c r="AY489" i="3"/>
  <c r="AY68" i="3"/>
  <c r="AY110" i="3"/>
  <c r="AY425" i="3"/>
  <c r="AY222" i="3"/>
  <c r="AY174" i="3"/>
  <c r="AY378" i="3"/>
  <c r="AY115" i="3"/>
  <c r="AY326" i="3"/>
  <c r="AY271" i="3"/>
  <c r="AY332" i="3"/>
  <c r="AY153" i="3"/>
  <c r="AY538" i="3"/>
  <c r="AY359" i="3"/>
  <c r="AY240" i="3"/>
  <c r="AY46" i="3"/>
  <c r="AY23" i="3"/>
  <c r="AY212" i="3"/>
  <c r="AY126" i="3"/>
  <c r="AY377" i="3"/>
  <c r="AY64" i="3"/>
  <c r="AY423" i="3"/>
  <c r="AY264" i="3"/>
  <c r="AY119" i="3"/>
  <c r="AY254" i="3"/>
  <c r="AY503" i="3"/>
  <c r="AY304" i="3"/>
  <c r="AY233" i="3"/>
  <c r="AY413" i="3"/>
  <c r="AY206" i="3"/>
  <c r="AY251" i="3"/>
  <c r="AY460" i="3"/>
  <c r="BE6" i="3"/>
  <c r="AY262" i="3"/>
  <c r="AY388" i="3"/>
  <c r="BG6" i="3"/>
  <c r="AY297" i="3"/>
  <c r="AY540" i="3"/>
  <c r="AY80" i="3"/>
  <c r="AY131" i="3"/>
  <c r="AY146" i="3"/>
  <c r="BN6" i="3"/>
  <c r="AY570" i="3"/>
  <c r="AY98" i="3"/>
  <c r="AY180" i="3"/>
  <c r="AY162" i="3"/>
  <c r="AY243" i="3"/>
  <c r="AY519" i="3"/>
  <c r="AY434" i="3"/>
  <c r="AY301" i="3"/>
  <c r="AY164" i="3"/>
  <c r="AY567" i="3"/>
  <c r="BD6" i="3"/>
  <c r="AY428" i="3"/>
  <c r="AY20" i="3"/>
  <c r="AY150" i="3"/>
  <c r="AY16" i="3"/>
  <c r="AY484" i="3"/>
  <c r="AY187" i="3"/>
  <c r="AY70" i="3"/>
  <c r="AY498" i="3"/>
  <c r="AY308" i="3"/>
  <c r="AY218" i="3"/>
  <c r="AY30" i="3"/>
  <c r="AY136" i="3"/>
  <c r="AY395" i="3"/>
  <c r="AY552" i="3"/>
  <c r="AY128" i="3"/>
  <c r="AY382" i="3"/>
  <c r="AY401" i="3"/>
  <c r="AY125" i="3"/>
  <c r="AY145" i="3"/>
  <c r="AY585" i="3"/>
  <c r="AY139" i="3"/>
  <c r="AY465" i="3"/>
  <c r="AY57" i="3"/>
  <c r="AY322" i="3"/>
  <c r="AY89" i="3"/>
  <c r="AY317" i="3"/>
  <c r="AY426" i="3"/>
  <c r="AY391" i="3"/>
  <c r="AY334" i="3"/>
  <c r="AY45" i="3"/>
  <c r="AY72" i="3"/>
  <c r="AY527" i="3"/>
  <c r="AY320" i="3"/>
  <c r="AY62" i="3"/>
  <c r="AY107" i="3"/>
  <c r="AY566" i="3"/>
  <c r="AY277" i="3"/>
  <c r="AY220" i="3"/>
  <c r="AY553" i="3"/>
  <c r="AY507" i="3"/>
  <c r="AY525" i="3"/>
  <c r="AY345" i="3"/>
  <c r="BA6" i="3"/>
  <c r="AY517" i="3"/>
  <c r="AY416" i="3"/>
  <c r="AY290" i="3"/>
  <c r="AY142" i="3"/>
  <c r="AY530" i="3"/>
  <c r="AY576" i="3"/>
  <c r="AY147" i="3"/>
  <c r="AY324" i="3"/>
  <c r="AY192" i="3"/>
  <c r="D10" i="69"/>
  <c r="D10" i="11"/>
  <c r="C10" i="11"/>
  <c r="AY149" i="3"/>
  <c r="AY364" i="3"/>
  <c r="J18" i="15"/>
  <c r="C53" i="15"/>
  <c r="C48" i="15"/>
  <c r="C66" i="15"/>
  <c r="C53" i="67"/>
  <c r="C48" i="67"/>
  <c r="C66" i="67"/>
  <c r="E53" i="33"/>
  <c r="F53" i="33"/>
  <c r="E52" i="33"/>
  <c r="F52" i="33"/>
  <c r="AB7" i="35"/>
  <c r="T38" i="35"/>
  <c r="G38" i="35"/>
  <c r="U7" i="35"/>
  <c r="C49" i="33"/>
  <c r="B2" i="33"/>
  <c r="B3" i="33"/>
  <c r="C48" i="33"/>
  <c r="C49" i="21"/>
  <c r="C48" i="21"/>
  <c r="I53" i="33"/>
  <c r="J53" i="33"/>
  <c r="E42" i="37"/>
  <c r="R43" i="37"/>
  <c r="E36" i="36"/>
  <c r="R37" i="36"/>
  <c r="G68" i="39"/>
  <c r="F70" i="39"/>
  <c r="G52" i="33"/>
  <c r="H52" i="33"/>
  <c r="G53" i="33"/>
  <c r="H53" i="33"/>
  <c r="R50" i="34"/>
  <c r="E49" i="34"/>
  <c r="G46" i="37"/>
  <c r="H46" i="37"/>
  <c r="G47" i="37"/>
  <c r="H47" i="37"/>
  <c r="G65" i="40"/>
  <c r="H63" i="40"/>
  <c r="G53" i="34"/>
  <c r="H53" i="34"/>
  <c r="G54" i="34"/>
  <c r="H54" i="34"/>
  <c r="E38" i="35"/>
  <c r="R39" i="35"/>
  <c r="AC7" i="35"/>
  <c r="V38" i="35"/>
  <c r="I38" i="35"/>
  <c r="W7" i="35"/>
  <c r="G40" i="36"/>
  <c r="H40" i="36"/>
  <c r="G41" i="36"/>
  <c r="H41" i="36"/>
  <c r="I47" i="37"/>
  <c r="J47" i="37"/>
  <c r="I46" i="37"/>
  <c r="J46" i="37"/>
  <c r="I41" i="36"/>
  <c r="J41" i="36"/>
  <c r="I40" i="36"/>
  <c r="J40" i="36"/>
  <c r="C44" i="11"/>
  <c r="D41" i="11"/>
  <c r="C23" i="11"/>
  <c r="C26" i="11"/>
  <c r="D22" i="11"/>
  <c r="C24" i="11"/>
  <c r="C25" i="11"/>
  <c r="C23" i="67"/>
  <c r="C29" i="67"/>
  <c r="C44" i="69"/>
  <c r="D41" i="69"/>
  <c r="C26" i="69"/>
  <c r="D22" i="69"/>
  <c r="C38" i="67"/>
  <c r="C32" i="67"/>
  <c r="L19" i="9"/>
  <c r="C88" i="9"/>
  <c r="C89" i="9"/>
  <c r="C87" i="9"/>
  <c r="C5" i="71"/>
  <c r="D5" i="71"/>
  <c r="T6" i="71"/>
  <c r="D6" i="71"/>
  <c r="B2" i="21"/>
  <c r="D8" i="12"/>
  <c r="D6" i="12"/>
  <c r="C6" i="12"/>
  <c r="C8" i="12"/>
  <c r="B3" i="21"/>
  <c r="E52" i="21"/>
  <c r="F52" i="21"/>
  <c r="I53" i="21"/>
  <c r="J53" i="21"/>
  <c r="J59" i="79"/>
  <c r="Q48" i="79"/>
  <c r="C60" i="79"/>
  <c r="C66" i="79"/>
  <c r="K21" i="6"/>
  <c r="S8" i="1"/>
  <c r="K22" i="6"/>
  <c r="S9" i="1"/>
  <c r="K23" i="6"/>
  <c r="M23" i="6"/>
  <c r="I23" i="6"/>
  <c r="S23" i="6"/>
  <c r="K26" i="6"/>
  <c r="M26" i="6"/>
  <c r="I26" i="6"/>
  <c r="S26" i="6"/>
  <c r="K24" i="6"/>
  <c r="M24" i="6"/>
  <c r="I24" i="6"/>
  <c r="S24" i="6"/>
  <c r="K25" i="6"/>
  <c r="M25" i="6"/>
  <c r="I25" i="6"/>
  <c r="S25" i="6"/>
  <c r="D6" i="6"/>
  <c r="H26" i="6"/>
  <c r="D9" i="6"/>
  <c r="D29" i="6"/>
  <c r="D5" i="6"/>
  <c r="D26" i="6"/>
  <c r="D21" i="6"/>
  <c r="D11" i="6"/>
  <c r="D8" i="6"/>
  <c r="C18" i="4"/>
  <c r="A10" i="51"/>
  <c r="B9" i="72"/>
  <c r="D19" i="6"/>
  <c r="D25" i="6"/>
  <c r="D10" i="6"/>
  <c r="E61" i="40"/>
  <c r="D24" i="6"/>
  <c r="D23" i="6"/>
  <c r="D12" i="6"/>
  <c r="D13" i="6"/>
  <c r="M19" i="9"/>
  <c r="C118" i="9"/>
  <c r="C14" i="74"/>
  <c r="B2" i="74"/>
  <c r="D8" i="74"/>
  <c r="D28" i="6"/>
  <c r="D14" i="6"/>
  <c r="D22" i="6"/>
  <c r="D20" i="6"/>
  <c r="S6" i="1"/>
  <c r="M20" i="6"/>
  <c r="I20" i="6"/>
  <c r="S7" i="1"/>
  <c r="I19" i="6"/>
  <c r="C38" i="69"/>
  <c r="C35" i="69"/>
  <c r="O14" i="1"/>
  <c r="M16" i="1"/>
  <c r="C10" i="68"/>
  <c r="D19" i="69"/>
  <c r="C10" i="69"/>
  <c r="C8" i="69"/>
  <c r="C5" i="69"/>
  <c r="C23" i="69"/>
  <c r="C60" i="67"/>
  <c r="C60" i="15"/>
  <c r="C36" i="36"/>
  <c r="C37" i="36"/>
  <c r="B2" i="36"/>
  <c r="B3" i="36"/>
  <c r="E42" i="35"/>
  <c r="F42" i="35"/>
  <c r="E43" i="35"/>
  <c r="F43" i="35"/>
  <c r="C50" i="34"/>
  <c r="B2" i="34"/>
  <c r="B3" i="34"/>
  <c r="C49" i="34"/>
  <c r="G70" i="39"/>
  <c r="H68" i="39"/>
  <c r="E46" i="37"/>
  <c r="F46" i="37"/>
  <c r="E47" i="37"/>
  <c r="F47" i="37"/>
  <c r="G42" i="35"/>
  <c r="H42" i="35"/>
  <c r="G43" i="35"/>
  <c r="H43" i="35"/>
  <c r="H65" i="40"/>
  <c r="I63" i="40"/>
  <c r="E54" i="34"/>
  <c r="F54" i="34"/>
  <c r="E53" i="34"/>
  <c r="F53" i="34"/>
  <c r="I54" i="34"/>
  <c r="J54" i="34"/>
  <c r="C42" i="37"/>
  <c r="C43" i="37"/>
  <c r="B2" i="37"/>
  <c r="B3" i="37"/>
  <c r="C38" i="35"/>
  <c r="C39" i="35"/>
  <c r="B2" i="35"/>
  <c r="B3" i="35"/>
  <c r="I42" i="35"/>
  <c r="J42" i="35"/>
  <c r="I43" i="35"/>
  <c r="J43" i="35"/>
  <c r="E41" i="36"/>
  <c r="F41" i="36"/>
  <c r="E40" i="36"/>
  <c r="F40" i="36"/>
  <c r="J59" i="15"/>
  <c r="C22" i="11"/>
  <c r="C31" i="11"/>
  <c r="C33" i="67"/>
  <c r="C31" i="67"/>
  <c r="J14" i="67"/>
  <c r="C57" i="67"/>
  <c r="C13" i="67"/>
  <c r="J19" i="67"/>
  <c r="J17" i="67"/>
  <c r="Q49" i="67"/>
  <c r="C36" i="67"/>
  <c r="J59" i="67"/>
  <c r="J60" i="67"/>
  <c r="M20" i="43"/>
  <c r="C19" i="43"/>
  <c r="U6" i="71"/>
  <c r="E8" i="70"/>
  <c r="E9" i="70"/>
  <c r="E2" i="70"/>
  <c r="K27" i="6"/>
  <c r="R26" i="6"/>
  <c r="M21" i="6"/>
  <c r="I21" i="6"/>
  <c r="S21" i="6"/>
  <c r="H24" i="6"/>
  <c r="R24" i="6"/>
  <c r="D30" i="6"/>
  <c r="H25" i="6"/>
  <c r="R25" i="6"/>
  <c r="M22" i="6"/>
  <c r="I22" i="6"/>
  <c r="S22" i="6"/>
  <c r="H23" i="6"/>
  <c r="R23" i="6"/>
  <c r="C4" i="52"/>
  <c r="B45" i="72"/>
  <c r="A7" i="51"/>
  <c r="B7" i="72"/>
  <c r="D27" i="6"/>
  <c r="D16" i="6"/>
  <c r="AQ6" i="1"/>
  <c r="T6" i="1"/>
  <c r="AR6" i="1"/>
  <c r="S16" i="1"/>
  <c r="AR8" i="1"/>
  <c r="T8" i="1"/>
  <c r="AQ8" i="1"/>
  <c r="S20" i="6"/>
  <c r="H20" i="6"/>
  <c r="R20" i="6"/>
  <c r="R7" i="1"/>
  <c r="AR7" i="1"/>
  <c r="T7" i="1"/>
  <c r="AQ7" i="1"/>
  <c r="AR9" i="1"/>
  <c r="AQ9" i="1"/>
  <c r="T9" i="1"/>
  <c r="H19" i="6"/>
  <c r="S19" i="6"/>
  <c r="L16" i="1"/>
  <c r="P14" i="1"/>
  <c r="P16" i="1"/>
  <c r="O16" i="1"/>
  <c r="N16" i="1"/>
  <c r="C19" i="68"/>
  <c r="C19" i="69"/>
  <c r="D37" i="69"/>
  <c r="C37" i="69"/>
  <c r="C33" i="69"/>
  <c r="I68" i="39"/>
  <c r="H70" i="39"/>
  <c r="I65" i="40"/>
  <c r="J63" i="40"/>
  <c r="Q48" i="67"/>
  <c r="L46" i="67"/>
  <c r="C75" i="67"/>
  <c r="C37" i="67"/>
  <c r="C30" i="67"/>
  <c r="C39" i="67"/>
  <c r="Q70" i="67"/>
  <c r="C56" i="67"/>
  <c r="C65" i="67"/>
  <c r="J13" i="67"/>
  <c r="J23" i="67"/>
  <c r="J22" i="67"/>
  <c r="Q48" i="15"/>
  <c r="C61" i="67"/>
  <c r="C59" i="67"/>
  <c r="C64" i="67"/>
  <c r="T14" i="43"/>
  <c r="V14" i="43"/>
  <c r="C35" i="43"/>
  <c r="T8" i="43"/>
  <c r="V8" i="43"/>
  <c r="T12" i="43"/>
  <c r="V12" i="43"/>
  <c r="T15" i="43"/>
  <c r="V15" i="43"/>
  <c r="C37" i="43"/>
  <c r="T13" i="43"/>
  <c r="V13" i="43"/>
  <c r="C34" i="43"/>
  <c r="T11" i="43"/>
  <c r="V11" i="43"/>
  <c r="T10" i="43"/>
  <c r="V10" i="43"/>
  <c r="T9" i="43"/>
  <c r="V9" i="43"/>
  <c r="C33" i="43"/>
  <c r="T16" i="43"/>
  <c r="V16" i="43"/>
  <c r="C36" i="43"/>
  <c r="C38" i="43"/>
  <c r="C39" i="43"/>
  <c r="T5" i="43"/>
  <c r="V5" i="43"/>
  <c r="C29" i="43"/>
  <c r="T4" i="43"/>
  <c r="V4" i="43"/>
  <c r="T6" i="43"/>
  <c r="V6" i="43"/>
  <c r="T7" i="43"/>
  <c r="V7" i="43"/>
  <c r="T2" i="43"/>
  <c r="V2" i="43"/>
  <c r="T3" i="43"/>
  <c r="V3" i="43"/>
  <c r="F34" i="11"/>
  <c r="I27" i="6"/>
  <c r="M27" i="6"/>
  <c r="H21" i="6"/>
  <c r="R21" i="6"/>
  <c r="D31" i="6"/>
  <c r="I5" i="6"/>
  <c r="H22" i="6"/>
  <c r="R22" i="6"/>
  <c r="S27" i="6"/>
  <c r="I6" i="6"/>
  <c r="T16" i="1"/>
  <c r="R19" i="6"/>
  <c r="F50" i="68"/>
  <c r="F50" i="69"/>
  <c r="F50" i="11"/>
  <c r="C39" i="69"/>
  <c r="C42" i="69"/>
  <c r="C20" i="69"/>
  <c r="C25" i="69"/>
  <c r="C24" i="69"/>
  <c r="K63" i="40"/>
  <c r="J65" i="40"/>
  <c r="I70" i="39"/>
  <c r="J68" i="39"/>
  <c r="J16" i="67"/>
  <c r="J25" i="67"/>
  <c r="C40" i="67"/>
  <c r="Q69" i="67"/>
  <c r="Q68" i="67"/>
  <c r="C58" i="67"/>
  <c r="C67" i="67"/>
  <c r="C68" i="67"/>
  <c r="C80" i="67"/>
  <c r="C79" i="67"/>
  <c r="L51" i="67"/>
  <c r="M21" i="15"/>
  <c r="M21" i="79"/>
  <c r="C30" i="43"/>
  <c r="E30" i="43"/>
  <c r="C27" i="43"/>
  <c r="E29" i="43"/>
  <c r="E39" i="43"/>
  <c r="G39" i="43"/>
  <c r="I39" i="43"/>
  <c r="E36" i="43"/>
  <c r="G36" i="43"/>
  <c r="I36" i="43"/>
  <c r="E33" i="43"/>
  <c r="G33" i="43"/>
  <c r="I33" i="43"/>
  <c r="E34" i="43"/>
  <c r="G34" i="43"/>
  <c r="I34" i="43"/>
  <c r="E37" i="43"/>
  <c r="G37" i="43"/>
  <c r="I37" i="43"/>
  <c r="E35" i="43"/>
  <c r="G35" i="43"/>
  <c r="I35" i="43"/>
  <c r="G38" i="43"/>
  <c r="I38" i="43"/>
  <c r="E38" i="43"/>
  <c r="C36" i="11"/>
  <c r="C37" i="11"/>
  <c r="C34" i="11"/>
  <c r="F63" i="15"/>
  <c r="C62" i="15"/>
  <c r="J20" i="15"/>
  <c r="C22" i="69"/>
  <c r="F63" i="79"/>
  <c r="C62" i="79"/>
  <c r="J20" i="79"/>
  <c r="H27" i="6"/>
  <c r="R27" i="6"/>
  <c r="R6" i="1"/>
  <c r="R16" i="1"/>
  <c r="C28" i="69"/>
  <c r="C27" i="69"/>
  <c r="C46" i="69"/>
  <c r="C45" i="69"/>
  <c r="C43" i="69"/>
  <c r="C41" i="69"/>
  <c r="K65" i="40"/>
  <c r="L63" i="40"/>
  <c r="K68" i="39"/>
  <c r="J70" i="39"/>
  <c r="Q67" i="67"/>
  <c r="L57" i="67"/>
  <c r="L60" i="67"/>
  <c r="C71" i="67"/>
  <c r="C45" i="67"/>
  <c r="C46" i="67"/>
  <c r="Q56" i="67"/>
  <c r="Q47" i="67"/>
  <c r="Q53" i="67"/>
  <c r="Q65" i="67"/>
  <c r="C43" i="67"/>
  <c r="D2" i="67"/>
  <c r="C83" i="67"/>
  <c r="C82" i="67"/>
  <c r="C26" i="43"/>
  <c r="C35" i="11"/>
  <c r="C38" i="11"/>
  <c r="L57" i="15"/>
  <c r="L60" i="15"/>
  <c r="C31" i="69"/>
  <c r="C49" i="69"/>
  <c r="C51" i="69"/>
  <c r="L57" i="79"/>
  <c r="L60" i="79"/>
  <c r="K70" i="39"/>
  <c r="L68" i="39"/>
  <c r="M63" i="40"/>
  <c r="L65" i="40"/>
  <c r="Q66" i="67"/>
  <c r="Q75" i="67"/>
  <c r="Q57" i="67"/>
  <c r="Q62" i="67"/>
  <c r="B2" i="67"/>
  <c r="B3" i="67"/>
  <c r="E6" i="76"/>
  <c r="E2" i="76"/>
  <c r="B2" i="43"/>
  <c r="J19" i="15"/>
  <c r="J17" i="15"/>
  <c r="C57" i="15"/>
  <c r="Q49" i="15"/>
  <c r="J14" i="15"/>
  <c r="C57" i="79"/>
  <c r="Q49" i="79"/>
  <c r="J14" i="79"/>
  <c r="J19" i="79"/>
  <c r="J17" i="79"/>
  <c r="C33" i="11"/>
  <c r="C42" i="11"/>
  <c r="Q57" i="15"/>
  <c r="Q66" i="15"/>
  <c r="C52" i="69"/>
  <c r="B2" i="69"/>
  <c r="B3" i="69"/>
  <c r="Q57" i="79"/>
  <c r="Q66" i="79"/>
  <c r="N63" i="40"/>
  <c r="M65" i="40"/>
  <c r="M68" i="39"/>
  <c r="L70" i="39"/>
  <c r="B6" i="76"/>
  <c r="B2" i="76"/>
  <c r="B3" i="76"/>
  <c r="B3" i="43"/>
  <c r="J22" i="79"/>
  <c r="J13" i="79"/>
  <c r="J23" i="79"/>
  <c r="Q70" i="15"/>
  <c r="C75" i="15"/>
  <c r="C56" i="15"/>
  <c r="C65" i="15"/>
  <c r="C64" i="15"/>
  <c r="C61" i="15"/>
  <c r="C59" i="15"/>
  <c r="C61" i="79"/>
  <c r="C59" i="79"/>
  <c r="C64" i="79"/>
  <c r="Q70" i="79"/>
  <c r="C75" i="79"/>
  <c r="C56" i="79"/>
  <c r="C65" i="79"/>
  <c r="J22" i="15"/>
  <c r="J13" i="15"/>
  <c r="J23" i="15"/>
  <c r="C39" i="11"/>
  <c r="C57" i="69"/>
  <c r="C56" i="69"/>
  <c r="M70" i="39"/>
  <c r="N68" i="39"/>
  <c r="N65" i="40"/>
  <c r="O63" i="40"/>
  <c r="O65" i="40"/>
  <c r="L51" i="15"/>
  <c r="L51" i="79"/>
  <c r="J16" i="79"/>
  <c r="J25" i="79"/>
  <c r="J16" i="15"/>
  <c r="J25" i="15"/>
  <c r="C58" i="15"/>
  <c r="C67" i="15"/>
  <c r="C68" i="15"/>
  <c r="C71" i="15"/>
  <c r="C58" i="79"/>
  <c r="C67" i="79"/>
  <c r="C68" i="79"/>
  <c r="C71" i="79"/>
  <c r="C80" i="15"/>
  <c r="C79" i="15"/>
  <c r="Q67" i="79"/>
  <c r="Q67" i="15"/>
  <c r="Q69" i="79"/>
  <c r="Q68" i="79"/>
  <c r="Q69" i="15"/>
  <c r="Q68" i="15"/>
  <c r="C80" i="79"/>
  <c r="C79" i="79"/>
  <c r="C46" i="11"/>
  <c r="C45" i="11"/>
  <c r="C43" i="11"/>
  <c r="C41" i="11"/>
  <c r="O68" i="39"/>
  <c r="O70" i="39"/>
  <c r="N70" i="39"/>
  <c r="F7" i="40"/>
  <c r="H7" i="40"/>
  <c r="J7" i="40"/>
  <c r="C46" i="15"/>
  <c r="Q47" i="15"/>
  <c r="Q53" i="15"/>
  <c r="Q56" i="15"/>
  <c r="Q62" i="15"/>
  <c r="C43" i="15"/>
  <c r="Q65" i="15"/>
  <c r="Q75" i="15"/>
  <c r="C83" i="15"/>
  <c r="C82" i="15"/>
  <c r="C46" i="79"/>
  <c r="Q65" i="79"/>
  <c r="Q75" i="79"/>
  <c r="C43" i="79"/>
  <c r="Q56" i="79"/>
  <c r="Q62" i="79"/>
  <c r="C83" i="79"/>
  <c r="C82" i="79"/>
  <c r="Q47" i="79"/>
  <c r="Q53" i="79"/>
  <c r="C49" i="11"/>
  <c r="C51" i="11"/>
  <c r="W7" i="40"/>
  <c r="AC7" i="40"/>
  <c r="V42" i="40"/>
  <c r="I42" i="40"/>
  <c r="S7" i="40"/>
  <c r="AA7" i="40"/>
  <c r="R42" i="40"/>
  <c r="H7" i="39"/>
  <c r="F7" i="39"/>
  <c r="J7" i="39"/>
  <c r="U7" i="40"/>
  <c r="AB7" i="40"/>
  <c r="T42" i="40"/>
  <c r="G42" i="40"/>
  <c r="AO9" i="1"/>
  <c r="AO8" i="1"/>
  <c r="B8" i="70"/>
  <c r="B9" i="70"/>
  <c r="B3" i="15"/>
  <c r="E6" i="12"/>
  <c r="B3" i="79"/>
  <c r="F6" i="12"/>
  <c r="C52" i="11"/>
  <c r="B2" i="11"/>
  <c r="B3" i="11"/>
  <c r="G46" i="40"/>
  <c r="H46" i="40"/>
  <c r="G47" i="40"/>
  <c r="H47" i="40"/>
  <c r="AB7" i="39"/>
  <c r="T47" i="39"/>
  <c r="G47" i="39"/>
  <c r="U7" i="39"/>
  <c r="AC7" i="39"/>
  <c r="V47" i="39"/>
  <c r="I47" i="39"/>
  <c r="W7" i="39"/>
  <c r="S7" i="39"/>
  <c r="AA7" i="39"/>
  <c r="R47" i="39"/>
  <c r="I46" i="40"/>
  <c r="J46" i="40"/>
  <c r="E42" i="40"/>
  <c r="I47" i="40"/>
  <c r="J47" i="40"/>
  <c r="R43" i="40"/>
  <c r="B2" i="70"/>
  <c r="B3" i="70"/>
  <c r="C56" i="11"/>
  <c r="C57" i="11"/>
  <c r="H109" i="9"/>
  <c r="I51" i="39"/>
  <c r="J51" i="39"/>
  <c r="E46" i="40"/>
  <c r="F46" i="40"/>
  <c r="E47" i="40"/>
  <c r="F47" i="40"/>
  <c r="G51" i="39"/>
  <c r="H51" i="39"/>
  <c r="G52" i="39"/>
  <c r="H52" i="39"/>
  <c r="C42" i="40"/>
  <c r="C43" i="40"/>
  <c r="E47" i="39"/>
  <c r="I52" i="39"/>
  <c r="J52" i="39"/>
  <c r="R48" i="39"/>
  <c r="D16" i="53"/>
  <c r="H110" i="9"/>
  <c r="D18" i="53"/>
  <c r="B35" i="72"/>
  <c r="D124" i="9"/>
  <c r="C48" i="39"/>
  <c r="C47" i="39"/>
  <c r="E52" i="39"/>
  <c r="F52" i="39"/>
  <c r="E51" i="39"/>
  <c r="F51" i="39"/>
  <c r="B60" i="40"/>
  <c r="F60" i="40"/>
  <c r="B59" i="40"/>
  <c r="F59" i="40"/>
  <c r="B54" i="40"/>
  <c r="F54" i="40"/>
  <c r="F61" i="40"/>
  <c r="B2" i="40"/>
  <c r="B3" i="40"/>
  <c r="B52" i="40"/>
  <c r="F52" i="40"/>
  <c r="B53" i="40"/>
  <c r="F53" i="40"/>
  <c r="B58" i="40"/>
  <c r="F58" i="40"/>
  <c r="B51" i="40"/>
  <c r="F51" i="40"/>
  <c r="B55" i="40"/>
  <c r="F55" i="40"/>
  <c r="B57" i="40"/>
  <c r="F57" i="40"/>
  <c r="B56" i="40"/>
  <c r="F56" i="40"/>
  <c r="D10" i="52"/>
  <c r="H14" i="74"/>
  <c r="B7" i="74"/>
  <c r="D125" i="9"/>
  <c r="D11" i="52"/>
  <c r="D17" i="53"/>
  <c r="B36" i="72"/>
  <c r="B34" i="72"/>
  <c r="B60" i="39"/>
  <c r="F60" i="39"/>
  <c r="B64" i="39"/>
  <c r="F64" i="39"/>
  <c r="B62" i="39"/>
  <c r="F62" i="39"/>
  <c r="B56" i="39"/>
  <c r="F56" i="39"/>
  <c r="B65" i="39"/>
  <c r="F65" i="39"/>
  <c r="B61" i="39"/>
  <c r="F61" i="39"/>
  <c r="B59" i="39"/>
  <c r="F59" i="39"/>
  <c r="B63" i="39"/>
  <c r="F63" i="39"/>
  <c r="B58" i="39"/>
  <c r="F58" i="39"/>
  <c r="B57" i="39"/>
  <c r="F57" i="39"/>
  <c r="C7" i="74"/>
  <c r="D7" i="74"/>
  <c r="D102" i="9"/>
  <c r="D21" i="9"/>
  <c r="B3" i="12"/>
  <c r="F66" i="39"/>
  <c r="B2" i="39"/>
  <c r="D20" i="9"/>
  <c r="D103" i="9"/>
  <c r="B3" i="39"/>
  <c r="C6" i="68"/>
  <c r="C7" i="68"/>
  <c r="C5" i="68"/>
  <c r="C20" i="68"/>
  <c r="C57" i="68"/>
  <c r="C56" i="68"/>
  <c r="C21" i="9"/>
  <c r="D22" i="9"/>
  <c r="C102" i="9"/>
  <c r="B3" i="68"/>
  <c r="C20" i="9"/>
  <c r="G20" i="9"/>
  <c r="C103" i="9"/>
  <c r="G21" i="9"/>
  <c r="C35" i="9"/>
  <c r="F118" i="9"/>
  <c r="D14" i="74"/>
  <c r="I118" i="9"/>
  <c r="H4" i="52"/>
  <c r="H119" i="9"/>
  <c r="H5" i="52"/>
  <c r="C104" i="9"/>
  <c r="G118" i="9"/>
  <c r="G4" i="52"/>
  <c r="B52" i="72"/>
  <c r="F119" i="9"/>
  <c r="F5" i="52"/>
  <c r="B53" i="72"/>
  <c r="F4" i="52"/>
  <c r="B51" i="72"/>
  <c r="C34" i="9"/>
  <c r="D118" i="9"/>
  <c r="F14" i="74"/>
  <c r="E14" i="74"/>
  <c r="B5" i="74"/>
  <c r="D4" i="52"/>
  <c r="B47" i="72"/>
  <c r="D119" i="9"/>
  <c r="D5" i="52"/>
  <c r="B49" i="72"/>
  <c r="C105" i="9"/>
  <c r="E118" i="9"/>
  <c r="E4" i="52"/>
  <c r="B48" i="72"/>
  <c r="H102" i="9"/>
  <c r="D7" i="53"/>
  <c r="B21" i="72"/>
  <c r="I4" i="52"/>
  <c r="D5" i="53"/>
  <c r="M48" i="9"/>
  <c r="H108" i="9"/>
  <c r="D15" i="53"/>
  <c r="B31" i="72"/>
  <c r="D13" i="53"/>
  <c r="D122" i="9"/>
  <c r="D6" i="53"/>
  <c r="B22" i="72"/>
  <c r="B20" i="72"/>
  <c r="C78" i="9"/>
  <c r="C73" i="9"/>
  <c r="C72" i="9"/>
  <c r="D52" i="9"/>
  <c r="C64" i="9"/>
  <c r="C63" i="9"/>
  <c r="C67" i="9"/>
  <c r="C68" i="9"/>
  <c r="D54" i="9"/>
  <c r="C5" i="74"/>
  <c r="D5" i="74"/>
  <c r="C79" i="9"/>
  <c r="C80" i="9"/>
  <c r="E80" i="9"/>
  <c r="E81" i="9"/>
  <c r="D14" i="53"/>
  <c r="B32" i="72"/>
  <c r="B30" i="72"/>
  <c r="D8" i="52"/>
  <c r="G14" i="74"/>
  <c r="B6" i="74"/>
  <c r="D123" i="9"/>
  <c r="D9" i="52"/>
  <c r="L68" i="9"/>
  <c r="M68" i="9"/>
  <c r="L63" i="9"/>
  <c r="M63" i="9"/>
  <c r="L65" i="9"/>
  <c r="M65" i="9"/>
  <c r="L64" i="9"/>
  <c r="M64" i="9"/>
  <c r="L67" i="9"/>
  <c r="M67" i="9"/>
  <c r="L66" i="9"/>
  <c r="M66" i="9"/>
  <c r="C81" i="9"/>
  <c r="C6" i="74"/>
  <c r="D6" i="74"/>
  <c r="E96" i="9"/>
  <c r="E97" i="9"/>
  <c r="M69" i="9"/>
  <c r="N69" i="9"/>
  <c r="P57"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h-pc</author>
  </authors>
  <commentList>
    <comment ref="L43" authorId="0">
      <text>
        <r>
          <rPr>
            <b/>
            <sz val="9"/>
            <color indexed="81"/>
            <rFont val="Tahoma"/>
            <family val="2"/>
          </rPr>
          <t>h-pc:</t>
        </r>
        <r>
          <rPr>
            <sz val="9"/>
            <color indexed="81"/>
            <rFont val="Tahoma"/>
            <family val="2"/>
          </rPr>
          <t xml:space="preserve">
</t>
        </r>
        <r>
          <rPr>
            <sz val="9"/>
            <color indexed="81"/>
            <rFont val="宋体"/>
            <family val="3"/>
            <charset val="134"/>
          </rPr>
          <t>按测绘及介绍修改</t>
        </r>
      </text>
    </comment>
    <comment ref="L44" authorId="0">
      <text>
        <r>
          <rPr>
            <b/>
            <sz val="9"/>
            <color indexed="81"/>
            <rFont val="Tahoma"/>
            <family val="2"/>
          </rPr>
          <t>h-pc:</t>
        </r>
        <r>
          <rPr>
            <sz val="9"/>
            <color indexed="81"/>
            <rFont val="Tahoma"/>
            <family val="2"/>
          </rPr>
          <t xml:space="preserve">
</t>
        </r>
        <r>
          <rPr>
            <sz val="9"/>
            <color indexed="81"/>
            <rFont val="宋体"/>
            <family val="3"/>
            <charset val="134"/>
          </rPr>
          <t>按测绘及介绍修改</t>
        </r>
      </text>
    </comment>
  </commentList>
</comments>
</file>

<file path=xl/comments5.xml><?xml version="1.0" encoding="utf-8"?>
<comments xmlns="http://schemas.openxmlformats.org/spreadsheetml/2006/main">
  <authors>
    <author>h-pc</author>
  </authors>
  <commentList>
    <comment ref="F42" authorId="0">
      <text>
        <r>
          <rPr>
            <b/>
            <sz val="9"/>
            <color indexed="81"/>
            <rFont val="Tahoma"/>
            <family val="2"/>
          </rPr>
          <t>h-pc:</t>
        </r>
        <r>
          <rPr>
            <sz val="9"/>
            <color indexed="81"/>
            <rFont val="Tahoma"/>
            <family val="2"/>
          </rPr>
          <t xml:space="preserve">
</t>
        </r>
        <r>
          <rPr>
            <sz val="9"/>
            <color indexed="81"/>
            <rFont val="宋体"/>
            <family val="3"/>
            <charset val="134"/>
          </rPr>
          <t>按测绘及介绍修改</t>
        </r>
      </text>
    </comment>
    <comment ref="F43" authorId="0">
      <text>
        <r>
          <rPr>
            <b/>
            <sz val="9"/>
            <color indexed="81"/>
            <rFont val="Tahoma"/>
            <family val="2"/>
          </rPr>
          <t>h-pc:</t>
        </r>
        <r>
          <rPr>
            <sz val="9"/>
            <color indexed="81"/>
            <rFont val="Tahoma"/>
            <family val="2"/>
          </rPr>
          <t xml:space="preserve">
</t>
        </r>
        <r>
          <rPr>
            <sz val="9"/>
            <color indexed="81"/>
            <rFont val="宋体"/>
            <family val="3"/>
            <charset val="134"/>
          </rPr>
          <t>按测绘及介绍修改</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<sst xmlns="http://schemas.openxmlformats.org/spreadsheetml/2006/main" count="11167" uniqueCount="3534">
  <si>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</si>
  <si>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</si>
  <si>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</si>
  <si>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</si>
  <si>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</si>
  <si>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</si>
  <si>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</si>
  <si>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</si>
  <si>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</si>
  <si>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</si>
  <si>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</si>
  <si>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</si>
  <si>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</si>
  <si>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</si>
  <si>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</si>
  <si>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</si>
  <si>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</si>
  <si>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</si>
  <si>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</si>
  <si>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</si>
  <si>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</si>
  <si>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</si>
  <si>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</si>
  <si>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</si>
  <si>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</si>
  <si>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</si>
  <si>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</si>
  <si>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</si>
  <si>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</si>
  <si>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</si>
  <si>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</si>
  <si>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</si>
  <si>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</si>
  <si>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</si>
  <si>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</si>
  <si>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</si>
  <si>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</si>
  <si>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</si>
  <si>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</si>
  <si>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</si>
  <si>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</si>
  <si>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</si>
  <si>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</si>
  <si>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</si>
  <si>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</si>
  <si>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</si>
  <si>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</si>
  <si>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</si>
  <si>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</si>
  <si>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</si>
  <si>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</si>
  <si>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</si>
  <si>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</si>
  <si>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</si>
  <si>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</si>
  <si>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</si>
  <si>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</si>
  <si>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</si>
  <si>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</si>
  <si>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</si>
  <si>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</si>
  <si>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</si>
  <si>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</si>
  <si>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</si>
  <si>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</si>
  <si>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</si>
  <si>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</si>
  <si>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</si>
  <si>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</si>
  <si>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</si>
  <si>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</si>
  <si>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</si>
  <si>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</si>
  <si>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</si>
  <si>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</si>
  <si>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</si>
  <si>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</si>
  <si>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</si>
  <si>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</si>
  <si>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</si>
  <si>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</si>
  <si>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</si>
  <si>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</si>
  <si>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</si>
  <si>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</si>
  <si>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</si>
  <si>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</si>
  <si>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</si>
  <si>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</si>
  <si>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</si>
  <si>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</si>
  <si>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</si>
  <si>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</si>
  <si>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</si>
  <si>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</si>
  <si>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</si>
  <si>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</si>
  <si>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</si>
  <si>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</si>
  <si>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</si>
  <si>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</si>
  <si>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</si>
  <si>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</si>
  <si>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</si>
  <si>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</si>
  <si>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</si>
  <si>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</si>
  <si>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</si>
  <si>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</si>
  <si>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</si>
  <si>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</si>
  <si>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</si>
  <si>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</si>
  <si>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</si>
  <si>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</si>
  <si>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</si>
  <si>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</si>
  <si>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</si>
  <si>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</si>
  <si>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</si>
  <si>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</si>
  <si>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</si>
  <si>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</si>
  <si>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</si>
  <si>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</si>
  <si>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</si>
  <si>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</si>
  <si>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</si>
  <si>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</si>
  <si>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</si>
  <si>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</si>
  <si>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</si>
  <si>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</si>
  <si>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</si>
  <si>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</si>
  <si>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</si>
  <si>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</si>
  <si>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</si>
  <si>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</si>
  <si>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</si>
  <si>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</si>
  <si>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</si>
  <si>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</si>
  <si>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</si>
  <si>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</si>
  <si>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</si>
  <si>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</si>
  <si>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</si>
  <si>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</si>
  <si>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</si>
  <si>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</si>
  <si>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</si>
  <si>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</si>
  <si>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</si>
  <si>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</si>
  <si>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</si>
  <si>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</si>
  <si>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</si>
  <si>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</si>
  <si>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</si>
  <si>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</si>
  <si>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</si>
  <si>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</si>
  <si>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</si>
  <si>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</si>
  <si>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</si>
  <si>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</si>
  <si>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</si>
  <si>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</si>
  <si>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</si>
  <si>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</si>
  <si>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</si>
  <si>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</si>
  <si>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</si>
  <si>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</si>
  <si>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</si>
  <si>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</si>
  <si>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</si>
  <si>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</si>
  <si>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</si>
  <si>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</si>
  <si>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</si>
  <si>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</si>
  <si>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</si>
  <si>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</si>
  <si>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</si>
  <si>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</si>
  <si>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</si>
  <si>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</si>
  <si>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</si>
  <si>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</si>
  <si>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</si>
  <si>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</si>
  <si>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</si>
  <si>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</si>
  <si>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</si>
  <si>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</si>
  <si>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</si>
  <si>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</si>
  <si>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</si>
  <si>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</si>
  <si>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</si>
  <si>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</si>
  <si>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</si>
  <si>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</si>
  <si>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</si>
  <si>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</si>
  <si>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</si>
  <si>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</si>
  <si>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</si>
  <si>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</si>
  <si>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</si>
  <si>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</si>
  <si>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</si>
  <si>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</si>
  <si>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</si>
  <si>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</si>
  <si>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</si>
  <si>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</si>
  <si>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</si>
  <si>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</si>
  <si>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</si>
  <si>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</si>
  <si>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</si>
  <si>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</si>
  <si>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</si>
  <si>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</si>
  <si>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</si>
  <si>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</si>
  <si>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</si>
  <si>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</si>
  <si>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</si>
  <si>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</si>
  <si>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</si>
  <si>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</si>
  <si>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</si>
  <si>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</si>
  <si>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</si>
  <si>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</si>
  <si>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</si>
  <si>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</si>
  <si>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</si>
  <si>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</si>
  <si>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</si>
  <si>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</si>
  <si>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</si>
  <si>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</si>
  <si>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</si>
  <si>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</si>
  <si>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</si>
  <si>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</si>
  <si>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</si>
  <si>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</si>
  <si>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</si>
  <si>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</si>
  <si>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</si>
  <si>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</si>
  <si>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</si>
  <si>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</si>
  <si>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</si>
  <si>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</si>
  <si>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</si>
  <si>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</si>
  <si>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</si>
  <si>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</si>
  <si>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</si>
  <si>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</si>
  <si>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</si>
  <si>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</si>
  <si>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</si>
  <si>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</si>
  <si>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</si>
  <si>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</si>
  <si>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</si>
  <si>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</si>
  <si>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</si>
  <si>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</si>
  <si>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</si>
  <si>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</si>
  <si>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</si>
  <si>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</si>
  <si>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</si>
  <si>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</si>
  <si>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</si>
  <si>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</si>
  <si>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</si>
  <si>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</si>
  <si>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</si>
  <si>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</si>
  <si>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</si>
  <si>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</si>
  <si>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</si>
  <si>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</si>
  <si>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</si>
  <si>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</si>
  <si>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</si>
  <si>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</si>
  <si>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</si>
  <si>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</si>
  <si>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</si>
  <si>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</si>
  <si>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</si>
  <si>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</si>
  <si>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</si>
  <si>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</si>
  <si>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</si>
  <si>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</si>
  <si>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</si>
  <si>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</si>
  <si>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</si>
  <si>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</si>
  <si>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</si>
  <si>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</si>
  <si>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</si>
  <si>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</si>
  <si>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</si>
  <si>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</si>
  <si>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</si>
  <si>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</si>
  <si>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</si>
  <si>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</si>
  <si>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</si>
  <si>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</si>
  <si>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</si>
  <si>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</si>
  <si>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</si>
  <si>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</si>
  <si>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</si>
  <si>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</si>
  <si>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</si>
  <si>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</si>
  <si>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</si>
  <si>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</si>
  <si>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</si>
  <si>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</si>
  <si>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</si>
  <si>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</si>
  <si>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</si>
  <si>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</si>
  <si>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</si>
  <si>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</si>
  <si>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</si>
  <si>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</si>
  <si>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</si>
  <si>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</si>
  <si>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</si>
  <si>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</si>
  <si>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</si>
  <si>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</si>
  <si>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</si>
  <si>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</si>
  <si>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</si>
  <si>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</si>
  <si>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</si>
  <si>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</si>
  <si>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</si>
  <si>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</si>
  <si>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</si>
  <si>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</si>
  <si>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</si>
  <si>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</si>
  <si>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</si>
  <si>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</si>
  <si>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</si>
  <si>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</si>
  <si>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</si>
  <si>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</si>
  <si>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</si>
  <si>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</si>
  <si>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</si>
  <si>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</si>
  <si>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</si>
  <si>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</si>
  <si>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</si>
  <si>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</si>
  <si>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</si>
  <si>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</si>
  <si>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</si>
  <si>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</si>
  <si>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</si>
  <si>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</si>
  <si>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</si>
  <si>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</si>
  <si>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</si>
  <si>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</si>
  <si>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</si>
  <si>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</si>
  <si>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</si>
  <si>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</si>
  <si>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</si>
  <si>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</si>
  <si>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</si>
  <si>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</si>
  <si>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</si>
  <si>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</si>
  <si>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</si>
  <si>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</si>
  <si>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</si>
  <si>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</si>
  <si>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</si>
  <si>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</si>
  <si>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</si>
  <si>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</si>
  <si>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</si>
  <si>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</si>
  <si>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</si>
  <si>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</si>
  <si>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</si>
  <si>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</si>
  <si>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</si>
  <si>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</si>
  <si>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</si>
  <si>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</si>
  <si>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</si>
  <si>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</si>
  <si>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</si>
  <si>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</si>
  <si>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</si>
  <si>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</si>
  <si>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</si>
  <si>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</si>
  <si>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</si>
  <si>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</si>
  <si>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</si>
  <si>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</si>
  <si>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</si>
  <si>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</si>
  <si>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</si>
  <si>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</si>
  <si>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</si>
  <si>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</si>
  <si>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</si>
  <si>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</si>
  <si>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</si>
  <si>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</si>
  <si>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</si>
  <si>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</si>
  <si>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</si>
  <si>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</si>
  <si>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</si>
  <si>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</si>
  <si>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</si>
  <si>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</si>
  <si>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</si>
  <si>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</si>
  <si>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</si>
  <si>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</si>
  <si>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</si>
  <si>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</si>
  <si>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</si>
  <si>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</si>
  <si>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</si>
  <si>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</si>
  <si>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</si>
  <si>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</si>
  <si>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</si>
  <si>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</si>
  <si>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</si>
  <si>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</si>
  <si>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</si>
  <si>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</si>
  <si>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</si>
  <si>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</si>
  <si>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</si>
  <si>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</si>
  <si>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</si>
  <si>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</si>
  <si>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</si>
  <si>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</si>
  <si>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</si>
  <si>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</si>
  <si>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</si>
  <si>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</si>
  <si>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</si>
  <si>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</si>
  <si>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</si>
  <si>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</si>
  <si>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</si>
  <si>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</si>
  <si>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</si>
  <si>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</si>
  <si>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</si>
  <si>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</si>
  <si>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</si>
  <si>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</si>
  <si>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</si>
  <si>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</si>
  <si>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</si>
  <si>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</si>
  <si>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</si>
  <si>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</si>
  <si>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</si>
  <si>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</si>
  <si>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</si>
  <si>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</si>
  <si>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</si>
  <si>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</si>
  <si>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</si>
  <si>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</si>
  <si>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</si>
  <si>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</si>
  <si>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</si>
  <si>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</si>
  <si>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</si>
  <si>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</si>
  <si>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</si>
  <si>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</si>
  <si>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</si>
  <si>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</si>
  <si>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</si>
  <si>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</si>
  <si>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</si>
  <si>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</si>
  <si>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</si>
  <si>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</si>
  <si>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</si>
  <si>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</si>
  <si>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</si>
  <si>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</si>
  <si>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</si>
  <si>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</si>
  <si>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</si>
  <si>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</si>
  <si>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</si>
  <si>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</si>
  <si>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</si>
  <si>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</si>
  <si>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</si>
  <si>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</si>
  <si>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</si>
  <si>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</si>
  <si>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</si>
  <si>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</si>
  <si>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</si>
  <si>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</si>
  <si>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</si>
  <si>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</si>
  <si>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</si>
  <si>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</si>
  <si>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</si>
  <si>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</si>
  <si>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</si>
  <si>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</si>
  <si>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</si>
  <si>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</si>
  <si>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</si>
  <si>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</si>
  <si>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</si>
  <si>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</si>
  <si>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</si>
  <si>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</si>
  <si>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</si>
  <si>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</si>
  <si>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</si>
  <si>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</si>
  <si>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</si>
  <si>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</si>
  <si>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</si>
  <si>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</si>
  <si>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</si>
  <si>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</si>
  <si>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</si>
  <si>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</si>
  <si>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</si>
  <si>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</si>
  <si>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</si>
  <si>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</si>
  <si>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</si>
  <si>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</si>
  <si>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</si>
  <si>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</si>
  <si>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</si>
  <si>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</si>
  <si>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</si>
  <si>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</si>
  <si>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</si>
  <si>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</si>
  <si>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</si>
  <si>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</si>
  <si>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</si>
  <si>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</si>
  <si>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</si>
  <si>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</si>
  <si>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</si>
  <si>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</si>
  <si>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</si>
  <si>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</si>
  <si>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</si>
  <si>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</si>
  <si>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</si>
  <si>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</si>
  <si>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</si>
  <si>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</si>
  <si>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</si>
  <si>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</si>
  <si>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</si>
  <si>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</si>
  <si>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</si>
  <si>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</si>
  <si>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</si>
  <si>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</si>
  <si>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</si>
  <si>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</si>
  <si>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</si>
  <si>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</si>
  <si>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</si>
  <si>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</si>
  <si>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</si>
  <si>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</si>
  <si>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</si>
  <si>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</si>
  <si>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</si>
  <si>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</si>
  <si>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</si>
  <si>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</si>
  <si>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</si>
  <si>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</si>
  <si>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</si>
  <si>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</si>
  <si>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</si>
  <si>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</si>
  <si>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</si>
  <si>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</si>
  <si>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</si>
  <si>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</si>
  <si>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</si>
  <si>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</si>
  <si>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</si>
  <si>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</si>
  <si>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</si>
  <si>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</si>
  <si>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</si>
  <si>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</si>
  <si>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</si>
  <si>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</si>
  <si>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</si>
  <si>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</si>
  <si>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</si>
  <si>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</si>
  <si>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</si>
  <si>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</si>
  <si>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</si>
  <si>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</si>
  <si>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</si>
  <si>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</si>
  <si>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</si>
  <si>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</si>
  <si>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</si>
  <si>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</si>
  <si>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</si>
  <si>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</si>
  <si>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</si>
  <si>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</si>
  <si>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</si>
  <si>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</si>
  <si>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</si>
  <si>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</si>
  <si>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</si>
  <si>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</si>
  <si>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</si>
  <si>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</si>
  <si>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</si>
  <si>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</si>
  <si>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</si>
  <si>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</si>
  <si>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</si>
  <si>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</si>
  <si>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</si>
  <si>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</si>
  <si>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</si>
  <si>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</si>
  <si>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</si>
  <si>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</si>
  <si>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</si>
  <si>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</si>
  <si>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</si>
  <si>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</si>
  <si>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</si>
  <si>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</si>
  <si>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</si>
  <si>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</si>
  <si>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</si>
  <si>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</si>
  <si>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</si>
  <si>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</si>
  <si>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</si>
  <si>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</si>
  <si>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</si>
  <si>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</si>
  <si>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</si>
  <si>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</si>
  <si>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</si>
  <si>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</si>
  <si>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</si>
  <si>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</si>
  <si>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</si>
  <si>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</si>
  <si>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</si>
  <si>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</si>
  <si>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</si>
  <si>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</si>
  <si>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</si>
  <si>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</si>
  <si>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</si>
  <si>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</si>
  <si>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</si>
  <si>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</si>
  <si>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</si>
  <si>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</si>
  <si>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</si>
  <si>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</si>
  <si>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</si>
  <si>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</si>
  <si>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</si>
  <si>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</si>
  <si>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</si>
  <si>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</si>
  <si>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</si>
  <si>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</si>
  <si>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</si>
  <si>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</si>
  <si>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</si>
  <si>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</si>
  <si>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</si>
  <si>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</si>
  <si>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</si>
  <si>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</si>
  <si>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</si>
  <si>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</si>
  <si>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</si>
  <si>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</si>
  <si>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</si>
  <si>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</si>
  <si>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</si>
  <si>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</si>
  <si>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</si>
  <si>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</si>
  <si>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</si>
  <si>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</si>
  <si>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</si>
  <si>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</si>
  <si>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</si>
  <si>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</si>
  <si>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</si>
  <si>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</si>
  <si>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</si>
  <si>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</si>
  <si>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</si>
  <si>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</si>
  <si>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</si>
  <si>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</si>
  <si>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</si>
  <si>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</si>
  <si>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</si>
  <si>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</si>
  <si>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</si>
  <si>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</si>
  <si>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</si>
  <si>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</si>
  <si>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</si>
  <si>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</si>
  <si>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</si>
  <si>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</si>
  <si>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</si>
  <si>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</si>
  <si>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</si>
  <si>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</si>
  <si>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</si>
  <si>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</si>
  <si>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</si>
  <si>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</si>
  <si>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</si>
  <si>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</si>
  <si>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</si>
  <si>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</si>
  <si>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</si>
  <si>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</si>
  <si>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</si>
  <si>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</si>
  <si>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</si>
  <si>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</si>
  <si>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</si>
  <si>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</si>
  <si>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</si>
  <si>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</si>
  <si>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</si>
  <si>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</si>
  <si>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</si>
  <si>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</si>
  <si>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</si>
  <si>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</si>
  <si>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</si>
  <si>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</si>
  <si>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</si>
  <si>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</si>
  <si>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</si>
  <si>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</si>
  <si>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</si>
  <si>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</si>
  <si>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</si>
  <si>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</si>
  <si>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</si>
  <si>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</si>
  <si>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</si>
  <si>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</si>
  <si>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</si>
  <si>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</si>
  <si>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</si>
  <si>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</si>
  <si>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</si>
  <si>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</si>
  <si>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</si>
  <si>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</si>
  <si>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</si>
  <si>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</si>
  <si>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</si>
  <si>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</si>
  <si>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</si>
  <si>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</si>
  <si>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</si>
  <si>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</si>
  <si>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</si>
  <si>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</si>
  <si>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</si>
  <si>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</si>
  <si>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</si>
  <si>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</si>
  <si>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</si>
  <si>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</si>
  <si>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</si>
  <si>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</si>
  <si>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</si>
  <si>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</si>
  <si>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</si>
  <si>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</si>
  <si>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</si>
  <si>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</si>
  <si>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</si>
  <si>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</si>
  <si>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</si>
  <si>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</si>
  <si>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</si>
  <si>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</si>
  <si>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</si>
  <si>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</si>
  <si>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</si>
  <si>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</si>
  <si>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</si>
  <si>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</si>
  <si>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</si>
  <si>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</si>
  <si>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</si>
  <si>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</si>
  <si>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</si>
  <si>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</si>
  <si>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</si>
  <si>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</si>
  <si>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</si>
  <si>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</si>
  <si>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</si>
  <si>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</si>
  <si>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</si>
  <si>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</si>
  <si>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</si>
  <si>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</si>
  <si>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</si>
  <si>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</si>
  <si>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</si>
  <si>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</si>
  <si>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</si>
  <si>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</si>
  <si>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</si>
  <si>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</si>
  <si>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</si>
  <si>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</si>
  <si>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</si>
  <si>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</si>
  <si>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</si>
  <si>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</si>
  <si>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</si>
  <si>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</si>
  <si>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</si>
  <si>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</si>
  <si>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</si>
  <si>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</si>
  <si>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</si>
  <si>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</si>
  <si>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</si>
  <si>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</si>
  <si>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</si>
  <si>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</si>
  <si>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</si>
  <si>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</si>
  <si>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</si>
  <si>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</si>
  <si>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</si>
  <si>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</si>
  <si>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</si>
  <si>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</si>
  <si>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</si>
  <si>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</si>
  <si>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</si>
  <si>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</si>
  <si>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</si>
  <si>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</si>
  <si>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</si>
  <si>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</si>
  <si>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</si>
  <si>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</si>
  <si>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</si>
  <si>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</si>
  <si>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</si>
  <si>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</si>
  <si>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</si>
  <si>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</si>
  <si>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</si>
  <si>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</si>
  <si>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</si>
  <si>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</si>
  <si>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</si>
  <si>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</si>
  <si>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</si>
  <si>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</si>
  <si>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</si>
  <si>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</si>
  <si>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</si>
  <si>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</si>
  <si>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</si>
  <si>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</si>
  <si>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</si>
  <si>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</si>
  <si>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</si>
  <si>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</si>
  <si>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</si>
  <si>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</si>
  <si>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</si>
  <si>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</si>
  <si>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</si>
  <si>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</si>
  <si>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</si>
  <si>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</si>
  <si>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</si>
  <si>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</si>
  <si>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</si>
  <si>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</si>
  <si>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</si>
  <si>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</si>
  <si>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</si>
  <si>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</si>
  <si>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</si>
  <si>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</si>
  <si>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</si>
  <si>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</si>
  <si>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</si>
  <si>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</si>
  <si>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</si>
  <si>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</si>
  <si>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</si>
  <si>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</si>
  <si>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</si>
  <si>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</si>
  <si>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</si>
  <si>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</si>
  <si>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</si>
  <si>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</si>
  <si>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</si>
  <si>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</si>
  <si>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</si>
  <si>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</si>
  <si>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</si>
  <si>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</si>
  <si>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</si>
  <si>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</si>
  <si>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</si>
  <si>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</si>
  <si>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</si>
  <si>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</si>
  <si>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</si>
  <si>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</si>
  <si>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</si>
  <si>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</si>
  <si>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</si>
  <si>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</si>
  <si>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</si>
  <si>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</si>
  <si>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</si>
  <si>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</si>
  <si>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</si>
  <si>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</si>
  <si>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</si>
  <si>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</si>
  <si>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</si>
  <si>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</si>
  <si>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</si>
  <si>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</si>
  <si>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</si>
  <si>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</si>
  <si>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</si>
  <si>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</si>
  <si>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</si>
  <si>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</si>
  <si>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</si>
  <si>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</si>
  <si>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</si>
  <si>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</si>
  <si>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</si>
  <si>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</si>
  <si>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</si>
  <si>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</si>
  <si>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</si>
  <si>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</si>
  <si>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</si>
  <si>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</si>
  <si>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</si>
  <si>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</si>
  <si>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</si>
  <si>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</si>
  <si>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</si>
  <si>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</si>
  <si>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</si>
  <si>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</si>
  <si>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</si>
  <si>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</si>
  <si>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</si>
  <si>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</si>
  <si>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</si>
  <si>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</si>
  <si>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</si>
  <si>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</si>
  <si>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</si>
  <si>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</si>
  <si>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</si>
  <si>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</si>
  <si>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</si>
  <si>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</si>
  <si>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</si>
  <si>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</si>
  <si>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</si>
  <si>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</si>
  <si>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</si>
  <si>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</si>
  <si>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</si>
  <si>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</si>
  <si>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</si>
  <si>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</si>
  <si>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</si>
  <si>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</si>
  <si>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</si>
  <si>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</si>
  <si>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</si>
  <si>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</si>
  <si>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</si>
  <si>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</si>
  <si>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</si>
  <si>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</si>
  <si>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</si>
  <si>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</si>
  <si>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</si>
  <si>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</si>
  <si>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</si>
  <si>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</si>
  <si>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</si>
  <si>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</si>
  <si>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</si>
  <si>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</si>
  <si>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</si>
  <si>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</si>
  <si>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</si>
  <si>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</si>
  <si>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</si>
  <si>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</si>
  <si>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</si>
  <si>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</si>
  <si>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</si>
  <si>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</si>
  <si>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</si>
  <si>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</si>
  <si>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</si>
  <si>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</si>
  <si>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</si>
  <si>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</si>
  <si>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</si>
  <si>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</si>
  <si>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</si>
  <si>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</si>
  <si>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</si>
  <si>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</si>
  <si>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</si>
  <si>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</si>
  <si>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</si>
  <si>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</si>
  <si>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</si>
  <si>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</si>
  <si>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</si>
  <si>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</si>
  <si>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</si>
  <si>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</si>
  <si>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</si>
  <si>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</si>
  <si>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</si>
  <si>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</si>
  <si>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</si>
  <si>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</si>
  <si>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</si>
  <si>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</si>
  <si>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</si>
  <si>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</si>
  <si>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</si>
  <si>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</si>
  <si>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</si>
  <si>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</si>
  <si>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</si>
  <si>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</si>
  <si>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</si>
  <si>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</si>
  <si>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</si>
  <si>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</si>
  <si>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</si>
  <si>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</si>
  <si>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</si>
  <si>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</si>
  <si>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</si>
  <si>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</si>
  <si>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</si>
  <si>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</si>
  <si>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</si>
  <si>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</si>
  <si>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</si>
  <si>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</si>
  <si>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</si>
  <si>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</si>
  <si>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</si>
  <si>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</si>
  <si>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</si>
  <si>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</si>
  <si>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</si>
  <si>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</si>
  <si>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</si>
  <si>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</si>
  <si>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</si>
  <si>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</si>
  <si>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</si>
  <si>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</si>
  <si>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</si>
  <si>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</si>
  <si>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</si>
  <si>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</si>
  <si>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</si>
  <si>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</si>
  <si>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</si>
  <si>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</si>
  <si>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</si>
  <si>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</si>
  <si>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</si>
  <si>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</si>
  <si>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</si>
  <si>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</si>
  <si>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</si>
  <si>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</si>
  <si>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</si>
  <si>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</si>
  <si>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</si>
  <si>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</si>
  <si>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</si>
  <si>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</si>
  <si>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</si>
  <si>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</si>
  <si>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</si>
  <si>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</si>
  <si>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</si>
  <si>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</si>
  <si>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</si>
  <si>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</si>
  <si>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</si>
  <si>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</si>
  <si>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</si>
  <si>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</si>
  <si>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</si>
  <si>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</si>
  <si>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</si>
  <si>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</si>
  <si>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</si>
  <si>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</si>
  <si>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</si>
  <si>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</si>
  <si>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</si>
  <si>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</si>
  <si>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</si>
  <si>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</si>
  <si>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</si>
  <si>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</si>
  <si>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</si>
  <si>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</si>
  <si>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</si>
  <si>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</si>
  <si>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</si>
  <si>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</si>
  <si>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</si>
  <si>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</si>
  <si>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</si>
  <si>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</si>
  <si>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</si>
  <si>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</si>
  <si>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</si>
  <si>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</si>
  <si>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</si>
  <si>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</si>
  <si>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</si>
  <si>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</si>
  <si>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</si>
  <si>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</si>
  <si>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</si>
  <si>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</si>
  <si>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</si>
  <si>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</si>
  <si>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</si>
  <si>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</si>
  <si>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</si>
  <si>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</si>
  <si>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</si>
  <si>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</si>
  <si>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</si>
  <si>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</si>
  <si>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</si>
  <si>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</si>
  <si>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</si>
  <si>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</si>
  <si>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</si>
  <si>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</si>
  <si>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</si>
  <si>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</si>
  <si>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</si>
  <si>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</si>
  <si>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</si>
  <si>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</si>
  <si>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</si>
  <si>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</si>
  <si>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</si>
  <si>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</si>
  <si>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</si>
  <si>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</si>
  <si>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</si>
  <si>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</si>
  <si>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</si>
  <si>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</si>
  <si>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</si>
  <si>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</si>
  <si>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</si>
  <si>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</si>
  <si>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</si>
  <si>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</si>
  <si>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</si>
  <si>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</si>
  <si>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</si>
  <si>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</si>
  <si>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</si>
  <si>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</si>
  <si>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</si>
  <si>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</si>
  <si>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</si>
  <si>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</si>
  <si>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</si>
  <si>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</si>
  <si>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</si>
  <si>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</si>
  <si>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</si>
  <si>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</si>
  <si>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</si>
  <si>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</si>
  <si>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</si>
  <si>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</si>
  <si>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</si>
  <si>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</si>
  <si>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</si>
  <si>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</si>
  <si>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</si>
  <si>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</si>
  <si>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</si>
  <si>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</si>
  <si>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</si>
  <si>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</si>
  <si>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</si>
  <si>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</si>
  <si>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</si>
  <si>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</si>
  <si>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</si>
  <si>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</si>
  <si>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</si>
  <si>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</si>
  <si>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</si>
  <si>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</si>
  <si>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</si>
  <si>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</si>
  <si>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</si>
  <si>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</si>
  <si>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</si>
  <si>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</si>
  <si>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</si>
  <si>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</si>
  <si>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</si>
  <si>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</si>
  <si>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</si>
  <si>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</si>
  <si>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</si>
  <si>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</si>
  <si>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</si>
  <si>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</si>
  <si>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</si>
  <si>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</si>
  <si>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</si>
  <si>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</si>
  <si>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</si>
  <si>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</si>
  <si>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</si>
  <si>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</si>
  <si>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</si>
  <si>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</si>
  <si>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</si>
  <si>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</si>
  <si>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</si>
  <si>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</si>
  <si>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</si>
  <si>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</si>
  <si>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</si>
  <si>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</si>
  <si>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</si>
  <si>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</si>
  <si>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</si>
  <si>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</si>
  <si>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</si>
  <si>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</si>
  <si>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</si>
  <si>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</si>
  <si>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</si>
  <si>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</si>
  <si>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</si>
  <si>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</si>
  <si>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</si>
  <si>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</si>
  <si>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</si>
  <si>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</si>
  <si>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</si>
  <si>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</si>
  <si>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</si>
  <si>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</si>
  <si>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</si>
  <si>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</si>
  <si>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</si>
  <si>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</si>
  <si>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</si>
  <si>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</si>
  <si>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</si>
  <si>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</si>
  <si>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</si>
  <si>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</si>
  <si>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</si>
  <si>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</si>
  <si>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</si>
  <si>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</si>
  <si>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</si>
  <si>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</si>
  <si>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</si>
  <si>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</si>
  <si>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</si>
  <si>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</si>
  <si>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</si>
  <si>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</si>
  <si>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</si>
  <si>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</si>
  <si>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</si>
  <si>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</si>
  <si>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</si>
  <si>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</si>
  <si>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</si>
  <si>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</si>
  <si>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</si>
  <si>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</si>
  <si>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</si>
  <si>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</si>
  <si>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</si>
  <si>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</si>
  <si>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</si>
  <si>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</si>
  <si>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</si>
  <si>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</si>
  <si>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</si>
  <si>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</si>
  <si>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</si>
  <si>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</si>
  <si>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</si>
  <si>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</si>
  <si>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</si>
  <si>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</si>
  <si>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</si>
  <si>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</si>
  <si>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</si>
  <si>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</si>
  <si>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</si>
  <si>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</si>
  <si>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</si>
  <si>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</si>
  <si>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</si>
  <si>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</si>
  <si>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</si>
  <si>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</si>
  <si>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</si>
  <si>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</si>
  <si>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</si>
  <si>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</si>
  <si>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</si>
  <si>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</si>
  <si>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</si>
  <si>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</si>
  <si>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</si>
  <si>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</si>
  <si>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</si>
  <si>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</si>
  <si>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</si>
  <si>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</si>
  <si>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</si>
  <si>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</si>
  <si>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</si>
  <si>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</si>
  <si>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</si>
  <si>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</si>
  <si>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</si>
  <si>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</si>
  <si>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</si>
  <si>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</si>
  <si>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</si>
  <si>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</si>
  <si>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</si>
  <si>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</si>
  <si>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</si>
  <si>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</si>
  <si>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</si>
  <si>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</si>
  <si>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</si>
  <si>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</si>
  <si>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</si>
  <si>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</si>
  <si>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</si>
  <si>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</si>
  <si>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</si>
  <si>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</si>
  <si>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</si>
  <si>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</si>
  <si>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</si>
  <si>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</si>
  <si>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</si>
  <si>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</si>
  <si>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</si>
  <si>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</si>
  <si>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</si>
  <si>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</si>
  <si>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</si>
  <si>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</si>
  <si>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</si>
  <si>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</si>
  <si>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</si>
  <si>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</si>
  <si>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</si>
  <si>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</si>
  <si>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</si>
  <si>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</si>
  <si>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</si>
  <si>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</si>
  <si>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</si>
  <si>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</si>
  <si>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</si>
  <si>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</si>
  <si>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</si>
  <si>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</si>
  <si>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</si>
  <si>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</si>
  <si>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</si>
  <si>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</si>
  <si>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</si>
  <si>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</si>
  <si>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</si>
  <si>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</si>
  <si>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</si>
  <si>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</si>
  <si>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</si>
  <si>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</si>
  <si>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</si>
  <si>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</si>
  <si>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</si>
  <si>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</si>
  <si>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</si>
  <si>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</si>
  <si>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</si>
  <si>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</si>
  <si>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</si>
  <si>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</si>
  <si>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</si>
  <si>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</si>
  <si>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</si>
  <si>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</si>
  <si>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</si>
  <si>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</si>
  <si>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</si>
  <si>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</si>
  <si>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</si>
  <si>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</si>
  <si>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</si>
  <si>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</si>
  <si>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</si>
  <si>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</si>
  <si>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</si>
  <si>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</si>
  <si>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</si>
  <si>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</si>
  <si>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</si>
  <si>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</si>
  <si>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</si>
  <si>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</si>
  <si>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</si>
  <si>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</si>
  <si>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</si>
  <si>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</si>
  <si>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</si>
  <si>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</si>
  <si>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</si>
  <si>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</si>
  <si>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</si>
  <si>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</si>
  <si>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</si>
  <si>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</si>
  <si>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</si>
  <si>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</si>
  <si>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</si>
  <si>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</si>
  <si>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</si>
  <si>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</si>
  <si>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</si>
  <si>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</si>
  <si>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</si>
  <si>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</si>
  <si>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</si>
  <si>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</si>
  <si>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</si>
  <si>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</si>
  <si>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</si>
  <si>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</si>
  <si>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</si>
  <si>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</si>
  <si>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</si>
  <si>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</si>
  <si>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</si>
  <si>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</si>
  <si>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</si>
  <si>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</si>
  <si>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</si>
  <si>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</si>
  <si>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</si>
  <si>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</si>
  <si>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</si>
  <si>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</si>
  <si>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</si>
  <si>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</si>
  <si>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</si>
  <si>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</si>
  <si>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</si>
  <si>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</si>
  <si>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</si>
  <si>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</si>
  <si>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</si>
  <si>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</si>
  <si>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</si>
  <si>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</si>
  <si>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</si>
  <si>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</si>
  <si>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</si>
  <si>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</si>
  <si>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</si>
  <si>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</si>
  <si>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</si>
  <si>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</si>
  <si>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</si>
  <si>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</si>
  <si>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</si>
  <si>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</si>
  <si>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</si>
  <si>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</si>
  <si>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</si>
  <si>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</si>
  <si>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</si>
  <si>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</si>
  <si>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</si>
  <si>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</si>
  <si>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</si>
  <si>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</si>
  <si>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</si>
  <si>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</si>
  <si>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</si>
  <si>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</si>
  <si>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</si>
  <si>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</si>
  <si>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</si>
  <si>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</si>
  <si>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</si>
  <si>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</si>
  <si>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</si>
  <si>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</si>
  <si>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</si>
  <si>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</si>
  <si>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</si>
  <si>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</si>
  <si>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</si>
  <si>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</si>
  <si>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</si>
  <si>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</si>
  <si>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</si>
  <si>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</si>
  <si>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</si>
  <si>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</si>
  <si>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</si>
  <si>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</si>
  <si>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</si>
  <si>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</si>
  <si>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</si>
  <si>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</si>
  <si>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</si>
  <si>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</si>
  <si>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</si>
  <si>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</si>
  <si>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</si>
  <si>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</si>
  <si>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</si>
  <si>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</si>
  <si>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</si>
  <si>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</si>
  <si>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</si>
  <si>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</si>
  <si>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</si>
  <si>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</si>
  <si>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</si>
  <si>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</si>
  <si>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</si>
  <si>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</si>
  <si>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</si>
  <si>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</si>
  <si>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</si>
  <si>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</si>
  <si>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</si>
  <si>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</si>
  <si>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</si>
  <si>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</si>
  <si>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</si>
  <si>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</si>
  <si>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</si>
  <si>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</si>
  <si>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</si>
  <si>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</si>
  <si>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</si>
  <si>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</si>
  <si>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</si>
  <si>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</si>
  <si>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</si>
  <si>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</si>
  <si>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</si>
  <si>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</si>
  <si>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</si>
  <si>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</si>
  <si>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</si>
  <si>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</si>
  <si>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</si>
  <si>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</si>
  <si>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</si>
  <si>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</si>
  <si>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</si>
  <si>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</si>
  <si>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</si>
  <si>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</si>
  <si>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</si>
  <si>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</si>
  <si>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</si>
  <si>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</si>
  <si>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</si>
  <si>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</si>
  <si>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</si>
  <si>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</si>
  <si>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</si>
  <si>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</si>
  <si>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</si>
  <si>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</si>
  <si>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</si>
  <si>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</si>
  <si>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</si>
  <si>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</si>
  <si>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</si>
  <si>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</si>
  <si>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</si>
  <si>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</si>
  <si>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</si>
  <si>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</si>
  <si>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</si>
  <si>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</si>
  <si>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</si>
  <si>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</si>
  <si>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</si>
  <si>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</si>
  <si>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</si>
  <si>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</si>
  <si>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</si>
  <si>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</si>
  <si>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</si>
  <si>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</si>
  <si>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</si>
  <si>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</si>
  <si>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</si>
  <si>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</si>
  <si>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</si>
  <si>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</si>
  <si>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</si>
  <si>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</si>
  <si>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</si>
  <si>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</si>
  <si>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</si>
  <si>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</si>
  <si>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</si>
  <si>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</si>
  <si>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</si>
  <si>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</si>
  <si>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</si>
  <si>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</si>
  <si>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</si>
  <si>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</si>
  <si>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</si>
  <si>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</si>
  <si>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</si>
  <si>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</si>
  <si>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</si>
  <si>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</si>
  <si>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</si>
  <si>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</si>
  <si>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</si>
  <si>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</si>
  <si>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</si>
  <si>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</si>
  <si>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</si>
  <si>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</si>
  <si>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</si>
  <si>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</si>
  <si>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</si>
  <si>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</si>
  <si>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</si>
  <si>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</si>
  <si>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</si>
  <si>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</si>
  <si>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</si>
  <si>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</si>
  <si>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</si>
  <si>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</si>
  <si>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</si>
  <si>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</si>
  <si>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</si>
  <si>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</si>
  <si>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</si>
  <si>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</si>
  <si>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</si>
  <si>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</si>
  <si>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</si>
  <si>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</si>
  <si>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</si>
  <si>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</si>
  <si>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</si>
  <si>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</si>
  <si>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</si>
  <si>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</si>
  <si>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</si>
  <si>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</si>
  <si>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</si>
  <si>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</si>
  <si>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</si>
  <si>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</si>
  <si>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</si>
  <si>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</si>
  <si>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</si>
  <si>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</si>
  <si>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</si>
  <si>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</si>
  <si>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</si>
  <si>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</si>
  <si>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</si>
  <si>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</si>
  <si>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</si>
  <si>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</si>
  <si>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</si>
  <si>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</si>
  <si>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</si>
  <si>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</si>
  <si>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</si>
  <si>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</si>
  <si>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</si>
  <si>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</si>
  <si>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</si>
  <si>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</si>
  <si>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</si>
  <si>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</si>
  <si>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</si>
  <si>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</si>
  <si>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</si>
  <si>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</si>
  <si>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</si>
  <si>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</si>
  <si>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</si>
  <si>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</si>
  <si>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</si>
  <si>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</si>
  <si>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</si>
  <si>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</si>
  <si>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</si>
  <si>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</si>
  <si>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</si>
  <si>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</si>
  <si>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</si>
  <si>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</si>
  <si>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</si>
  <si>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</si>
  <si>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</si>
  <si>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</si>
  <si>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</si>
  <si>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</si>
  <si>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</si>
  <si>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</si>
  <si>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</si>
  <si>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</si>
  <si>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</si>
  <si>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</si>
  <si>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</si>
  <si>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</si>
  <si>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</si>
  <si>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</si>
  <si>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</si>
  <si>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</si>
  <si>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</si>
  <si>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</si>
  <si>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</si>
  <si>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</si>
  <si>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</si>
  <si>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</si>
  <si>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</si>
  <si>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</si>
  <si>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</si>
  <si>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</si>
  <si>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</si>
  <si>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</si>
  <si>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</si>
  <si>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</si>
  <si>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</si>
  <si>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</si>
  <si>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</si>
  <si>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</si>
  <si>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</si>
  <si>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</si>
  <si>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</si>
  <si>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</si>
  <si>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</si>
  <si>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</si>
  <si>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</si>
  <si>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</si>
  <si>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</si>
  <si>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</si>
  <si>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</si>
  <si>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</si>
  <si>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</si>
  <si>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</si>
  <si>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</si>
  <si>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</si>
  <si>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</si>
  <si>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</si>
  <si>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</si>
  <si>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</si>
  <si>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</si>
  <si>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</si>
  <si>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</si>
  <si>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</si>
  <si>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</si>
  <si>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</si>
  <si>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</si>
  <si>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</si>
  <si>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</si>
  <si>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</si>
  <si>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</si>
  <si>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</si>
  <si>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</si>
  <si>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</si>
  <si>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</si>
  <si>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</si>
  <si>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</si>
  <si>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</si>
  <si>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</si>
  <si>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</si>
  <si>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</si>
  <si>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</si>
  <si>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</si>
  <si>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</si>
  <si>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</si>
  <si>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</si>
  <si>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</si>
  <si>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</si>
  <si>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</si>
  <si>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</si>
  <si>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</si>
  <si>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</si>
  <si>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</si>
  <si>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</si>
  <si>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</si>
  <si>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</si>
  <si>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</si>
  <si>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</si>
  <si>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</si>
  <si>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</si>
  <si>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</si>
  <si>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</si>
  <si>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</si>
  <si>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</si>
  <si>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</si>
  <si>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</si>
  <si>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</si>
  <si>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</si>
  <si>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</si>
  <si>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</si>
  <si>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</si>
  <si>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</si>
  <si>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</si>
  <si>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</si>
  <si>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</si>
  <si>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</si>
  <si>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</si>
  <si>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</si>
  <si>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</si>
  <si>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</si>
  <si>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</si>
  <si>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</si>
  <si>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</si>
  <si>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</si>
  <si>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</si>
  <si>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</si>
  <si>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</si>
  <si>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</si>
  <si>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</si>
  <si>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</si>
  <si>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</si>
  <si>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</si>
  <si>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</si>
  <si>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</si>
  <si>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</si>
  <si>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</si>
  <si>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</si>
  <si>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</si>
  <si>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</si>
  <si>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</si>
  <si>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</si>
  <si>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</si>
  <si>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</si>
  <si>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</si>
  <si>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</si>
  <si>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</si>
  <si>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</si>
  <si>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</si>
  <si>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</si>
  <si>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</si>
  <si>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</si>
  <si>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</si>
  <si>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</si>
  <si>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</si>
  <si>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</si>
  <si>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</si>
  <si>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</si>
  <si>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</si>
  <si>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</si>
  <si>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</si>
  <si>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</si>
  <si>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</si>
  <si>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</si>
  <si>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</si>
  <si>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</si>
  <si>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</si>
  <si>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</si>
  <si>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</si>
  <si>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</si>
  <si>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</si>
  <si>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</si>
  <si>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</si>
  <si>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</si>
  <si>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</si>
  <si>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</si>
  <si>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</si>
  <si>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</si>
  <si>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</si>
  <si>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</si>
  <si>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</si>
  <si>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</si>
  <si>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</si>
  <si>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</si>
  <si>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</si>
  <si>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</si>
  <si>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</si>
  <si>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</si>
  <si>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</si>
  <si>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</si>
  <si>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</si>
  <si>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</si>
  <si>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</si>
  <si>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</si>
  <si>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</si>
  <si>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</si>
  <si>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</si>
  <si>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</si>
  <si>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</si>
  <si>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</si>
  <si>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</si>
  <si>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</si>
  <si>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</si>
  <si>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</si>
  <si>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</si>
  <si>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</si>
  <si>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</si>
  <si>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</si>
  <si>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</si>
  <si>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</si>
  <si>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</si>
  <si>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</si>
  <si>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</si>
  <si>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</si>
  <si>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</si>
  <si>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</si>
  <si>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</si>
  <si>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</si>
  <si>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</si>
  <si>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</si>
  <si>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</si>
  <si>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</si>
  <si>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</si>
  <si>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</si>
  <si>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</si>
  <si>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</si>
  <si>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</si>
  <si>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</si>
  <si>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</si>
  <si>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</si>
  <si>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</si>
  <si>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</si>
  <si>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</si>
  <si>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</si>
  <si>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</si>
  <si>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</si>
  <si>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</si>
  <si>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</si>
  <si>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</si>
  <si>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</si>
  <si>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</si>
  <si>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</si>
  <si>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</si>
  <si>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</si>
  <si>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</si>
  <si>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</si>
  <si>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</si>
  <si>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</si>
  <si>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</si>
  <si>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</si>
  <si>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</si>
  <si>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</si>
  <si>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</si>
  <si>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</si>
  <si>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</si>
  <si>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</si>
  <si>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</si>
  <si>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</si>
  <si>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</si>
  <si>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</si>
  <si>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</si>
  <si>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</si>
  <si>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</si>
  <si>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</si>
  <si>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</si>
  <si>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</si>
  <si>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</si>
  <si>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</si>
  <si>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</si>
  <si>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</si>
  <si>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</si>
  <si>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</si>
  <si>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</si>
  <si>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</si>
  <si>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</si>
  <si>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</si>
  <si>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</si>
  <si>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</si>
  <si>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</si>
  <si>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</si>
  <si>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</si>
  <si>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</si>
  <si>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</si>
  <si>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</si>
  <si>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</si>
  <si>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</si>
  <si>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</si>
  <si>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</si>
  <si>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</si>
  <si>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</si>
  <si>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</si>
  <si>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</si>
  <si>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</si>
  <si>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</si>
  <si>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</si>
  <si>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</si>
  <si>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</si>
  <si>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</si>
  <si>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</si>
  <si>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</si>
  <si>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</si>
  <si>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</si>
  <si>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</si>
  <si>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</si>
  <si>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</si>
  <si>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</si>
  <si>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</si>
  <si>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</si>
  <si>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</si>
  <si>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</si>
  <si>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</si>
  <si>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</si>
  <si>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</si>
  <si>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</si>
  <si>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</si>
  <si>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</si>
  <si>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</si>
  <si>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</si>
  <si>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</si>
  <si>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</si>
  <si>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</si>
  <si>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</si>
  <si>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</si>
  <si>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</si>
  <si>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</si>
  <si>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</si>
  <si>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</si>
  <si>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</si>
  <si>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</si>
  <si>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</si>
  <si>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</si>
  <si>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</si>
  <si>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</si>
  <si>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</si>
  <si>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</si>
  <si>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</si>
  <si>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</si>
  <si>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</si>
  <si>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</si>
  <si>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</si>
  <si>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</si>
  <si>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</si>
  <si>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</si>
  <si>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</si>
  <si>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</si>
  <si>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</si>
  <si>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</si>
  <si>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</si>
  <si>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</si>
  <si>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</si>
  <si>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</si>
  <si>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</si>
  <si>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</si>
  <si>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</si>
  <si>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</si>
  <si>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</si>
  <si>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</si>
  <si>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</si>
  <si>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</si>
  <si>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</si>
  <si>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</si>
  <si>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</si>
  <si>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</si>
  <si>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</si>
  <si>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</si>
  <si>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</si>
  <si>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</si>
  <si>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</si>
  <si>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</si>
  <si>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</si>
  <si>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</si>
  <si>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</si>
  <si>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</si>
  <si>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</si>
  <si>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</si>
  <si>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</si>
  <si>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</si>
  <si>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</si>
  <si>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</si>
  <si>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</si>
  <si>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</si>
  <si>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</si>
  <si>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</si>
  <si>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</si>
  <si>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</si>
  <si>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</si>
  <si>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</si>
  <si>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</si>
  <si>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</si>
  <si>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</si>
  <si>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</si>
  <si>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</si>
  <si>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</si>
  <si>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</si>
  <si>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</si>
  <si>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</si>
  <si>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</si>
  <si>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</si>
  <si>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</si>
  <si>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</si>
  <si>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</si>
  <si>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</si>
  <si>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</si>
  <si>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</si>
  <si>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</si>
  <si>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</si>
  <si>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</si>
  <si>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</si>
  <si>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</si>
  <si>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</si>
  <si>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</si>
  <si>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</si>
  <si>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</si>
  <si>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</si>
  <si>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</si>
  <si>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</si>
  <si>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</si>
  <si>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</si>
  <si>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</si>
  <si>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</si>
  <si>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</si>
  <si>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</si>
  <si>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</si>
  <si>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</si>
  <si>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</si>
  <si>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</si>
  <si>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</si>
  <si>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</si>
  <si>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</si>
  <si>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</si>
  <si>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</si>
  <si>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</si>
  <si>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</si>
  <si>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</si>
  <si>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</si>
  <si>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</si>
  <si>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</si>
  <si>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</si>
  <si>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</si>
  <si>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</si>
  <si>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</si>
  <si>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</si>
  <si>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</si>
  <si>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</si>
  <si>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</si>
  <si>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</si>
  <si>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</si>
  <si>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</si>
  <si>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</si>
  <si>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</si>
  <si>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</si>
  <si>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</si>
  <si>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</si>
  <si>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</si>
  <si>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</si>
  <si>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</si>
  <si>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</si>
  <si>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</si>
  <si>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</si>
  <si>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</si>
  <si>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</si>
  <si>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</si>
  <si>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</si>
  <si>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</si>
  <si>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</si>
  <si>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</si>
  <si>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</si>
  <si>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</si>
  <si>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</si>
  <si>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</si>
  <si>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</si>
  <si>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</si>
  <si>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</si>
  <si>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</si>
  <si>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</si>
  <si>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</si>
  <si>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</si>
  <si>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</si>
  <si>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</si>
  <si>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</si>
  <si>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</si>
  <si>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</si>
  <si>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</si>
  <si>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</si>
  <si>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</si>
  <si>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</si>
  <si>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</si>
  <si>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</si>
  <si>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</si>
  <si>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</si>
  <si>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</si>
  <si>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</si>
  <si>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</si>
  <si>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</si>
  <si>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</si>
  <si>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</si>
  <si>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</si>
  <si>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</si>
  <si>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</si>
  <si>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</si>
  <si>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</si>
  <si>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</si>
  <si>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</si>
  <si>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</si>
  <si>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</si>
  <si>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</si>
  <si>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</si>
  <si>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</si>
  <si>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</si>
  <si>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</si>
  <si>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</si>
  <si>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</si>
  <si>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</si>
  <si>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</si>
  <si>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</si>
  <si>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</si>
  <si>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</si>
  <si>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</si>
  <si>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</si>
  <si>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</si>
  <si>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</si>
  <si>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</si>
  <si>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</si>
  <si>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</si>
  <si>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</si>
  <si>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</si>
  <si>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</si>
  <si>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</si>
  <si>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</si>
  <si>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</si>
  <si>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</si>
  <si>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</si>
  <si>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</si>
  <si>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</si>
  <si>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</si>
  <si>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</si>
  <si>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</si>
  <si>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</si>
  <si>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</si>
  <si>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</si>
  <si>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</si>
  <si>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</si>
  <si>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</si>
  <si>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</si>
  <si>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</si>
  <si>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</si>
  <si>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</si>
  <si>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</si>
  <si>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</si>
  <si>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</si>
  <si>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</si>
  <si>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</si>
  <si>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</si>
  <si>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</si>
  <si>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</si>
  <si>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</si>
  <si>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</si>
  <si>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</si>
  <si>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</si>
  <si>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</si>
  <si>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</si>
  <si>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</si>
  <si>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</si>
  <si>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</si>
  <si>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</si>
  <si>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</si>
  <si>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</si>
  <si>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</si>
  <si>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</si>
  <si>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</si>
  <si>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</si>
  <si>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</si>
  <si>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</si>
  <si>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</si>
  <si>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</si>
  <si>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</si>
  <si>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</si>
  <si>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</si>
  <si>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</si>
  <si>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</si>
  <si>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</si>
  <si>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</si>
  <si>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</si>
  <si>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</si>
  <si>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</si>
  <si>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</si>
  <si>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</si>
  <si>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</si>
  <si>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</si>
  <si>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</si>
  <si>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</si>
  <si>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</si>
  <si>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</si>
  <si>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</si>
  <si>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</si>
  <si>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</si>
  <si>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</si>
  <si>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</si>
  <si>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</si>
  <si>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</si>
  <si>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</si>
  <si>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</si>
  <si>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</si>
  <si>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</si>
  <si>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</si>
  <si>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</si>
  <si>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</si>
  <si>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</si>
  <si>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</si>
  <si>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</si>
  <si>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</si>
  <si>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</si>
  <si>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</si>
  <si>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</si>
  <si>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</si>
  <si>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</si>
  <si>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</si>
  <si>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</si>
  <si>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</si>
  <si>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</si>
  <si>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</si>
  <si>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</si>
  <si>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</si>
  <si>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</si>
  <si>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</si>
  <si>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</si>
  <si>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</si>
  <si>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</si>
  <si>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</si>
  <si>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</si>
  <si>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</si>
  <si>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</si>
  <si>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</si>
  <si>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</si>
  <si>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</si>
  <si>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</si>
  <si>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</si>
  <si>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</si>
  <si>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</si>
  <si>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</si>
  <si>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</si>
  <si>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</si>
  <si>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</si>
  <si>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</si>
  <si>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</si>
  <si>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</si>
  <si>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</si>
  <si>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</si>
  <si>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</si>
  <si>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</si>
  <si>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</si>
  <si>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</si>
  <si>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</si>
  <si>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</si>
  <si>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</si>
  <si>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</si>
  <si>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</si>
  <si>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</si>
  <si>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</si>
  <si>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</si>
  <si>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</si>
  <si>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</si>
  <si>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</si>
  <si>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</si>
  <si>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</si>
  <si>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</si>
  <si>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</si>
  <si>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</si>
  <si>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</si>
  <si>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</si>
  <si>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</si>
  <si>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</si>
  <si>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</si>
  <si>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</si>
  <si>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</si>
  <si>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</si>
  <si>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</si>
  <si>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</si>
  <si>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</si>
  <si>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</si>
  <si>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</si>
  <si>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</si>
  <si>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</si>
  <si>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</si>
  <si>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</si>
  <si>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</si>
  <si>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</si>
  <si>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</si>
  <si>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</si>
  <si>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</si>
  <si>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</si>
  <si>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</si>
  <si>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</si>
  <si>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</si>
  <si>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</si>
  <si>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</si>
  <si>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</si>
  <si>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</si>
  <si>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</si>
  <si>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</si>
  <si>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</si>
  <si>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</si>
  <si>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</si>
  <si>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</si>
  <si>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</si>
  <si>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</si>
  <si>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</si>
  <si>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</si>
  <si>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</si>
  <si>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</si>
  <si>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</si>
  <si>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</si>
  <si>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</si>
  <si>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</si>
  <si>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</si>
  <si>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</si>
  <si>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</si>
  <si>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</si>
  <si>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</si>
  <si>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</si>
  <si>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</si>
  <si>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</si>
  <si>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</si>
  <si>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</si>
  <si>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</si>
  <si>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</si>
  <si>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</si>
  <si>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</si>
  <si>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</si>
  <si>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</si>
  <si>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</si>
  <si>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</si>
  <si>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</si>
  <si>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</si>
  <si>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</si>
  <si>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</si>
  <si>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</si>
  <si>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</si>
  <si>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</si>
  <si>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</si>
  <si>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</si>
  <si>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</si>
  <si>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</si>
  <si>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</si>
  <si>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</si>
  <si>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</si>
  <si>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</si>
  <si>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</si>
  <si>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</si>
  <si>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</si>
  <si>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</si>
  <si>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</si>
  <si>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</si>
  <si>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</si>
  <si>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</si>
  <si>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</si>
  <si>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</si>
  <si>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</si>
  <si>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</si>
  <si>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</si>
  <si>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</si>
  <si>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</si>
  <si>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</si>
  <si>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</si>
  <si>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</si>
  <si>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</si>
  <si>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</si>
  <si>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</si>
  <si>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</si>
  <si>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</si>
  <si>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</si>
  <si>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</si>
  <si>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</si>
  <si>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</si>
  <si>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</si>
  <si>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</si>
  <si>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</si>
  <si>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</si>
  <si>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</si>
  <si>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</si>
  <si>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</si>
  <si>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</si>
  <si>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</si>
  <si>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</si>
  <si>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</si>
  <si>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</si>
  <si>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</si>
  <si>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</si>
  <si>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</si>
  <si>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</si>
  <si>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</si>
  <si>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</si>
  <si>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</si>
  <si>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</si>
  <si>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</si>
  <si>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</si>
  <si>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</si>
  <si>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</si>
  <si>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</si>
  <si>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</si>
  <si>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</si>
  <si>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</si>
  <si>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</si>
  <si>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</si>
  <si>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</si>
  <si>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</si>
  <si>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</si>
  <si>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</si>
  <si>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</si>
  <si>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</si>
  <si>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</si>
  <si>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</si>
  <si>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</si>
  <si>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</si>
  <si>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</si>
  <si>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</si>
  <si>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</si>
  <si>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</si>
  <si>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</si>
  <si>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</si>
  <si>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</si>
  <si>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</si>
  <si>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</si>
  <si>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</si>
  <si>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</si>
  <si>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</si>
  <si>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</si>
  <si>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</si>
  <si>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</si>
  <si>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</si>
  <si>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</si>
  <si>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</si>
  <si>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</si>
  <si>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</si>
  <si>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</si>
  <si>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</si>
  <si>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</si>
  <si>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</si>
  <si>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</si>
  <si>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</si>
  <si>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</si>
  <si>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</si>
  <si>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</si>
  <si>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</si>
  <si>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</si>
  <si>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</si>
  <si>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</si>
  <si>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</si>
  <si>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</si>
  <si>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</si>
  <si>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</si>
  <si>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</si>
  <si>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</si>
  <si>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</si>
  <si>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</si>
  <si>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</si>
  <si>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</si>
  <si>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</si>
  <si>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</si>
  <si>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</si>
  <si>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</si>
  <si>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</si>
  <si>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</si>
  <si>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</si>
  <si>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</si>
  <si>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</si>
  <si>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</si>
  <si>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</si>
  <si>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</si>
  <si>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</si>
  <si>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</si>
  <si>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</si>
  <si>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</si>
  <si>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</si>
  <si>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</si>
  <si>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</si>
  <si>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</si>
  <si>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</si>
  <si>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</si>
  <si>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</si>
  <si>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</si>
  <si>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</si>
  <si>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</si>
  <si>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</si>
  <si>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</si>
  <si>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</si>
  <si>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</si>
  <si>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</si>
  <si>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</si>
  <si>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</si>
  <si>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</si>
  <si>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</si>
  <si>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</si>
  <si>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</si>
  <si>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</si>
  <si>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</si>
  <si>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</si>
  <si>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</si>
  <si>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</si>
  <si>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</si>
  <si>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</si>
  <si>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</si>
  <si>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</si>
  <si>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</si>
  <si>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</si>
  <si>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</si>
  <si>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</si>
  <si>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</si>
  <si>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</si>
  <si>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</si>
  <si>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</si>
  <si>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</si>
  <si>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</si>
  <si>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</si>
  <si>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</si>
  <si>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</si>
  <si>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</si>
  <si>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</si>
  <si>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</si>
  <si>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</si>
  <si>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</si>
  <si>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</si>
  <si>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</si>
  <si>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</si>
  <si>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</si>
  <si>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</si>
  <si>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</si>
  <si>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</si>
  <si>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</si>
  <si>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</si>
  <si>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</si>
  <si>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</si>
  <si>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</si>
  <si>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</si>
  <si>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</si>
  <si>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</si>
  <si>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</si>
  <si>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</si>
  <si>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</si>
  <si>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</si>
  <si>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</si>
  <si>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</si>
  <si>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</si>
  <si>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</si>
  <si>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</si>
  <si>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</si>
  <si>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</si>
  <si>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</si>
  <si>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</si>
  <si>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</si>
  <si>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</si>
  <si>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</si>
  <si>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</si>
  <si>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</si>
  <si>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</si>
  <si>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</si>
  <si>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</si>
  <si>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</si>
  <si>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</si>
  <si>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</si>
  <si>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</si>
  <si>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</si>
  <si>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</si>
  <si>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</si>
  <si>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</si>
  <si>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</si>
  <si>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</si>
  <si>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</si>
  <si>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</si>
  <si>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</si>
  <si>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</si>
  <si>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</si>
  <si>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</si>
  <si>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</si>
  <si>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</si>
  <si>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</si>
  <si>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</si>
  <si>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</si>
  <si>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</si>
  <si>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</si>
  <si>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</si>
  <si>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</si>
  <si>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</si>
  <si>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</si>
  <si>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</si>
  <si>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</si>
  <si>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</si>
  <si>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</si>
  <si>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</si>
  <si>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</si>
  <si>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</si>
  <si>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</si>
  <si>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</si>
  <si>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</si>
  <si>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</si>
  <si>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</si>
  <si>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</si>
  <si>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</si>
  <si>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</si>
  <si>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</si>
  <si>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</si>
  <si>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</si>
  <si>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</si>
  <si>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</si>
  <si>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</si>
  <si>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</si>
  <si>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</si>
  <si>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</si>
  <si>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</si>
  <si>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</si>
  <si>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</si>
  <si>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</si>
  <si>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</si>
  <si>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</si>
  <si>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</si>
  <si>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</si>
  <si>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</si>
  <si>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</si>
  <si>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</si>
  <si>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</si>
  <si>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</si>
  <si>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</si>
  <si>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</si>
  <si>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</si>
  <si>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</si>
  <si>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</si>
  <si>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</si>
  <si>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</si>
  <si>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</si>
  <si>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</si>
  <si>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</si>
  <si>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</si>
  <si>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</si>
  <si>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</si>
  <si>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</si>
  <si>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</si>
  <si>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</si>
  <si>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</si>
  <si>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</si>
  <si>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</si>
  <si>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</si>
  <si>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</si>
  <si>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</si>
  <si>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</si>
  <si>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</si>
  <si>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</si>
  <si>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</si>
  <si>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</si>
  <si>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</si>
  <si>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</si>
  <si>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</si>
  <si>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</si>
  <si>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</si>
  <si>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</si>
  <si>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</si>
  <si>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</si>
  <si>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</si>
  <si>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</si>
  <si>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</si>
  <si>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</si>
  <si>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</si>
  <si>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</si>
  <si>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</si>
  <si>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</si>
  <si>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</si>
  <si>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</si>
  <si>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</si>
  <si>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</si>
  <si>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</si>
  <si>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</si>
  <si>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</si>
  <si>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</si>
  <si>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</si>
  <si>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</si>
  <si>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</si>
  <si>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</si>
  <si>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</si>
  <si>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</si>
  <si>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</si>
  <si>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</si>
  <si>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</si>
  <si>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</si>
  <si>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</si>
  <si>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</si>
  <si>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</si>
  <si>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</si>
  <si>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</si>
  <si>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</si>
  <si>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</si>
  <si>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</si>
  <si>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</si>
  <si>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</si>
  <si>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</si>
  <si>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</si>
  <si>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</si>
  <si>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</si>
  <si>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</si>
  <si>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</si>
  <si>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</si>
  <si>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</si>
  <si>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</si>
  <si>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</si>
  <si>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</si>
  <si>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</si>
  <si>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</si>
  <si>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</si>
  <si>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</si>
  <si>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</si>
  <si>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</si>
  <si>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</si>
  <si>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</si>
  <si>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</si>
  <si>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</si>
  <si>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</si>
  <si>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</si>
  <si>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</si>
  <si>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</si>
  <si>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</si>
  <si>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</si>
  <si>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</si>
  <si>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</si>
  <si>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</si>
  <si>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</si>
  <si>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</si>
  <si>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</si>
  <si>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</si>
  <si>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</si>
  <si>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</si>
  <si>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</si>
  <si>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</si>
  <si>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</si>
  <si>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</si>
  <si>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</si>
  <si>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</si>
  <si>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</si>
  <si>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</si>
  <si>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</si>
  <si>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</si>
  <si>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</si>
  <si>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</si>
  <si>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</si>
  <si>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</si>
  <si>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</si>
  <si>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</si>
  <si>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</si>
  <si>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</si>
  <si>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</si>
  <si>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</si>
  <si>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</si>
  <si>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</si>
  <si>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</si>
  <si>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</si>
  <si>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</si>
  <si>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</si>
  <si>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</si>
  <si>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</si>
  <si>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</si>
  <si>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</si>
  <si>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</si>
  <si>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</si>
  <si>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</si>
  <si>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</si>
  <si>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</si>
  <si>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</si>
  <si>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</si>
  <si>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</si>
  <si>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</si>
  <si>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</si>
  <si>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</si>
  <si>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</si>
  <si>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</si>
  <si>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</si>
  <si>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</si>
  <si>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</si>
  <si>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</si>
  <si>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</si>
  <si>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</si>
  <si>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</si>
  <si>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</si>
  <si>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</si>
  <si>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</si>
  <si>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</si>
  <si>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</si>
  <si>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</si>
  <si>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</si>
  <si>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</si>
  <si>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</si>
  <si>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</si>
  <si>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</si>
  <si>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</si>
  <si>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</si>
  <si>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</si>
  <si>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</si>
  <si>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</si>
  <si>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</si>
  <si>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</si>
  <si>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</si>
  <si>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</si>
  <si>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</si>
  <si>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</si>
  <si>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</si>
  <si>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</si>
  <si>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</si>
  <si>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</si>
  <si>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</si>
  <si>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</si>
  <si>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</si>
  <si>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</si>
  <si>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</si>
  <si>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</si>
  <si>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</si>
  <si>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</si>
  <si>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</si>
  <si>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</si>
  <si>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</si>
  <si>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</si>
  <si>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</si>
  <si>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</si>
  <si>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</si>
  <si>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</si>
  <si>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</si>
  <si>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</si>
  <si>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</si>
  <si>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</si>
  <si>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</si>
  <si>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</si>
  <si>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</si>
  <si>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</si>
  <si>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</si>
  <si>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</si>
  <si>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</si>
  <si>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</si>
  <si>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</si>
  <si>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</si>
  <si>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</si>
  <si>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</si>
  <si>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</si>
  <si>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</si>
  <si>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</si>
  <si>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</si>
  <si>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浙商金汇信托股份有限公司</t>
    <phoneticPr fontId="6" type="noConversion"/>
  </si>
  <si>
    <t>抵押</t>
  </si>
  <si>
    <t>房地产抵押价值</t>
  </si>
  <si>
    <t>福建宏辉房地产开发有限公司</t>
    <phoneticPr fontId="6" type="noConversion"/>
  </si>
  <si>
    <t>其他：</t>
  </si>
  <si>
    <t>企业</t>
  </si>
  <si>
    <t>福建省福州市</t>
    <phoneticPr fontId="6" type="noConversion"/>
  </si>
  <si>
    <r>
      <rPr>
        <sz val="12"/>
        <color theme="9" tint="-0.249977111117893"/>
        <rFont val="宋体"/>
        <family val="3"/>
        <charset val="134"/>
      </rPr>
      <t>闽侯县南屿镇晓岐村、元峰村</t>
    </r>
    <r>
      <rPr>
        <sz val="12"/>
        <color theme="9" tint="-0.249977111117893"/>
        <rFont val="Arial"/>
        <family val="2"/>
      </rPr>
      <t>“</t>
    </r>
    <r>
      <rPr>
        <sz val="12"/>
        <color theme="9" tint="-0.249977111117893"/>
        <rFont val="宋体"/>
        <family val="3"/>
        <charset val="134"/>
      </rPr>
      <t>南屿滨江城</t>
    </r>
    <r>
      <rPr>
        <sz val="12"/>
        <color theme="9" tint="-0.249977111117893"/>
        <rFont val="Arial"/>
        <family val="2"/>
      </rPr>
      <t>”</t>
    </r>
    <r>
      <rPr>
        <sz val="12"/>
        <color theme="9" tint="-0.249977111117893"/>
        <rFont val="宋体"/>
        <family val="3"/>
        <charset val="134"/>
      </rPr>
      <t>项目</t>
    </r>
    <phoneticPr fontId="6" type="noConversion"/>
  </si>
  <si>
    <t>出让</t>
  </si>
  <si>
    <t>南屿滨江城二期楼栋明细台账</t>
  </si>
  <si>
    <t>组团</t>
    <phoneticPr fontId="143" type="noConversion"/>
  </si>
  <si>
    <t>业态</t>
  </si>
  <si>
    <t>楼栋</t>
  </si>
  <si>
    <t>产品类型</t>
  </si>
  <si>
    <t>计税类型</t>
  </si>
  <si>
    <t>均价(元/平）
/（元/个）</t>
    <phoneticPr fontId="143" type="noConversion"/>
  </si>
  <si>
    <t>销售收入（万元）</t>
  </si>
  <si>
    <t>销售状态</t>
  </si>
  <si>
    <t>计容面积(㎡)</t>
  </si>
  <si>
    <t>A-建筑面积(㎡)</t>
  </si>
  <si>
    <t>C-地下赠送面积(㎡)</t>
  </si>
  <si>
    <t>可售面积(㎡)</t>
  </si>
  <si>
    <t>可售套数</t>
  </si>
  <si>
    <t>可售车位数</t>
  </si>
  <si>
    <t>车位单个面积(㎡)</t>
  </si>
  <si>
    <t>层数</t>
  </si>
  <si>
    <t>《建设工程规划许可证》[建字第350121201500573号]（地下室不计容合计面积为59524.2）</t>
    <phoneticPr fontId="143" type="noConversion"/>
  </si>
  <si>
    <t>地上建筑面积（计容）</t>
    <phoneticPr fontId="143" type="noConversion"/>
  </si>
  <si>
    <t>阳台面积（按一半算/不计容</t>
    <phoneticPr fontId="143" type="noConversion"/>
  </si>
  <si>
    <t>楼层</t>
    <phoneticPr fontId="143" type="noConversion"/>
  </si>
  <si>
    <t>地下室面积</t>
    <phoneticPr fontId="143" type="noConversion"/>
  </si>
  <si>
    <t>商业</t>
    <phoneticPr fontId="143" type="noConversion"/>
  </si>
  <si>
    <t>公测</t>
    <phoneticPr fontId="143" type="noConversion"/>
  </si>
  <si>
    <t>文体</t>
    <phoneticPr fontId="143" type="noConversion"/>
  </si>
  <si>
    <t>N</t>
    <phoneticPr fontId="143" type="noConversion"/>
  </si>
  <si>
    <t>住宅</t>
  </si>
  <si>
    <t>4号地块 2-A#</t>
  </si>
  <si>
    <t>可售_联排别墅</t>
  </si>
  <si>
    <t>JS02_非普通住宅</t>
  </si>
  <si>
    <t>未售可抵押</t>
  </si>
  <si>
    <t>4/1</t>
    <phoneticPr fontId="143" type="noConversion"/>
  </si>
  <si>
    <t>4号地块 2-B#</t>
  </si>
  <si>
    <t>4号地块 2-C#</t>
  </si>
  <si>
    <t>4号地块 2-D#</t>
  </si>
  <si>
    <t>4号地块 2-E#</t>
  </si>
  <si>
    <t>4号地块 2-F#</t>
  </si>
  <si>
    <t>4号地块 2-G#</t>
  </si>
  <si>
    <t>4号地块 2-H#</t>
  </si>
  <si>
    <t>L</t>
    <phoneticPr fontId="143" type="noConversion"/>
  </si>
  <si>
    <t>4号地块3#</t>
  </si>
  <si>
    <t>可售_双拼别墅</t>
  </si>
  <si>
    <t>4号地块5#</t>
  </si>
  <si>
    <t>4号地块6#</t>
  </si>
  <si>
    <t>4号地块7#</t>
  </si>
  <si>
    <t>M</t>
    <phoneticPr fontId="143" type="noConversion"/>
  </si>
  <si>
    <t>4号地块9#</t>
  </si>
  <si>
    <t>4号地块10#</t>
  </si>
  <si>
    <t>4号地块11#</t>
  </si>
  <si>
    <t>4号地块12#</t>
  </si>
  <si>
    <t>4号地块13#</t>
  </si>
  <si>
    <t>4号地块15#</t>
  </si>
  <si>
    <t>4号地块16#</t>
  </si>
  <si>
    <t>4号地块17#</t>
  </si>
  <si>
    <t>4号地块18#</t>
  </si>
  <si>
    <t>4号地块19#</t>
  </si>
  <si>
    <t>J</t>
    <phoneticPr fontId="143" type="noConversion"/>
  </si>
  <si>
    <t>4号地块20#</t>
  </si>
  <si>
    <t>K</t>
    <phoneticPr fontId="143" type="noConversion"/>
  </si>
  <si>
    <t>4号地块25#</t>
  </si>
  <si>
    <t>4号地块26#</t>
  </si>
  <si>
    <t>4号地块27#</t>
  </si>
  <si>
    <t>4号地块28#</t>
  </si>
  <si>
    <t>4号地块29#</t>
  </si>
  <si>
    <t>4号地块30#</t>
  </si>
  <si>
    <t>4号地块31#</t>
  </si>
  <si>
    <t>4号地块32#</t>
  </si>
  <si>
    <t>4号地块78-C#</t>
  </si>
  <si>
    <t>4号地块78-D#</t>
  </si>
  <si>
    <t>4号地块78-E#</t>
  </si>
  <si>
    <t>4号地块78-F#</t>
  </si>
  <si>
    <t>4号地块78-G#</t>
  </si>
  <si>
    <t>4号地块79-A#</t>
  </si>
  <si>
    <t>4号地块8#</t>
  </si>
  <si>
    <t>4号地块79-B#</t>
  </si>
  <si>
    <t>4号地块1#</t>
  </si>
  <si>
    <t>可售_集中商业</t>
  </si>
  <si>
    <t>JS03_非住宅</t>
  </si>
  <si>
    <t>2/1</t>
    <phoneticPr fontId="143" type="noConversion"/>
  </si>
  <si>
    <t>地下室</t>
    <phoneticPr fontId="143" type="noConversion"/>
  </si>
  <si>
    <t>地下</t>
  </si>
  <si>
    <t>4号地块非人防机动车位</t>
    <phoneticPr fontId="143" type="noConversion"/>
  </si>
  <si>
    <t>可售_非人防机动车位</t>
    <phoneticPr fontId="143" type="noConversion"/>
  </si>
  <si>
    <t>地上</t>
  </si>
  <si>
    <t>联排</t>
  </si>
  <si>
    <t>双拼</t>
  </si>
  <si>
    <t>地下面积</t>
    <phoneticPr fontId="143" type="noConversion"/>
  </si>
  <si>
    <t>合计</t>
    <phoneticPr fontId="143" type="noConversion"/>
  </si>
  <si>
    <t>一层商业</t>
    <phoneticPr fontId="143" type="noConversion"/>
  </si>
  <si>
    <t>二层商业</t>
    <phoneticPr fontId="143" type="noConversion"/>
  </si>
  <si>
    <t>地上其它</t>
    <phoneticPr fontId="143" type="noConversion"/>
  </si>
  <si>
    <t>产权面积一览表</t>
  </si>
  <si>
    <t>层次</t>
  </si>
  <si>
    <t>房号</t>
  </si>
  <si>
    <t>私有面积</t>
  </si>
  <si>
    <t>分摊面积</t>
  </si>
  <si>
    <t>产权面积</t>
  </si>
  <si>
    <t>累计</t>
    <phoneticPr fontId="3" type="noConversion"/>
  </si>
  <si>
    <t>测绘</t>
    <phoneticPr fontId="143" type="noConversion"/>
  </si>
  <si>
    <t>未开工</t>
    <phoneticPr fontId="143" type="noConversion"/>
  </si>
  <si>
    <t>已开工</t>
    <phoneticPr fontId="143" type="noConversion"/>
  </si>
  <si>
    <t>工程进度</t>
    <phoneticPr fontId="143" type="noConversion"/>
  </si>
  <si>
    <t>车库</t>
  </si>
  <si>
    <t>面积表-可售面积（同测绘）/地下-测绘</t>
    <phoneticPr fontId="3" type="noConversion"/>
  </si>
  <si>
    <t>是</t>
  </si>
  <si>
    <t>否</t>
  </si>
  <si>
    <t>住宅（联排）</t>
  </si>
  <si>
    <t>住宅（联排）</t>
    <phoneticPr fontId="7" type="noConversion"/>
  </si>
  <si>
    <t>住宅（双拼）</t>
  </si>
  <si>
    <t>住宅（双拼）</t>
    <phoneticPr fontId="7" type="noConversion"/>
  </si>
  <si>
    <t>商业</t>
    <phoneticPr fontId="7" type="noConversion"/>
  </si>
  <si>
    <t>地下车库</t>
    <phoneticPr fontId="7" type="noConversion"/>
  </si>
  <si>
    <t>已建部分</t>
    <phoneticPr fontId="3" type="noConversion"/>
  </si>
  <si>
    <t>未建部分</t>
    <phoneticPr fontId="3" type="noConversion"/>
  </si>
  <si>
    <t>地下面积依据测绘全部地下面积</t>
    <phoneticPr fontId="3" type="noConversion"/>
  </si>
  <si>
    <t>1#/105#~107#及幼儿园</t>
    <phoneticPr fontId="143" type="noConversion"/>
  </si>
  <si>
    <t>证号</t>
    <phoneticPr fontId="143" type="noConversion"/>
  </si>
  <si>
    <t>楼号</t>
    <phoneticPr fontId="143" type="noConversion"/>
  </si>
  <si>
    <t>地上计容</t>
    <phoneticPr fontId="143" type="noConversion"/>
  </si>
  <si>
    <t>地下室面积</t>
    <phoneticPr fontId="143" type="noConversion"/>
  </si>
  <si>
    <t>建字第350121201300065号</t>
    <phoneticPr fontId="143" type="noConversion"/>
  </si>
  <si>
    <t>建字第350121201300211号</t>
    <phoneticPr fontId="143" type="noConversion"/>
  </si>
  <si>
    <t>二期共90栋</t>
    <phoneticPr fontId="143" type="noConversion"/>
  </si>
  <si>
    <t>建字第350121201500573号</t>
    <phoneticPr fontId="143" type="noConversion"/>
  </si>
  <si>
    <t>98#~103#</t>
    <phoneticPr fontId="143" type="noConversion"/>
  </si>
  <si>
    <t>建设工程规划许可证</t>
    <phoneticPr fontId="143" type="noConversion"/>
  </si>
  <si>
    <t>收益法（商业）</t>
  </si>
  <si>
    <t>收益法（商业）</t>
    <phoneticPr fontId="16" type="noConversion"/>
  </si>
  <si>
    <t>收益法（地下车库）</t>
  </si>
  <si>
    <t>收益法（地下车库）</t>
    <phoneticPr fontId="16" type="noConversion"/>
  </si>
  <si>
    <t>在建（套用方法）</t>
  </si>
  <si>
    <t>按租金收入计税</t>
  </si>
  <si>
    <t>钢混</t>
  </si>
  <si>
    <t>非生产用房</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</si>
  <si>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</si>
  <si>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</si>
  <si>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</si>
  <si>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</si>
  <si>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</si>
  <si>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</si>
  <si>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</si>
  <si>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</si>
  <si>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</si>
  <si>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</si>
  <si>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</si>
  <si>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</si>
  <si>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</si>
  <si>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</si>
  <si>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</si>
  <si>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</si>
  <si>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</si>
  <si>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</si>
  <si>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</si>
  <si>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</si>
  <si>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上街镇马排村</t>
  </si>
  <si>
    <t>福州市</t>
  </si>
  <si>
    <t>住宅用地</t>
  </si>
  <si>
    <t>拍卖</t>
  </si>
  <si>
    <t>榕高新2019-01号</t>
  </si>
  <si>
    <t>城镇住宅用地</t>
  </si>
  <si>
    <t>＞1,≤2.8</t>
  </si>
  <si>
    <t>2019-04-26</t>
  </si>
  <si>
    <t>榕高新土让[2019]01号-1</t>
  </si>
  <si>
    <t>厦门悦圻企业管理咨询有限公司</t>
  </si>
  <si>
    <t>70年</t>
  </si>
  <si>
    <t>4星</t>
  </si>
  <si>
    <t>综合用地(含住宅)</t>
  </si>
  <si>
    <t>榕高新2019-02号</t>
  </si>
  <si>
    <t>住宅用地、服务设施用地</t>
  </si>
  <si>
    <t>＞1,≤3.1</t>
  </si>
  <si>
    <t>榕高新土让[2019]01号-2</t>
  </si>
  <si>
    <t>福州融侨置地房地产开发有限公司</t>
  </si>
  <si>
    <t>住宅用地70年、公共管理与服务用地50年、商服用地40年</t>
  </si>
  <si>
    <t>闽侯县荆溪镇溪下村</t>
  </si>
  <si>
    <t>2019-01号</t>
  </si>
  <si>
    <t>＞2,≤2.7</t>
  </si>
  <si>
    <t>2019-03-21</t>
  </si>
  <si>
    <t>侯自然告字[2019]01号</t>
  </si>
  <si>
    <t>福州融辉房地产有限公司</t>
  </si>
  <si>
    <t>2星</t>
  </si>
  <si>
    <t>上街镇上街村</t>
  </si>
  <si>
    <t>2018-11号</t>
  </si>
  <si>
    <t>中低价位、中小套型普通商品住房用地</t>
  </si>
  <si>
    <t>≥2且≤3.4</t>
  </si>
  <si>
    <t>2018-12-14</t>
  </si>
  <si>
    <t>侯国土资告字[2018]11号</t>
  </si>
  <si>
    <t>闽侯深融置业有限公司</t>
  </si>
  <si>
    <t>南通镇陈厝村</t>
  </si>
  <si>
    <t>2018-09号</t>
  </si>
  <si>
    <t>＞2且≤3</t>
  </si>
  <si>
    <t>2018-12-07</t>
  </si>
  <si>
    <t>侯国土资告字[2018]09号</t>
  </si>
  <si>
    <t>广西盛阳房地产开发有限公司</t>
  </si>
  <si>
    <t>上街镇美岐村</t>
  </si>
  <si>
    <t>2018-07号</t>
  </si>
  <si>
    <t>＞1且≤2.3</t>
  </si>
  <si>
    <t>2018-11-20</t>
  </si>
  <si>
    <t>侯国土资告字[2018]05、06、07号-3</t>
  </si>
  <si>
    <t>福州渠城置业有限公司</t>
  </si>
  <si>
    <t>上街镇榕桥村</t>
  </si>
  <si>
    <t>2018-06号</t>
  </si>
  <si>
    <t>＞1且≤2.2</t>
  </si>
  <si>
    <t>侯国土资告字[2018]05、06、07号-2</t>
  </si>
  <si>
    <t>王羽</t>
  </si>
  <si>
    <t>上街镇侯官村</t>
  </si>
  <si>
    <t>2018-05号</t>
  </si>
  <si>
    <t>＞1且≤2</t>
  </si>
  <si>
    <t>侯国土资告字[2018]05、06、07号-1</t>
  </si>
  <si>
    <t>福建省闽侯城兴开发有限公司</t>
  </si>
  <si>
    <t>竹岐乡苏洋村</t>
  </si>
  <si>
    <t>2018-03号</t>
  </si>
  <si>
    <t>＞1且≤2.254</t>
  </si>
  <si>
    <t>2018-06-26</t>
  </si>
  <si>
    <t>侯国土告字[2018]03号</t>
  </si>
  <si>
    <t>福州市坤鸿建设发展有限公司</t>
  </si>
  <si>
    <t>1星</t>
  </si>
  <si>
    <t>闽侯县竹岐乡汶洲村</t>
  </si>
  <si>
    <t>2018-02</t>
  </si>
  <si>
    <t>＞1且≤2.6</t>
  </si>
  <si>
    <t>侯国土告字[2018]02号</t>
  </si>
  <si>
    <t>详见示意图</t>
  </si>
  <si>
    <t>榕高新2018-01号</t>
  </si>
  <si>
    <t>其他普通商品住房用地</t>
  </si>
  <si>
    <t>＞1且≤1.6</t>
  </si>
  <si>
    <t>2018-06-15</t>
  </si>
  <si>
    <t>榕高新土让告字[2018]04号-1</t>
  </si>
  <si>
    <t>禹洲地产(泉州)有限公司</t>
  </si>
  <si>
    <t>0星</t>
  </si>
  <si>
    <t>榕高新2018-03号</t>
  </si>
  <si>
    <t>＞1且≤2.8</t>
  </si>
  <si>
    <t>榕高新土让告字[2018]04号-3</t>
  </si>
  <si>
    <t>福州中海地产有限公司</t>
  </si>
  <si>
    <t>榕高新2018-02号</t>
  </si>
  <si>
    <t>≥2.8且≤3.5</t>
  </si>
  <si>
    <t>榕高新土让告字[2018]04号-2</t>
  </si>
  <si>
    <t>福州傲颜企业管理有限公司</t>
  </si>
  <si>
    <t>南屿镇后山村、中溪村</t>
  </si>
  <si>
    <t>榕高新2017-03号</t>
  </si>
  <si>
    <t>二类居住用地、商业用地</t>
  </si>
  <si>
    <t>＞1且≤1.8</t>
  </si>
  <si>
    <t>2018-02-27</t>
  </si>
  <si>
    <t>榕高新土让告字[2018]01号</t>
  </si>
  <si>
    <t>福州骞阁投资有限公司</t>
  </si>
  <si>
    <t>住宅用地70年、商业用地40年</t>
  </si>
  <si>
    <t>白沙镇白沙村</t>
  </si>
  <si>
    <t>2017-07号</t>
  </si>
  <si>
    <t>＞1且≤2.7</t>
  </si>
  <si>
    <t>2017-12-27</t>
  </si>
  <si>
    <t>侯国土资告字[2017]07号</t>
  </si>
  <si>
    <t>中汇升(福建)发展有限公司</t>
  </si>
  <si>
    <t>竹岐乡竹西村</t>
  </si>
  <si>
    <t>2017-06号</t>
  </si>
  <si>
    <t>＞1且≤1.1</t>
  </si>
  <si>
    <t>2017-12-21</t>
  </si>
  <si>
    <t>侯国土资告字[2017]05号、侯国土资告字[2017]06号-2</t>
  </si>
  <si>
    <t>福州御宇房地产开发有限公司</t>
  </si>
  <si>
    <t>闽侯竹岐乡竹西村地块一</t>
  </si>
  <si>
    <t>2017-05号</t>
  </si>
  <si>
    <t>侯国土资告字[2017]05号、侯国土资告字[2017]06号-1</t>
  </si>
  <si>
    <t>高新区乌龙江南大道西侧</t>
  </si>
  <si>
    <t>榕高新2017-02号</t>
  </si>
  <si>
    <t>＞1且≤2.5</t>
  </si>
  <si>
    <t>2017-12-14</t>
  </si>
  <si>
    <t>榕高新土让告字[2017]01号-2</t>
  </si>
  <si>
    <t>福建省碧桂园房地产开发有限公司</t>
  </si>
  <si>
    <t>榕高新2017-01号</t>
  </si>
  <si>
    <t>榕高新土让告字[2017]01号-1</t>
  </si>
  <si>
    <t>福州优利鸿信投资有限公司</t>
  </si>
  <si>
    <t>2017-03号</t>
  </si>
  <si>
    <t>＞1且≤3</t>
  </si>
  <si>
    <t>2017-11-21</t>
  </si>
  <si>
    <t>侯国土资告字[2017]03号</t>
  </si>
  <si>
    <t>福建联丰房地产开发有限公司</t>
  </si>
  <si>
    <t>2017-02号</t>
  </si>
  <si>
    <t>住宅、商办</t>
  </si>
  <si>
    <t>2017-07-05</t>
  </si>
  <si>
    <t>侯国土资告字[2017]02号</t>
  </si>
  <si>
    <t>福建福晟银隆投资有限公司</t>
  </si>
  <si>
    <t>住宅70年、商办40年</t>
  </si>
  <si>
    <t>2017-01号</t>
  </si>
  <si>
    <t>侯国土资告字[2017]01号</t>
  </si>
  <si>
    <t>福州中海海逸地产有限公司</t>
  </si>
  <si>
    <t>南屿镇高岐村</t>
  </si>
  <si>
    <t>2016-06号</t>
  </si>
  <si>
    <t>普通商品住房用地</t>
  </si>
  <si>
    <t>2016-12-14</t>
  </si>
  <si>
    <t>侯国土资告字[2016]06号</t>
  </si>
  <si>
    <t>闽侯融侨置业有限公司</t>
  </si>
  <si>
    <t>闽侯县南通镇旗山大桥与福银高速交界处东南侧</t>
  </si>
  <si>
    <t>2016-04</t>
  </si>
  <si>
    <t>2016-11-03</t>
  </si>
  <si>
    <t>侯国土资告字[2016]04号</t>
  </si>
  <si>
    <t>福州三盛投资有限公司</t>
  </si>
  <si>
    <t>2016-05</t>
  </si>
  <si>
    <t>侯国土资告字[2016]05号</t>
  </si>
  <si>
    <t>南屿镇尧沙村</t>
  </si>
  <si>
    <t>2016-03号</t>
  </si>
  <si>
    <t>大于或等于2.8并且小于或等于3</t>
  </si>
  <si>
    <t>2016-06-22</t>
  </si>
  <si>
    <t>侯国土资告字[2016]01号</t>
  </si>
  <si>
    <t>福建阳光房地产开发有限公司</t>
  </si>
  <si>
    <t>甘蔗街道长江村</t>
  </si>
  <si>
    <t>2016-02</t>
  </si>
  <si>
    <t>等于2.9</t>
  </si>
  <si>
    <t>2016-04-13</t>
  </si>
  <si>
    <t>侯国土资告字[2016]02号</t>
  </si>
  <si>
    <t>正荣(福州)置业发展有限公司</t>
  </si>
  <si>
    <t>榕高新2018-01号</t>
    <phoneticPr fontId="143" type="noConversion"/>
  </si>
  <si>
    <t>南屿镇后山村、中溪村</t>
    <phoneticPr fontId="143" type="noConversion"/>
  </si>
  <si>
    <t>住宅</t>
    <phoneticPr fontId="31" type="noConversion"/>
  </si>
  <si>
    <t>成本法</t>
  </si>
  <si>
    <t>假设开发法</t>
  </si>
  <si>
    <t>较好</t>
  </si>
  <si>
    <t>一般</t>
  </si>
  <si>
    <t>较差</t>
  </si>
  <si>
    <t>六通</t>
  </si>
  <si>
    <t>较规则</t>
  </si>
  <si>
    <t>较规则</t>
    <phoneticPr fontId="31" type="noConversion"/>
  </si>
  <si>
    <t>六通</t>
    <phoneticPr fontId="31" type="noConversion"/>
  </si>
  <si>
    <t>较好</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</si>
  <si>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</si>
  <si>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</si>
  <si>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</si>
  <si>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</si>
  <si>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</si>
  <si>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</si>
  <si>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禹州</t>
    <phoneticPr fontId="31" type="noConversion"/>
  </si>
  <si>
    <t>福晟</t>
    <phoneticPr fontId="31" type="noConversion"/>
  </si>
  <si>
    <t>商品房销售价目表</t>
  </si>
  <si>
    <t>楼号(名称):“福州翡丽湾4号地块105到107号楼地下车位”</t>
  </si>
  <si>
    <t>执行时间：  年  月  日</t>
  </si>
  <si>
    <t>楼号</t>
  </si>
  <si>
    <t>单元号</t>
  </si>
  <si>
    <t>户型结构</t>
  </si>
  <si>
    <t>售房面积（平方米）</t>
  </si>
  <si>
    <t>其中</t>
  </si>
  <si>
    <t>销售价格     （元/平方米）</t>
  </si>
  <si>
    <t>总金额（元）</t>
  </si>
  <si>
    <t>装修状况</t>
  </si>
  <si>
    <t>套内面积(平方米）</t>
  </si>
  <si>
    <t>公摊面积（平方米）</t>
  </si>
  <si>
    <t>105到107号楼</t>
  </si>
  <si>
    <t>地下一层</t>
  </si>
  <si>
    <t>车位</t>
  </si>
  <si>
    <t>毛坯</t>
  </si>
  <si>
    <t>未售</t>
  </si>
  <si>
    <t>微型车位</t>
  </si>
  <si>
    <t>备注：对已销售的房源，商品房经营者应当予以明确标示。如果同时标示价格的，应当标示所有已销售房源的实际成交价格。</t>
  </si>
  <si>
    <t>价格举报电话：12358</t>
  </si>
  <si>
    <t>商品房销售价目表</t>
    <phoneticPr fontId="190" type="noConversion"/>
  </si>
  <si>
    <t>楼号(名称):“阳光城丽景湾” S13#楼</t>
    <phoneticPr fontId="190" type="noConversion"/>
  </si>
  <si>
    <t>执行时间：  年  月  日</t>
    <phoneticPr fontId="190" type="noConversion"/>
  </si>
  <si>
    <t>楼号</t>
    <phoneticPr fontId="190" type="noConversion"/>
  </si>
  <si>
    <t>楼层</t>
    <phoneticPr fontId="190" type="noConversion"/>
  </si>
  <si>
    <t>单元号</t>
    <phoneticPr fontId="190" type="noConversion"/>
  </si>
  <si>
    <t>户型结构</t>
    <phoneticPr fontId="190" type="noConversion"/>
  </si>
  <si>
    <t>售房面积  （平方米）</t>
    <phoneticPr fontId="190" type="noConversion"/>
  </si>
  <si>
    <t>其中</t>
    <phoneticPr fontId="190" type="noConversion"/>
  </si>
  <si>
    <t>销售价格（元/平方米）</t>
    <phoneticPr fontId="190" type="noConversion"/>
  </si>
  <si>
    <t>总金额（元）</t>
    <phoneticPr fontId="190" type="noConversion"/>
  </si>
  <si>
    <t>装修状况</t>
    <phoneticPr fontId="190" type="noConversion"/>
  </si>
  <si>
    <t>销售状态</t>
    <phoneticPr fontId="190" type="noConversion"/>
  </si>
  <si>
    <t>套内面积</t>
    <phoneticPr fontId="190" type="noConversion"/>
  </si>
  <si>
    <t>公摊面积</t>
    <phoneticPr fontId="190" type="noConversion"/>
  </si>
  <si>
    <t>S13#</t>
  </si>
  <si>
    <t>一层</t>
    <phoneticPr fontId="190" type="noConversion"/>
  </si>
  <si>
    <t>商业</t>
    <phoneticPr fontId="190" type="noConversion"/>
  </si>
  <si>
    <t>毛坯</t>
    <phoneticPr fontId="190" type="noConversion"/>
  </si>
  <si>
    <t>未售</t>
    <phoneticPr fontId="190" type="noConversion"/>
  </si>
  <si>
    <t>二层</t>
    <phoneticPr fontId="190" type="noConversion"/>
  </si>
  <si>
    <t>备注：对已销售的房源，商品房经营者应当予以明确标示。如果同时标示价格的，应当标示所有已销售房源的实际成交价格。</t>
    <phoneticPr fontId="190" type="noConversion"/>
  </si>
  <si>
    <t>价格举报电话：12358</t>
    <phoneticPr fontId="190" type="noConversion"/>
  </si>
  <si>
    <t>正常</t>
  </si>
  <si>
    <t>碧桂园高尔夫</t>
    <phoneticPr fontId="3" type="noConversion"/>
  </si>
  <si>
    <t>双拼</t>
    <phoneticPr fontId="25" type="noConversion"/>
  </si>
  <si>
    <t>联排</t>
    <phoneticPr fontId="25" type="noConversion"/>
  </si>
  <si>
    <t>叠拼</t>
    <phoneticPr fontId="25" type="noConversion"/>
  </si>
  <si>
    <t>钢混</t>
    <phoneticPr fontId="25" type="noConversion"/>
  </si>
  <si>
    <t>较好</t>
    <phoneticPr fontId="25" type="noConversion"/>
  </si>
  <si>
    <t>精装修</t>
  </si>
  <si>
    <t>精装修</t>
    <phoneticPr fontId="25" type="noConversion"/>
  </si>
  <si>
    <t>专业</t>
  </si>
  <si>
    <t>专业</t>
    <phoneticPr fontId="25" type="noConversion"/>
  </si>
  <si>
    <t>毛坯</t>
    <phoneticPr fontId="25" type="noConversion"/>
  </si>
  <si>
    <t>60-70（含）</t>
  </si>
  <si>
    <t>赠送产权车位2个</t>
    <phoneticPr fontId="25" type="noConversion"/>
  </si>
  <si>
    <t>产权面积</t>
    <phoneticPr fontId="25" type="noConversion"/>
  </si>
  <si>
    <t>赠送部分</t>
    <phoneticPr fontId="25" type="noConversion"/>
  </si>
  <si>
    <t>花园面积</t>
    <phoneticPr fontId="25" type="noConversion"/>
  </si>
  <si>
    <t>280</t>
    <phoneticPr fontId="25" type="noConversion"/>
  </si>
  <si>
    <t>100以内</t>
    <phoneticPr fontId="25" type="noConversion"/>
  </si>
  <si>
    <t>180</t>
    <phoneticPr fontId="25" type="noConversion"/>
  </si>
  <si>
    <t>阁楼/地下室/2个产权地下车库</t>
    <phoneticPr fontId="25" type="noConversion"/>
  </si>
  <si>
    <t>赠送产权车位1个</t>
    <phoneticPr fontId="25" type="noConversion"/>
  </si>
  <si>
    <r>
      <rPr>
        <sz val="11"/>
        <rFont val="宋体"/>
        <family val="3"/>
        <charset val="134"/>
      </rPr>
      <t>阁楼</t>
    </r>
    <r>
      <rPr>
        <sz val="11"/>
        <rFont val="Arial"/>
        <family val="2"/>
      </rPr>
      <t>/</t>
    </r>
    <r>
      <rPr>
        <sz val="11"/>
        <rFont val="宋体"/>
        <family val="3"/>
        <charset val="134"/>
      </rPr>
      <t>地下室</t>
    </r>
    <r>
      <rPr>
        <sz val="11"/>
        <rFont val="Arial"/>
        <family val="2"/>
      </rPr>
      <t>/2</t>
    </r>
    <r>
      <rPr>
        <sz val="11"/>
        <rFont val="宋体"/>
        <family val="3"/>
        <charset val="134"/>
      </rPr>
      <t>个无产权车位</t>
    </r>
    <phoneticPr fontId="25" type="noConversion"/>
  </si>
  <si>
    <t>阁楼/地下室/1个产权车位/1个无产权车位</t>
    <phoneticPr fontId="25" type="noConversion"/>
  </si>
  <si>
    <t>160</t>
    <phoneticPr fontId="25" type="noConversion"/>
  </si>
  <si>
    <t>赠送面积</t>
    <phoneticPr fontId="25" type="noConversion"/>
  </si>
  <si>
    <t>较大</t>
    <phoneticPr fontId="25" type="noConversion"/>
  </si>
  <si>
    <t>一般</t>
    <phoneticPr fontId="25" type="noConversion"/>
  </si>
  <si>
    <t>较小</t>
    <phoneticPr fontId="25" type="noConversion"/>
  </si>
  <si>
    <t>六通</t>
    <phoneticPr fontId="25" type="noConversion"/>
  </si>
  <si>
    <t>优惠</t>
    <phoneticPr fontId="25" type="noConversion"/>
  </si>
  <si>
    <t>端户仅剩一套</t>
    <phoneticPr fontId="25" type="noConversion"/>
  </si>
  <si>
    <t>中间户仅剩一套</t>
    <phoneticPr fontId="25" type="noConversion"/>
  </si>
  <si>
    <t>未包含在土地购买价格中</t>
  </si>
  <si>
    <t>已包含在土地取得成本中</t>
  </si>
  <si>
    <t>押一</t>
  </si>
  <si>
    <t>状态</t>
    <phoneticPr fontId="25" type="noConversion"/>
  </si>
  <si>
    <t>期房</t>
    <phoneticPr fontId="25" type="noConversion"/>
  </si>
  <si>
    <t>现房</t>
    <phoneticPr fontId="25" type="noConversion"/>
  </si>
  <si>
    <t>工程进度</t>
  </si>
  <si>
    <t>康桥丹提</t>
    <phoneticPr fontId="3" type="noConversion"/>
  </si>
  <si>
    <t>三盛托斯卡纳</t>
    <phoneticPr fontId="3" type="noConversion"/>
  </si>
  <si>
    <t>出让金+开发费</t>
  </si>
  <si>
    <t>情况3</t>
  </si>
  <si>
    <t>序号</t>
    <phoneticPr fontId="143" type="noConversion"/>
  </si>
  <si>
    <t>楼栋</t>
    <phoneticPr fontId="143" type="noConversion"/>
  </si>
  <si>
    <t>用途</t>
    <phoneticPr fontId="143" type="noConversion"/>
  </si>
  <si>
    <t>产品类型</t>
    <phoneticPr fontId="143" type="noConversion"/>
  </si>
  <si>
    <t>地上规划面积</t>
    <phoneticPr fontId="143" type="noConversion"/>
  </si>
  <si>
    <t>地下规划面积</t>
    <phoneticPr fontId="143" type="noConversion"/>
  </si>
  <si>
    <t>小计</t>
    <phoneticPr fontId="143" type="noConversion"/>
  </si>
  <si>
    <t>4号地块 2-A#</t>
    <phoneticPr fontId="143" type="noConversion"/>
  </si>
  <si>
    <t>住宅</t>
    <phoneticPr fontId="143" type="noConversion"/>
  </si>
  <si>
    <t>联排别墅</t>
    <phoneticPr fontId="143" type="noConversion"/>
  </si>
  <si>
    <t>4号地块 2-B#</t>
    <phoneticPr fontId="143" type="noConversion"/>
  </si>
  <si>
    <t>4号地块 2-C#</t>
    <phoneticPr fontId="143" type="noConversion"/>
  </si>
  <si>
    <t>4号地块 2-D#</t>
    <phoneticPr fontId="143" type="noConversion"/>
  </si>
  <si>
    <t>4号地块 2-E#</t>
    <phoneticPr fontId="143" type="noConversion"/>
  </si>
  <si>
    <t>4号地块 2-F#</t>
    <phoneticPr fontId="143" type="noConversion"/>
  </si>
  <si>
    <t>4号地块 2-G#</t>
    <phoneticPr fontId="143" type="noConversion"/>
  </si>
  <si>
    <t>4号地块 2-H#</t>
    <phoneticPr fontId="143" type="noConversion"/>
  </si>
  <si>
    <t>4号地块3#</t>
    <phoneticPr fontId="143" type="noConversion"/>
  </si>
  <si>
    <t>双拼别墅</t>
    <phoneticPr fontId="143" type="noConversion"/>
  </si>
  <si>
    <t>4号地块5#</t>
    <phoneticPr fontId="143" type="noConversion"/>
  </si>
  <si>
    <t>4号地块6#</t>
    <phoneticPr fontId="143" type="noConversion"/>
  </si>
  <si>
    <t>4号地块7#</t>
    <phoneticPr fontId="143" type="noConversion"/>
  </si>
  <si>
    <t>4号地块9#</t>
    <phoneticPr fontId="143" type="noConversion"/>
  </si>
  <si>
    <t>4号地块10#</t>
    <phoneticPr fontId="143" type="noConversion"/>
  </si>
  <si>
    <t>4号地块11#</t>
    <phoneticPr fontId="143" type="noConversion"/>
  </si>
  <si>
    <t>4号地块12#</t>
    <phoneticPr fontId="143" type="noConversion"/>
  </si>
  <si>
    <t>4号地块13#</t>
    <phoneticPr fontId="143" type="noConversion"/>
  </si>
  <si>
    <t>4号地块15#</t>
    <phoneticPr fontId="143" type="noConversion"/>
  </si>
  <si>
    <t>4号地块16#</t>
    <phoneticPr fontId="143" type="noConversion"/>
  </si>
  <si>
    <t>4号地块17#</t>
    <phoneticPr fontId="143" type="noConversion"/>
  </si>
  <si>
    <t>4号地块18#</t>
    <phoneticPr fontId="143" type="noConversion"/>
  </si>
  <si>
    <t>4号地块19#</t>
    <phoneticPr fontId="143" type="noConversion"/>
  </si>
  <si>
    <t>4号地块20#</t>
    <phoneticPr fontId="143" type="noConversion"/>
  </si>
  <si>
    <t>4号地块25#</t>
    <phoneticPr fontId="143" type="noConversion"/>
  </si>
  <si>
    <t>4号地块26#</t>
    <phoneticPr fontId="143" type="noConversion"/>
  </si>
  <si>
    <t>4号地块27#</t>
    <phoneticPr fontId="143" type="noConversion"/>
  </si>
  <si>
    <t>4号地块28#</t>
    <phoneticPr fontId="143" type="noConversion"/>
  </si>
  <si>
    <t>4号地块29#</t>
    <phoneticPr fontId="143" type="noConversion"/>
  </si>
  <si>
    <t>4号地块30#</t>
    <phoneticPr fontId="143" type="noConversion"/>
  </si>
  <si>
    <t>4号地块31#</t>
    <phoneticPr fontId="143" type="noConversion"/>
  </si>
  <si>
    <t>4号地块32#</t>
    <phoneticPr fontId="143" type="noConversion"/>
  </si>
  <si>
    <t>4号地块78-C#</t>
    <phoneticPr fontId="143" type="noConversion"/>
  </si>
  <si>
    <t>4号地块78-D#</t>
    <phoneticPr fontId="143" type="noConversion"/>
  </si>
  <si>
    <t>4号地块78-E#</t>
    <phoneticPr fontId="143" type="noConversion"/>
  </si>
  <si>
    <t>4号地块78-F#</t>
    <phoneticPr fontId="143" type="noConversion"/>
  </si>
  <si>
    <t>4号地块78-G#</t>
    <phoneticPr fontId="143" type="noConversion"/>
  </si>
  <si>
    <t>4号地块79-A#</t>
    <phoneticPr fontId="143" type="noConversion"/>
  </si>
  <si>
    <t>4号地块8#</t>
    <phoneticPr fontId="143" type="noConversion"/>
  </si>
  <si>
    <t>4号地块79-B#</t>
    <phoneticPr fontId="143" type="noConversion"/>
  </si>
  <si>
    <t>4号地块1#</t>
    <phoneticPr fontId="143" type="noConversion"/>
  </si>
  <si>
    <t>商业及其他</t>
    <phoneticPr fontId="143" type="noConversion"/>
  </si>
  <si>
    <t>商业</t>
    <phoneticPr fontId="143" type="noConversion"/>
  </si>
  <si>
    <t>4号地块非人防机动车位</t>
    <phoneticPr fontId="143" type="noConversion"/>
  </si>
  <si>
    <t>地下车库</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</si>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</sst>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4"/>
      <name val="黑体"/>
      <family val="3"/>
      <charset val="134"/>
    </font>
    <font>
      <b/>
      <sz val="10"/>
      <name val="微软雅黑"/>
      <family val="2"/>
      <charset val="134"/>
    </font>
    <font>
      <sz val="10"/>
      <name val="华文细黑"/>
      <family val="3"/>
      <charset val="134"/>
    </font>
    <font>
      <sz val="10"/>
      <color theme="1"/>
      <name val="微软雅黑"/>
      <family val="2"/>
      <charset val="134"/>
    </font>
    <font>
      <sz val="10"/>
      <name val="微软雅黑"/>
      <family val="2"/>
      <charset val="134"/>
    </font>
    <font>
      <b/>
      <sz val="11"/>
      <name val="宋体"/>
      <family val="3"/>
      <charset val="134"/>
      <scheme val="minor"/>
    </font>
    <font>
      <b/>
      <sz val="10"/>
      <name val="华文细黑"/>
      <family val="3"/>
      <charset val="134"/>
    </font>
    <font>
      <b/>
      <sz val="10"/>
      <color rgb="FFFF0000"/>
      <name val="微软雅黑"/>
      <family val="2"/>
      <charset val="134"/>
    </font>
    <font>
      <sz val="10"/>
      <color rgb="FFFF0000"/>
      <name val="微软雅黑"/>
      <family val="2"/>
      <charset val="134"/>
    </font>
    <font>
      <sz val="9"/>
      <color indexed="81"/>
      <name val="Tahoma"/>
      <family val="2"/>
    </font>
    <font>
      <b/>
      <sz val="9"/>
      <color indexed="81"/>
      <name val="Tahoma"/>
      <family val="2"/>
    </font>
    <font>
      <sz val="10"/>
      <color theme="1"/>
      <name val="华文细黑"/>
      <family val="3"/>
      <charset val="134"/>
    </font>
    <font>
      <sz val="21"/>
      <color indexed="8"/>
      <name val="宋体"/>
      <family val="3"/>
      <charset val="134"/>
    </font>
    <font>
      <sz val="10"/>
      <color indexed="12"/>
      <name val="宋体"/>
      <family val="3"/>
      <charset val="134"/>
    </font>
    <font>
      <b/>
      <sz val="10"/>
      <color rgb="FFFF0000"/>
      <name val="华文细黑"/>
      <family val="3"/>
      <charset val="134"/>
    </font>
    <font>
      <b/>
      <sz val="18"/>
      <name val="宋体"/>
      <family val="3"/>
      <charset val="134"/>
      <scheme val="major"/>
    </font>
    <font>
      <sz val="11"/>
      <color theme="1"/>
      <name val="宋体"/>
      <family val="3"/>
      <charset val="134"/>
      <scheme val="major"/>
    </font>
    <font>
      <sz val="12"/>
      <name val="宋体"/>
      <family val="3"/>
      <charset val="134"/>
      <scheme val="major"/>
    </font>
    <font>
      <sz val="12"/>
      <color indexed="8"/>
      <name val="宋体"/>
      <family val="3"/>
      <charset val="134"/>
      <scheme val="major"/>
    </font>
    <font>
      <b/>
      <sz val="18"/>
      <color indexed="8"/>
      <name val="黑体"/>
      <family val="3"/>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499984740745262"/>
        <bgColor indexed="64"/>
      </patternFill>
    </fill>
    <fill>
      <patternFill patternType="solid">
        <fgColor theme="2" tint="-0.249977111117893"/>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258" fillId="0" borderId="1">
      <alignment horizontal="left" vertical="center"/>
    </xf>
    <xf numFmtId="197" fontId="258" fillId="0" borderId="1">
      <alignment horizontal="center" vertical="center"/>
    </xf>
    <xf numFmtId="198" fontId="258" fillId="0" borderId="1">
      <alignment horizontal="center" vertical="center"/>
    </xf>
  </cellStyleXfs>
  <cellXfs count="34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0" borderId="0" xfId="0" applyFont="1">
      <alignment vertical="center"/>
    </xf>
    <xf numFmtId="0" fontId="256" fillId="17" borderId="2" xfId="0" applyFont="1" applyFill="1" applyBorder="1" applyAlignment="1">
      <alignment horizontal="center" vertical="center" wrapText="1"/>
    </xf>
    <xf numFmtId="0" fontId="256" fillId="17" borderId="2" xfId="0" quotePrefix="1" applyFont="1" applyFill="1" applyBorder="1" applyAlignment="1">
      <alignment horizontal="center" vertical="center" wrapText="1"/>
    </xf>
    <xf numFmtId="0" fontId="256" fillId="17" borderId="0" xfId="0" applyFont="1" applyFill="1" applyBorder="1" applyAlignment="1">
      <alignment horizontal="center" vertical="center" wrapText="1"/>
    </xf>
    <xf numFmtId="0" fontId="254" fillId="0" borderId="0" xfId="0" applyFont="1" applyFill="1">
      <alignment vertical="center"/>
    </xf>
    <xf numFmtId="0" fontId="254" fillId="5" borderId="0" xfId="0" applyFont="1" applyFill="1">
      <alignment vertical="center"/>
    </xf>
    <xf numFmtId="0" fontId="260" fillId="0" borderId="0" xfId="0" applyFont="1">
      <alignment vertical="center"/>
    </xf>
    <xf numFmtId="0" fontId="80" fillId="0" borderId="1" xfId="0" applyFont="1" applyBorder="1" applyAlignment="1" applyProtection="1">
      <alignment horizontal="center" vertical="center" wrapText="1"/>
      <protection locked="0"/>
    </xf>
    <xf numFmtId="0" fontId="262" fillId="17" borderId="2" xfId="0" quotePrefix="1" applyFont="1" applyFill="1" applyBorder="1" applyAlignment="1">
      <alignment horizontal="center" vertical="center" wrapText="1"/>
    </xf>
    <xf numFmtId="0" fontId="0" fillId="5" borderId="0" xfId="0" applyFill="1">
      <alignment vertical="center"/>
    </xf>
    <xf numFmtId="0" fontId="257" fillId="0" borderId="0" xfId="0" applyFont="1" applyBorder="1" applyAlignment="1">
      <alignment vertical="center" wrapText="1"/>
    </xf>
    <xf numFmtId="0" fontId="257" fillId="0" borderId="56" xfId="0" applyFont="1" applyBorder="1" applyAlignment="1">
      <alignment vertical="center" wrapText="1"/>
    </xf>
    <xf numFmtId="0" fontId="257" fillId="0" borderId="0" xfId="0" applyFont="1" applyFill="1" applyBorder="1">
      <alignment vertical="center"/>
    </xf>
    <xf numFmtId="49" fontId="257" fillId="0" borderId="0" xfId="0" applyNumberFormat="1" applyFont="1" applyFill="1" applyBorder="1">
      <alignment vertical="center"/>
    </xf>
    <xf numFmtId="0" fontId="254" fillId="0" borderId="0" xfId="0" applyFont="1" applyFill="1" applyBorder="1">
      <alignment vertical="center"/>
    </xf>
    <xf numFmtId="0" fontId="254" fillId="0" borderId="56" xfId="0" applyFont="1" applyFill="1" applyBorder="1">
      <alignment vertical="center"/>
    </xf>
    <xf numFmtId="0" fontId="257" fillId="5" borderId="0" xfId="0" applyFont="1" applyFill="1" applyBorder="1">
      <alignment vertical="center"/>
    </xf>
    <xf numFmtId="49" fontId="257" fillId="5" borderId="0" xfId="0" applyNumberFormat="1" applyFont="1" applyFill="1" applyBorder="1">
      <alignment vertical="center"/>
    </xf>
    <xf numFmtId="0" fontId="254" fillId="5" borderId="0" xfId="0" applyFont="1" applyFill="1" applyBorder="1">
      <alignment vertical="center"/>
    </xf>
    <xf numFmtId="0" fontId="254" fillId="5" borderId="56" xfId="0" applyFont="1" applyFill="1" applyBorder="1">
      <alignment vertical="center"/>
    </xf>
    <xf numFmtId="0" fontId="257" fillId="0" borderId="0" xfId="0" applyFont="1" applyBorder="1">
      <alignment vertical="center"/>
    </xf>
    <xf numFmtId="0" fontId="254" fillId="0" borderId="0" xfId="0" applyFont="1" applyBorder="1">
      <alignment vertical="center"/>
    </xf>
    <xf numFmtId="0" fontId="254" fillId="0" borderId="56" xfId="0" applyFont="1" applyBorder="1">
      <alignment vertical="center"/>
    </xf>
    <xf numFmtId="0" fontId="257" fillId="0" borderId="56" xfId="0" applyFont="1" applyFill="1" applyBorder="1">
      <alignment vertical="center"/>
    </xf>
    <xf numFmtId="0" fontId="261" fillId="0" borderId="47" xfId="0" applyFont="1" applyBorder="1">
      <alignment vertical="center"/>
    </xf>
    <xf numFmtId="0" fontId="260" fillId="0" borderId="47" xfId="0" applyFont="1" applyBorder="1">
      <alignment vertical="center"/>
    </xf>
    <xf numFmtId="0" fontId="260" fillId="0" borderId="43" xfId="0" applyFont="1" applyBorder="1">
      <alignment vertical="center"/>
    </xf>
    <xf numFmtId="0" fontId="256" fillId="17" borderId="4" xfId="0" applyFont="1" applyFill="1" applyBorder="1" applyAlignment="1">
      <alignment horizontal="center" vertical="center" wrapText="1"/>
    </xf>
    <xf numFmtId="0" fontId="256" fillId="17" borderId="41" xfId="0" applyFont="1" applyFill="1" applyBorder="1" applyAlignment="1">
      <alignment horizontal="center" vertical="center" wrapText="1"/>
    </xf>
    <xf numFmtId="0" fontId="256" fillId="17" borderId="8" xfId="0" quotePrefix="1" applyFont="1" applyFill="1" applyBorder="1" applyAlignment="1">
      <alignment horizontal="center" vertical="center" wrapText="1"/>
    </xf>
    <xf numFmtId="197" fontId="259" fillId="0" borderId="23" xfId="17" quotePrefix="1" applyFont="1" applyFill="1" applyBorder="1">
      <alignment horizontal="left" vertical="center"/>
    </xf>
    <xf numFmtId="197" fontId="259" fillId="0" borderId="1" xfId="17" quotePrefix="1" applyFont="1" applyFill="1" applyBorder="1">
      <alignment horizontal="left" vertical="center"/>
    </xf>
    <xf numFmtId="197" fontId="259" fillId="0" borderId="1" xfId="17" applyFont="1" applyFill="1" applyBorder="1">
      <alignment horizontal="left" vertical="center"/>
    </xf>
    <xf numFmtId="197" fontId="259" fillId="0" borderId="1" xfId="18" applyFont="1" applyFill="1" applyBorder="1">
      <alignment horizontal="center" vertical="center"/>
    </xf>
    <xf numFmtId="197" fontId="263" fillId="0" borderId="1" xfId="18" applyFont="1" applyFill="1" applyBorder="1">
      <alignment horizontal="center" vertical="center"/>
    </xf>
    <xf numFmtId="198" fontId="259" fillId="0" borderId="1" xfId="19" applyFont="1" applyFill="1" applyBorder="1">
      <alignment horizontal="center" vertical="center"/>
    </xf>
    <xf numFmtId="198" fontId="259" fillId="0" borderId="24" xfId="19" applyFont="1" applyFill="1" applyBorder="1">
      <alignment horizontal="center" vertical="center"/>
    </xf>
    <xf numFmtId="197" fontId="259" fillId="5" borderId="23" xfId="17" quotePrefix="1" applyFont="1" applyFill="1" applyBorder="1">
      <alignment horizontal="left" vertical="center"/>
    </xf>
    <xf numFmtId="197" fontId="259" fillId="5" borderId="1" xfId="17" quotePrefix="1" applyFont="1" applyFill="1" applyBorder="1">
      <alignment horizontal="left" vertical="center"/>
    </xf>
    <xf numFmtId="197" fontId="259" fillId="5" borderId="1" xfId="17" applyFont="1" applyFill="1" applyBorder="1">
      <alignment horizontal="left" vertical="center"/>
    </xf>
    <xf numFmtId="197" fontId="259" fillId="5" borderId="1" xfId="18" applyFont="1" applyFill="1" applyBorder="1">
      <alignment horizontal="center" vertical="center"/>
    </xf>
    <xf numFmtId="197" fontId="263" fillId="5" borderId="1" xfId="18" applyFont="1" applyFill="1" applyBorder="1">
      <alignment horizontal="center" vertical="center"/>
    </xf>
    <xf numFmtId="198" fontId="259" fillId="5" borderId="1" xfId="19" applyFont="1" applyFill="1" applyBorder="1">
      <alignment horizontal="center" vertical="center"/>
    </xf>
    <xf numFmtId="198" fontId="259" fillId="5" borderId="24" xfId="19" applyFont="1" applyFill="1" applyBorder="1">
      <alignment horizontal="center" vertical="center"/>
    </xf>
    <xf numFmtId="197" fontId="259" fillId="0" borderId="23" xfId="17" quotePrefix="1" applyFont="1" applyBorder="1">
      <alignment horizontal="left" vertical="center"/>
    </xf>
    <xf numFmtId="197" fontId="259" fillId="0" borderId="1" xfId="17" quotePrefix="1" applyFont="1" applyBorder="1">
      <alignment horizontal="left" vertical="center"/>
    </xf>
    <xf numFmtId="197" fontId="259" fillId="0" borderId="1" xfId="17" applyFont="1" applyBorder="1">
      <alignment horizontal="left" vertical="center"/>
    </xf>
    <xf numFmtId="197" fontId="259" fillId="0" borderId="1" xfId="18" applyFont="1" applyBorder="1">
      <alignment horizontal="center" vertical="center"/>
    </xf>
    <xf numFmtId="197" fontId="263" fillId="0" borderId="1" xfId="18" applyFont="1" applyBorder="1">
      <alignment horizontal="center" vertical="center"/>
    </xf>
    <xf numFmtId="198" fontId="259" fillId="0" borderId="1" xfId="19" applyFont="1" applyBorder="1">
      <alignment horizontal="center" vertical="center"/>
    </xf>
    <xf numFmtId="198" fontId="259" fillId="0" borderId="24" xfId="19" applyFont="1" applyBorder="1">
      <alignment horizontal="center" vertical="center"/>
    </xf>
    <xf numFmtId="197" fontId="262" fillId="0" borderId="1" xfId="18" applyFont="1" applyFill="1" applyBorder="1">
      <alignment horizontal="center" vertical="center"/>
    </xf>
    <xf numFmtId="0" fontId="260" fillId="0" borderId="12" xfId="0" applyFont="1" applyBorder="1">
      <alignment vertical="center"/>
    </xf>
    <xf numFmtId="0" fontId="260" fillId="0" borderId="74" xfId="0" applyFont="1" applyBorder="1">
      <alignment vertical="center"/>
    </xf>
    <xf numFmtId="197" fontId="259" fillId="0" borderId="32" xfId="17" applyFont="1" applyBorder="1">
      <alignment horizontal="left" vertical="center"/>
    </xf>
    <xf numFmtId="0" fontId="114" fillId="0" borderId="74" xfId="0" applyFont="1" applyBorder="1">
      <alignment vertical="center"/>
    </xf>
    <xf numFmtId="0" fontId="260" fillId="0" borderId="76" xfId="0" applyFont="1" applyBorder="1">
      <alignment vertical="center"/>
    </xf>
    <xf numFmtId="0" fontId="257" fillId="0" borderId="0" xfId="0" applyFont="1" applyFill="1" applyBorder="1" applyAlignment="1">
      <alignment vertical="center" wrapText="1"/>
    </xf>
    <xf numFmtId="0" fontId="266" fillId="0" borderId="0" xfId="0" applyFont="1">
      <alignment vertical="center"/>
    </xf>
    <xf numFmtId="0" fontId="80" fillId="0" borderId="1"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vertical="center" wrapText="1"/>
    </xf>
    <xf numFmtId="179" fontId="268" fillId="0" borderId="1" xfId="0" applyNumberFormat="1" applyFont="1" applyFill="1" applyBorder="1" applyAlignment="1" applyProtection="1">
      <alignment horizontal="center" vertical="center" wrapText="1"/>
    </xf>
    <xf numFmtId="179" fontId="19" fillId="0" borderId="1" xfId="0" applyNumberFormat="1" applyFont="1" applyFill="1" applyBorder="1" applyAlignment="1" applyProtection="1">
      <alignment horizontal="center" vertical="center" wrapText="1"/>
    </xf>
    <xf numFmtId="179" fontId="0" fillId="0" borderId="0" xfId="0" applyNumberFormat="1" applyAlignment="1"/>
    <xf numFmtId="0" fontId="19" fillId="0" borderId="1" xfId="0" applyNumberFormat="1" applyFont="1" applyFill="1" applyBorder="1" applyAlignment="1" applyProtection="1">
      <alignment vertical="center" wrapText="1"/>
    </xf>
    <xf numFmtId="0" fontId="257" fillId="0" borderId="18" xfId="0" applyFont="1" applyFill="1" applyBorder="1" applyAlignment="1">
      <alignment vertical="center" wrapText="1"/>
    </xf>
    <xf numFmtId="0" fontId="257" fillId="0" borderId="56" xfId="0" applyFont="1" applyFill="1" applyBorder="1" applyAlignment="1">
      <alignment vertical="center" wrapText="1"/>
    </xf>
    <xf numFmtId="0" fontId="0" fillId="0" borderId="18" xfId="0" applyBorder="1">
      <alignment vertical="center"/>
    </xf>
    <xf numFmtId="0" fontId="266" fillId="0" borderId="0" xfId="0" applyFont="1" applyBorder="1">
      <alignment vertical="center"/>
    </xf>
    <xf numFmtId="0" fontId="0" fillId="0" borderId="0" xfId="0" applyBorder="1">
      <alignment vertical="center"/>
    </xf>
    <xf numFmtId="0" fontId="0" fillId="0" borderId="56" xfId="0" applyBorder="1">
      <alignment vertical="center"/>
    </xf>
    <xf numFmtId="0" fontId="0" fillId="5" borderId="18" xfId="0" applyFill="1" applyBorder="1">
      <alignment vertical="center"/>
    </xf>
    <xf numFmtId="0" fontId="0" fillId="5" borderId="0" xfId="0" applyFill="1" applyBorder="1">
      <alignment vertical="center"/>
    </xf>
    <xf numFmtId="0" fontId="0" fillId="5" borderId="56" xfId="0" applyFill="1" applyBorder="1">
      <alignment vertical="center"/>
    </xf>
    <xf numFmtId="0" fontId="266" fillId="0" borderId="18" xfId="0" applyFont="1" applyBorder="1">
      <alignment vertical="center"/>
    </xf>
    <xf numFmtId="179" fontId="266" fillId="0" borderId="0" xfId="0" applyNumberFormat="1" applyFont="1" applyBorder="1">
      <alignment vertical="center"/>
    </xf>
    <xf numFmtId="179" fontId="266" fillId="0" borderId="56" xfId="0" applyNumberFormat="1" applyFont="1" applyBorder="1">
      <alignment vertical="center"/>
    </xf>
    <xf numFmtId="0" fontId="0" fillId="0" borderId="42" xfId="0" applyBorder="1">
      <alignment vertical="center"/>
    </xf>
    <xf numFmtId="0" fontId="266" fillId="0" borderId="47" xfId="0" applyFont="1" applyBorder="1">
      <alignment vertical="center"/>
    </xf>
    <xf numFmtId="0" fontId="0" fillId="0" borderId="47" xfId="0" applyBorder="1">
      <alignment vertical="center"/>
    </xf>
    <xf numFmtId="0" fontId="0" fillId="0" borderId="43" xfId="0" applyBorder="1">
      <alignment vertical="center"/>
    </xf>
    <xf numFmtId="0" fontId="269" fillId="0" borderId="0" xfId="0" applyFont="1" applyFill="1" applyBorder="1" applyAlignment="1">
      <alignment vertical="center" wrapText="1"/>
    </xf>
    <xf numFmtId="0" fontId="269" fillId="0" borderId="0" xfId="0" applyFont="1" applyBorder="1">
      <alignment vertical="center"/>
    </xf>
    <xf numFmtId="0" fontId="269" fillId="5" borderId="0" xfId="0" applyFont="1" applyFill="1" applyBorder="1">
      <alignment vertical="center"/>
    </xf>
    <xf numFmtId="0" fontId="266" fillId="0" borderId="27" xfId="0" applyFont="1" applyBorder="1">
      <alignment vertical="center"/>
    </xf>
    <xf numFmtId="0" fontId="266" fillId="0" borderId="80" xfId="0" applyFont="1" applyBorder="1">
      <alignment vertical="center"/>
    </xf>
    <xf numFmtId="0" fontId="266" fillId="5" borderId="80" xfId="0" applyFont="1" applyFill="1" applyBorder="1">
      <alignment vertical="center"/>
    </xf>
    <xf numFmtId="0" fontId="266" fillId="0" borderId="81" xfId="0" applyFont="1" applyBorder="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0" borderId="1" xfId="0" applyFont="1" applyBorder="1" applyAlignment="1" applyProtection="1">
      <alignment horizontal="left" vertical="center" wrapText="1"/>
      <protection locked="0"/>
    </xf>
    <xf numFmtId="0" fontId="266" fillId="0" borderId="0" xfId="0" applyFont="1" applyAlignment="1"/>
    <xf numFmtId="0" fontId="266"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vertical="center"/>
      <protection locked="0"/>
    </xf>
    <xf numFmtId="0" fontId="271" fillId="0" borderId="0" xfId="0" applyFont="1">
      <alignment vertical="center"/>
    </xf>
    <xf numFmtId="176" fontId="272" fillId="3" borderId="1" xfId="0" applyNumberFormat="1" applyFont="1" applyFill="1" applyBorder="1" applyAlignment="1">
      <alignment horizontal="center" vertical="center" wrapText="1"/>
    </xf>
    <xf numFmtId="0" fontId="271" fillId="0" borderId="1" xfId="0" applyFont="1" applyBorder="1" applyAlignment="1">
      <alignment horizontal="center" vertical="center"/>
    </xf>
    <xf numFmtId="176" fontId="272" fillId="7" borderId="0" xfId="0" applyNumberFormat="1" applyFont="1" applyFill="1" applyAlignment="1">
      <alignment horizontal="center" vertical="center" shrinkToFit="1"/>
    </xf>
    <xf numFmtId="186" fontId="272" fillId="7" borderId="0" xfId="0" applyNumberFormat="1" applyFont="1" applyFill="1" applyAlignment="1">
      <alignment horizontal="center" vertical="center" wrapText="1"/>
    </xf>
    <xf numFmtId="176" fontId="272" fillId="7" borderId="0" xfId="0" applyNumberFormat="1" applyFont="1" applyFill="1" applyAlignment="1">
      <alignment horizontal="center" vertical="center" wrapText="1"/>
    </xf>
    <xf numFmtId="0" fontId="271" fillId="0" borderId="0" xfId="0" applyFont="1" applyBorder="1" applyAlignment="1">
      <alignment horizontal="center" vertical="center"/>
    </xf>
    <xf numFmtId="176" fontId="273" fillId="7" borderId="0" xfId="0" applyNumberFormat="1" applyFont="1" applyFill="1" applyAlignment="1">
      <alignment horizontal="center" vertical="center" wrapText="1"/>
    </xf>
    <xf numFmtId="176" fontId="273" fillId="3" borderId="0" xfId="0" applyNumberFormat="1" applyFont="1" applyFill="1" applyAlignment="1">
      <alignment horizontal="center" vertical="center"/>
    </xf>
    <xf numFmtId="49" fontId="273" fillId="3" borderId="0" xfId="0" applyNumberFormat="1" applyFont="1" applyFill="1" applyAlignment="1">
      <alignment horizontal="center" vertical="center"/>
    </xf>
    <xf numFmtId="186" fontId="273" fillId="3" borderId="0" xfId="0" applyNumberFormat="1" applyFont="1" applyFill="1" applyAlignment="1">
      <alignment horizontal="center" vertical="center"/>
    </xf>
    <xf numFmtId="0" fontId="0" fillId="0" borderId="0" xfId="0" applyAlignment="1">
      <alignment horizontal="center" vertical="center"/>
    </xf>
    <xf numFmtId="176" fontId="0" fillId="3" borderId="1" xfId="0" applyNumberFormat="1" applyFont="1" applyFill="1" applyBorder="1" applyAlignment="1">
      <alignment horizontal="center" vertical="center" wrapText="1"/>
    </xf>
    <xf numFmtId="0" fontId="0" fillId="0" borderId="1" xfId="0" applyFont="1" applyBorder="1" applyAlignment="1">
      <alignment horizontal="center" vertical="center"/>
    </xf>
    <xf numFmtId="176" fontId="0"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0" fontId="137" fillId="0" borderId="0" xfId="0" applyFont="1" applyFill="1" applyBorder="1" applyAlignment="1">
      <alignment horizontal="center" vertical="center"/>
    </xf>
    <xf numFmtId="49" fontId="137" fillId="0" borderId="0" xfId="0" applyNumberFormat="1" applyFont="1" applyFill="1" applyBorder="1" applyAlignment="1">
      <alignment horizontal="center" vertical="center"/>
    </xf>
    <xf numFmtId="176" fontId="137" fillId="0" borderId="0" xfId="0" applyNumberFormat="1" applyFont="1" applyFill="1" applyBorder="1" applyAlignment="1">
      <alignment horizontal="center" vertical="center"/>
    </xf>
    <xf numFmtId="179" fontId="137" fillId="0" borderId="0" xfId="0" applyNumberFormat="1" applyFont="1" applyFill="1" applyBorder="1" applyAlignment="1">
      <alignment horizontal="center" vertical="center"/>
    </xf>
    <xf numFmtId="0" fontId="137" fillId="0" borderId="0" xfId="0" applyFont="1" applyFill="1" applyBorder="1" applyAlignment="1">
      <alignment horizontal="center" vertical="center" wrapText="1"/>
    </xf>
    <xf numFmtId="0" fontId="0" fillId="0" borderId="0" xfId="0" applyFill="1" applyAlignment="1">
      <alignment horizontal="center" vertical="center"/>
    </xf>
    <xf numFmtId="0" fontId="137" fillId="0" borderId="0" xfId="0" applyFont="1" applyAlignment="1">
      <alignment horizontal="center" vertical="center"/>
    </xf>
    <xf numFmtId="49" fontId="137" fillId="0" borderId="0" xfId="0" applyNumberFormat="1" applyFont="1" applyAlignment="1">
      <alignment horizontal="center" vertical="center"/>
    </xf>
    <xf numFmtId="176" fontId="137" fillId="0" borderId="0" xfId="0" applyNumberFormat="1" applyFont="1" applyAlignment="1">
      <alignment horizontal="center" vertical="center"/>
    </xf>
    <xf numFmtId="49" fontId="0" fillId="0" borderId="0" xfId="0" applyNumberFormat="1" applyAlignment="1">
      <alignment horizontal="center" vertical="center"/>
    </xf>
    <xf numFmtId="176" fontId="0" fillId="0" borderId="0" xfId="0" applyNumberFormat="1" applyAlignment="1">
      <alignment horizontal="center" vertical="center"/>
    </xf>
    <xf numFmtId="0" fontId="98" fillId="6" borderId="0" xfId="0" applyFont="1" applyFill="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77" fontId="50" fillId="19" borderId="1" xfId="1" applyNumberFormat="1" applyFont="1" applyFill="1" applyBorder="1" applyAlignment="1" applyProtection="1">
      <alignment horizontal="center" vertical="center"/>
      <protection locked="0"/>
    </xf>
    <xf numFmtId="177" fontId="47" fillId="19" borderId="1" xfId="1" applyNumberFormat="1" applyFont="1" applyFill="1" applyBorder="1" applyAlignment="1" applyProtection="1">
      <alignment horizontal="center" vertical="center"/>
      <protection locked="0"/>
    </xf>
    <xf numFmtId="0" fontId="266" fillId="0" borderId="1"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6" xfId="0" applyFont="1" applyBorder="1" applyAlignment="1">
      <alignment horizontal="center" vertical="center"/>
    </xf>
    <xf numFmtId="0" fontId="255" fillId="0" borderId="19" xfId="0" applyFont="1" applyBorder="1" applyAlignment="1">
      <alignment horizontal="center" vertical="center"/>
    </xf>
    <xf numFmtId="0" fontId="255" fillId="0" borderId="31" xfId="0" applyFont="1" applyBorder="1" applyAlignment="1">
      <alignment horizontal="center" vertical="center"/>
    </xf>
    <xf numFmtId="0" fontId="257" fillId="0" borderId="19" xfId="0" applyFont="1" applyBorder="1" applyAlignment="1">
      <alignment horizontal="center" vertical="center" wrapText="1"/>
    </xf>
    <xf numFmtId="0" fontId="257" fillId="0" borderId="31" xfId="0" applyFont="1" applyBorder="1" applyAlignment="1">
      <alignment horizontal="center" vertical="center" wrapText="1"/>
    </xf>
    <xf numFmtId="0" fontId="266" fillId="0" borderId="16" xfId="0" applyFont="1" applyBorder="1" applyAlignment="1">
      <alignment horizontal="center" vertical="center"/>
    </xf>
    <xf numFmtId="0" fontId="266" fillId="0" borderId="19" xfId="0" applyFont="1" applyBorder="1" applyAlignment="1">
      <alignment horizontal="center" vertical="center"/>
    </xf>
    <xf numFmtId="0" fontId="266" fillId="0" borderId="31" xfId="0" applyFont="1" applyBorder="1" applyAlignment="1">
      <alignment horizontal="center" vertical="center"/>
    </xf>
    <xf numFmtId="0" fontId="266" fillId="0" borderId="0" xfId="0" applyFont="1" applyAlignment="1">
      <alignment horizontal="left" vertical="center"/>
    </xf>
    <xf numFmtId="0" fontId="267" fillId="0" borderId="0" xfId="0" applyNumberFormat="1" applyFont="1" applyFill="1" applyBorder="1" applyAlignment="1" applyProtection="1">
      <alignment horizontal="center" vertical="center"/>
    </xf>
    <xf numFmtId="0" fontId="80" fillId="0" borderId="60" xfId="0" applyNumberFormat="1" applyFont="1" applyFill="1" applyBorder="1" applyAlignment="1" applyProtection="1">
      <alignment horizontal="center" vertical="center"/>
    </xf>
    <xf numFmtId="0" fontId="80" fillId="0" borderId="13"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273" fillId="7" borderId="0" xfId="0" applyNumberFormat="1" applyFont="1" applyFill="1" applyAlignment="1">
      <alignment horizontal="left" vertical="center" wrapText="1"/>
    </xf>
    <xf numFmtId="49" fontId="273" fillId="7" borderId="0" xfId="0" applyNumberFormat="1" applyFont="1" applyFill="1" applyAlignment="1">
      <alignment horizontal="right" vertical="center"/>
    </xf>
    <xf numFmtId="176" fontId="270" fillId="3" borderId="1" xfId="0" applyNumberFormat="1" applyFont="1" applyFill="1" applyBorder="1" applyAlignment="1">
      <alignment horizontal="center" vertical="center"/>
    </xf>
    <xf numFmtId="176" fontId="272" fillId="3" borderId="5" xfId="0" applyNumberFormat="1" applyFont="1" applyFill="1" applyBorder="1" applyAlignment="1">
      <alignment horizontal="left" vertical="center"/>
    </xf>
    <xf numFmtId="176" fontId="272" fillId="3" borderId="54" xfId="0" applyNumberFormat="1" applyFont="1" applyFill="1" applyBorder="1" applyAlignment="1">
      <alignment horizontal="left" vertical="center"/>
    </xf>
    <xf numFmtId="176" fontId="272" fillId="3" borderId="3" xfId="0" applyNumberFormat="1" applyFont="1" applyFill="1" applyBorder="1" applyAlignment="1">
      <alignment horizontal="left" vertical="center"/>
    </xf>
    <xf numFmtId="186" fontId="273" fillId="3" borderId="1" xfId="0" applyNumberFormat="1" applyFont="1" applyFill="1" applyBorder="1" applyAlignment="1">
      <alignment horizontal="center" vertical="center"/>
    </xf>
    <xf numFmtId="176" fontId="272" fillId="3" borderId="13" xfId="0" applyNumberFormat="1" applyFont="1" applyFill="1" applyBorder="1" applyAlignment="1">
      <alignment horizontal="center" vertical="center" wrapText="1"/>
    </xf>
    <xf numFmtId="176" fontId="272" fillId="3" borderId="2" xfId="0" applyNumberFormat="1" applyFont="1" applyFill="1" applyBorder="1" applyAlignment="1">
      <alignment horizontal="center" vertical="center" wrapText="1"/>
    </xf>
    <xf numFmtId="176" fontId="272" fillId="3" borderId="1" xfId="0" applyNumberFormat="1" applyFont="1" applyFill="1" applyBorder="1" applyAlignment="1">
      <alignment horizontal="center" vertical="center" wrapText="1"/>
    </xf>
    <xf numFmtId="49" fontId="272" fillId="3" borderId="1" xfId="0" applyNumberFormat="1" applyFont="1" applyFill="1" applyBorder="1" applyAlignment="1">
      <alignment horizontal="center" vertical="center" wrapText="1"/>
    </xf>
    <xf numFmtId="186" fontId="272" fillId="3" borderId="1" xfId="0" applyNumberFormat="1" applyFont="1" applyFill="1" applyBorder="1" applyAlignment="1">
      <alignment horizontal="center" vertical="center" wrapText="1"/>
    </xf>
    <xf numFmtId="0" fontId="137" fillId="0" borderId="0" xfId="0" applyFont="1" applyFill="1" applyBorder="1" applyAlignment="1">
      <alignment horizontal="center" vertical="center" wrapText="1"/>
    </xf>
    <xf numFmtId="0" fontId="137" fillId="0" borderId="0" xfId="0" applyFont="1" applyFill="1" applyBorder="1" applyAlignment="1">
      <alignment horizontal="right" vertical="center" wrapText="1"/>
    </xf>
    <xf numFmtId="176" fontId="274" fillId="3" borderId="46" xfId="0" applyNumberFormat="1" applyFont="1" applyFill="1" applyBorder="1" applyAlignment="1">
      <alignment horizontal="center" vertical="center"/>
    </xf>
    <xf numFmtId="176" fontId="274" fillId="3" borderId="36" xfId="0" applyNumberFormat="1" applyFont="1" applyFill="1" applyBorder="1" applyAlignment="1">
      <alignment horizontal="center" vertical="center"/>
    </xf>
    <xf numFmtId="176" fontId="274" fillId="3" borderId="22" xfId="0" applyNumberFormat="1" applyFont="1" applyFill="1" applyBorder="1" applyAlignment="1">
      <alignment horizontal="center" vertical="center"/>
    </xf>
    <xf numFmtId="176" fontId="274" fillId="3" borderId="4" xfId="0" applyNumberFormat="1" applyFont="1" applyFill="1" applyBorder="1" applyAlignment="1">
      <alignment horizontal="center" vertical="center"/>
    </xf>
    <xf numFmtId="176" fontId="274" fillId="3" borderId="60" xfId="0" applyNumberFormat="1" applyFont="1" applyFill="1" applyBorder="1" applyAlignment="1">
      <alignment horizontal="center" vertical="center"/>
    </xf>
    <xf numFmtId="176" fontId="274" fillId="3" borderId="7" xfId="0" applyNumberFormat="1" applyFont="1" applyFill="1" applyBorder="1" applyAlignment="1">
      <alignment horizontal="center" vertical="center"/>
    </xf>
    <xf numFmtId="176" fontId="0" fillId="3" borderId="5" xfId="0" applyNumberFormat="1" applyFont="1" applyFill="1" applyBorder="1" applyAlignment="1">
      <alignment horizontal="left" vertical="center"/>
    </xf>
    <xf numFmtId="176" fontId="0" fillId="3" borderId="54" xfId="0" applyNumberFormat="1" applyFont="1" applyFill="1" applyBorder="1" applyAlignment="1">
      <alignment horizontal="left" vertical="center"/>
    </xf>
    <xf numFmtId="176" fontId="0" fillId="3" borderId="3" xfId="0" applyNumberFormat="1" applyFont="1" applyFill="1" applyBorder="1" applyAlignment="1">
      <alignment horizontal="left" vertical="center"/>
    </xf>
    <xf numFmtId="186" fontId="0" fillId="3" borderId="1" xfId="0" applyNumberFormat="1" applyFont="1" applyFill="1" applyBorder="1" applyAlignment="1">
      <alignment horizontal="center" vertical="center"/>
    </xf>
    <xf numFmtId="176" fontId="0" fillId="3" borderId="1" xfId="0" applyNumberFormat="1" applyFont="1" applyFill="1" applyBorder="1" applyAlignment="1">
      <alignment horizontal="center" vertical="center" wrapText="1"/>
    </xf>
    <xf numFmtId="49" fontId="0" fillId="3" borderId="1" xfId="0" applyNumberFormat="1" applyFont="1" applyFill="1" applyBorder="1" applyAlignment="1">
      <alignment horizontal="center" vertical="center" wrapText="1"/>
    </xf>
    <xf numFmtId="186" fontId="0" fillId="3" borderId="1" xfId="0" applyNumberFormat="1" applyFont="1" applyFill="1" applyBorder="1" applyAlignment="1">
      <alignment horizontal="center" vertical="center" wrapText="1"/>
    </xf>
  </cellXfs>
  <cellStyles count="20">
    <cellStyle name="YGC-headerL" xfId="17"/>
    <cellStyle name="YGC-valueC-D0" xfId="19"/>
    <cellStyle name="YGC-valueC-D2" xfId="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16</xdr:col>
      <xdr:colOff>0</xdr:colOff>
      <xdr:row>2</xdr:row>
      <xdr:rowOff>0</xdr:rowOff>
    </xdr:from>
    <xdr:ext cx="184731" cy="264560"/>
    <xdr:sp macro="" textlink="">
      <xdr:nvSpPr>
        <xdr:cNvPr id="2" name="TextBox 1"/>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15</xdr:col>
      <xdr:colOff>0</xdr:colOff>
      <xdr:row>1</xdr:row>
      <xdr:rowOff>0</xdr:rowOff>
    </xdr:from>
    <xdr:ext cx="184731" cy="264560"/>
    <xdr:sp macro="" textlink="">
      <xdr:nvSpPr>
        <xdr:cNvPr id="3" name="TextBox 2"/>
        <xdr:cNvSpPr txBox="1"/>
      </xdr:nvSpPr>
      <xdr:spPr>
        <a:xfrm>
          <a:off x="9505950" y="3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15</xdr:col>
      <xdr:colOff>0</xdr:colOff>
      <xdr:row>1</xdr:row>
      <xdr:rowOff>0</xdr:rowOff>
    </xdr:from>
    <xdr:ext cx="184731" cy="264560"/>
    <xdr:sp macro="" textlink="">
      <xdr:nvSpPr>
        <xdr:cNvPr id="4" name="TextBox 3"/>
        <xdr:cNvSpPr txBox="1"/>
      </xdr:nvSpPr>
      <xdr:spPr>
        <a:xfrm>
          <a:off x="9505950" y="3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5" name="TextBox 4"/>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6" name="TextBox 5"/>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7" name="TextBox 6"/>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8" name="TextBox 7"/>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9" name="TextBox 8"/>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0" name="TextBox 17"/>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1" name="TextBox 18"/>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2" name="TextBox 29"/>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3" name="TextBox 30"/>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4" name="TextBox 31"/>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5" name="TextBox 32"/>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6" name="TextBox 33"/>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7" name="TextBox 34"/>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8" name="TextBox 35"/>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19" name="TextBox 36"/>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16</xdr:col>
      <xdr:colOff>0</xdr:colOff>
      <xdr:row>2</xdr:row>
      <xdr:rowOff>0</xdr:rowOff>
    </xdr:from>
    <xdr:ext cx="184731" cy="264560"/>
    <xdr:sp macro="" textlink="">
      <xdr:nvSpPr>
        <xdr:cNvPr id="20" name="TextBox 37"/>
        <xdr:cNvSpPr txBox="1"/>
      </xdr:nvSpPr>
      <xdr:spPr>
        <a:xfrm>
          <a:off x="10191750" y="70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122465</xdr:rowOff>
    </xdr:from>
    <xdr:to>
      <xdr:col>6</xdr:col>
      <xdr:colOff>866153</xdr:colOff>
      <xdr:row>46</xdr:row>
      <xdr:rowOff>36332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898572"/>
          <a:ext cx="4948296" cy="3370081"/>
        </a:xfrm>
        <a:prstGeom prst="rect">
          <a:avLst/>
        </a:prstGeom>
      </xdr:spPr>
    </xdr:pic>
    <xdr:clientData/>
  </xdr:twoCellAnchor>
  <xdr:twoCellAnchor editAs="oneCell">
    <xdr:from>
      <xdr:col>0</xdr:col>
      <xdr:colOff>0</xdr:colOff>
      <xdr:row>46</xdr:row>
      <xdr:rowOff>136073</xdr:rowOff>
    </xdr:from>
    <xdr:to>
      <xdr:col>10</xdr:col>
      <xdr:colOff>269486</xdr:colOff>
      <xdr:row>82</xdr:row>
      <xdr:rowOff>128606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368394"/>
          <a:ext cx="7467665" cy="6360676"/>
        </a:xfrm>
        <a:prstGeom prst="rect">
          <a:avLst/>
        </a:prstGeom>
      </xdr:spPr>
    </xdr:pic>
    <xdr:clientData/>
  </xdr:twoCellAnchor>
  <xdr:twoCellAnchor editAs="oneCell">
    <xdr:from>
      <xdr:col>0</xdr:col>
      <xdr:colOff>0</xdr:colOff>
      <xdr:row>83</xdr:row>
      <xdr:rowOff>24256</xdr:rowOff>
    </xdr:from>
    <xdr:to>
      <xdr:col>7</xdr:col>
      <xdr:colOff>360427</xdr:colOff>
      <xdr:row>111</xdr:row>
      <xdr:rowOff>118945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801613"/>
          <a:ext cx="5517534" cy="50476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685029</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71429" cy="46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pc\Desktop\2019.6\&#38397;&#20399;\&#36164;&#26009;\4%23&#22320;&#22359;&#39044;&#27979;&#25104;&#26524;\4%23&#22320;&#22359;&#39044;&#27979;&#25104;&#26524;\1%23%20%20%20&#24188;&#20799;&#22253;%20%20%20101-103&#22320;&#19979;&#23460;&#39044;&#27979;&#25104;&#26524;20170322\1%23+&#24188;&#20799;&#22253;\1%23&#27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pc\Desktop\2019.6\&#38397;&#20399;\&#36164;&#26009;\4%23&#22320;&#22359;&#39044;&#27979;&#25104;&#26524;\4%23&#22320;&#22359;&#39044;&#27979;&#25104;&#26524;\&#21035;&#22661;&#22320;&#19979;&#23460;20171221\2-97&#22320;&#19979;&#234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系数"/>
      <sheetName val="分摊"/>
      <sheetName val="产权"/>
    </sheetNames>
    <sheetDataSet>
      <sheetData sheetId="0" refreshError="1"/>
      <sheetData sheetId="1" refreshError="1"/>
      <sheetData sheetId="2">
        <row r="68">
          <cell r="M68">
            <v>66.05</v>
          </cell>
        </row>
        <row r="95">
          <cell r="M95">
            <v>713.53</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筑面积计算表"/>
      <sheetName val="系数"/>
      <sheetName val="分摊"/>
      <sheetName val="产权"/>
    </sheetNames>
    <sheetDataSet>
      <sheetData sheetId="0" refreshError="1"/>
      <sheetData sheetId="1" refreshError="1"/>
      <sheetData sheetId="2">
        <row r="2">
          <cell r="A2" t="str">
            <v>单位名称：福建宏辉房地产开发有限公司              项目名称：南屿滨江城2#-97#连接体地下室</v>
          </cell>
        </row>
        <row r="6">
          <cell r="B6" t="str">
            <v>车位1</v>
          </cell>
          <cell r="C6">
            <v>12.72</v>
          </cell>
          <cell r="H6">
            <v>24.67</v>
          </cell>
        </row>
        <row r="7">
          <cell r="B7" t="str">
            <v>车位2</v>
          </cell>
          <cell r="C7">
            <v>12.72</v>
          </cell>
          <cell r="H7">
            <v>24.67</v>
          </cell>
        </row>
        <row r="8">
          <cell r="B8" t="str">
            <v>车位3</v>
          </cell>
          <cell r="C8">
            <v>12.72</v>
          </cell>
          <cell r="H8">
            <v>24.67</v>
          </cell>
        </row>
        <row r="9">
          <cell r="B9" t="str">
            <v>车位4</v>
          </cell>
          <cell r="C9">
            <v>12.72</v>
          </cell>
          <cell r="H9">
            <v>24.67</v>
          </cell>
        </row>
        <row r="10">
          <cell r="B10" t="str">
            <v>车位5</v>
          </cell>
          <cell r="C10">
            <v>12.72</v>
          </cell>
          <cell r="H10">
            <v>24.67</v>
          </cell>
        </row>
        <row r="11">
          <cell r="B11" t="str">
            <v>车位6</v>
          </cell>
          <cell r="C11">
            <v>12.72</v>
          </cell>
          <cell r="H11">
            <v>24.67</v>
          </cell>
        </row>
        <row r="12">
          <cell r="B12" t="str">
            <v>车位7</v>
          </cell>
          <cell r="C12">
            <v>12.72</v>
          </cell>
          <cell r="H12">
            <v>24.67</v>
          </cell>
        </row>
        <row r="13">
          <cell r="B13" t="str">
            <v>车位8</v>
          </cell>
          <cell r="C13">
            <v>12.72</v>
          </cell>
          <cell r="H13">
            <v>24.67</v>
          </cell>
        </row>
        <row r="14">
          <cell r="B14" t="str">
            <v>车位9</v>
          </cell>
          <cell r="C14">
            <v>12.72</v>
          </cell>
          <cell r="H14">
            <v>24.67</v>
          </cell>
        </row>
        <row r="15">
          <cell r="B15" t="str">
            <v>车位10</v>
          </cell>
          <cell r="C15">
            <v>12.72</v>
          </cell>
          <cell r="H15">
            <v>24.67</v>
          </cell>
        </row>
        <row r="16">
          <cell r="B16" t="str">
            <v>车位11</v>
          </cell>
          <cell r="C16">
            <v>12.72</v>
          </cell>
          <cell r="H16">
            <v>24.67</v>
          </cell>
        </row>
        <row r="17">
          <cell r="B17" t="str">
            <v>车位12</v>
          </cell>
          <cell r="C17">
            <v>12.72</v>
          </cell>
          <cell r="H17">
            <v>24.67</v>
          </cell>
        </row>
        <row r="18">
          <cell r="B18" t="str">
            <v>车位13</v>
          </cell>
          <cell r="C18">
            <v>12.72</v>
          </cell>
          <cell r="H18">
            <v>24.67</v>
          </cell>
        </row>
        <row r="19">
          <cell r="B19" t="str">
            <v>车位14</v>
          </cell>
          <cell r="C19">
            <v>12.72</v>
          </cell>
          <cell r="H19">
            <v>24.67</v>
          </cell>
        </row>
        <row r="20">
          <cell r="B20" t="str">
            <v>车位15</v>
          </cell>
          <cell r="C20">
            <v>12.72</v>
          </cell>
          <cell r="H20">
            <v>24.67</v>
          </cell>
        </row>
        <row r="21">
          <cell r="B21" t="str">
            <v>车位16</v>
          </cell>
          <cell r="C21">
            <v>12.72</v>
          </cell>
          <cell r="H21">
            <v>24.67</v>
          </cell>
        </row>
        <row r="22">
          <cell r="B22" t="str">
            <v>车位17</v>
          </cell>
          <cell r="C22">
            <v>12.72</v>
          </cell>
          <cell r="H22">
            <v>24.67</v>
          </cell>
        </row>
        <row r="23">
          <cell r="B23" t="str">
            <v>车位18</v>
          </cell>
          <cell r="C23">
            <v>12.72</v>
          </cell>
          <cell r="H23">
            <v>24.67</v>
          </cell>
        </row>
        <row r="24">
          <cell r="B24" t="str">
            <v>车位19</v>
          </cell>
          <cell r="C24">
            <v>12.72</v>
          </cell>
          <cell r="H24">
            <v>24.67</v>
          </cell>
        </row>
        <row r="25">
          <cell r="B25" t="str">
            <v>车位20</v>
          </cell>
          <cell r="C25">
            <v>12.72</v>
          </cell>
          <cell r="H25">
            <v>24.67</v>
          </cell>
        </row>
        <row r="26">
          <cell r="B26" t="str">
            <v>车位21</v>
          </cell>
          <cell r="C26">
            <v>12.72</v>
          </cell>
          <cell r="H26">
            <v>24.67</v>
          </cell>
        </row>
        <row r="27">
          <cell r="B27" t="str">
            <v>车位22</v>
          </cell>
          <cell r="C27">
            <v>12.72</v>
          </cell>
          <cell r="H27">
            <v>24.67</v>
          </cell>
        </row>
        <row r="28">
          <cell r="B28" t="str">
            <v>车位23</v>
          </cell>
          <cell r="C28">
            <v>12.72</v>
          </cell>
          <cell r="H28">
            <v>24.67</v>
          </cell>
        </row>
        <row r="29">
          <cell r="B29" t="str">
            <v>车位24</v>
          </cell>
          <cell r="C29">
            <v>12.72</v>
          </cell>
          <cell r="H29">
            <v>24.67</v>
          </cell>
        </row>
        <row r="30">
          <cell r="B30" t="str">
            <v>车位25</v>
          </cell>
          <cell r="C30">
            <v>12.72</v>
          </cell>
          <cell r="H30">
            <v>24.67</v>
          </cell>
        </row>
        <row r="31">
          <cell r="B31" t="str">
            <v>车位26</v>
          </cell>
          <cell r="C31">
            <v>12.72</v>
          </cell>
          <cell r="H31">
            <v>24.67</v>
          </cell>
        </row>
        <row r="32">
          <cell r="B32" t="str">
            <v>车位27</v>
          </cell>
          <cell r="C32">
            <v>12.72</v>
          </cell>
          <cell r="H32">
            <v>24.67</v>
          </cell>
        </row>
        <row r="33">
          <cell r="B33" t="str">
            <v>车位28</v>
          </cell>
          <cell r="C33">
            <v>12.72</v>
          </cell>
          <cell r="H33">
            <v>24.67</v>
          </cell>
        </row>
        <row r="34">
          <cell r="B34" t="str">
            <v>车位29</v>
          </cell>
          <cell r="C34">
            <v>12.72</v>
          </cell>
          <cell r="H34">
            <v>24.67</v>
          </cell>
        </row>
        <row r="35">
          <cell r="B35" t="str">
            <v>车位30</v>
          </cell>
          <cell r="C35">
            <v>12.72</v>
          </cell>
          <cell r="H35">
            <v>24.67</v>
          </cell>
        </row>
        <row r="36">
          <cell r="B36" t="str">
            <v>车位31</v>
          </cell>
          <cell r="C36">
            <v>12.72</v>
          </cell>
          <cell r="H36">
            <v>24.67</v>
          </cell>
        </row>
        <row r="37">
          <cell r="B37" t="str">
            <v>车位32</v>
          </cell>
          <cell r="C37">
            <v>12.72</v>
          </cell>
          <cell r="H37">
            <v>24.67</v>
          </cell>
        </row>
        <row r="38">
          <cell r="B38" t="str">
            <v>车位33</v>
          </cell>
          <cell r="C38">
            <v>12.72</v>
          </cell>
          <cell r="H38">
            <v>24.67</v>
          </cell>
        </row>
        <row r="39">
          <cell r="B39" t="str">
            <v>车位34</v>
          </cell>
          <cell r="C39">
            <v>12.72</v>
          </cell>
          <cell r="H39">
            <v>24.67</v>
          </cell>
        </row>
        <row r="40">
          <cell r="B40" t="str">
            <v>车位35</v>
          </cell>
          <cell r="C40">
            <v>12.72</v>
          </cell>
          <cell r="H40">
            <v>24.67</v>
          </cell>
        </row>
        <row r="41">
          <cell r="B41" t="str">
            <v>车位36</v>
          </cell>
          <cell r="C41">
            <v>12.72</v>
          </cell>
          <cell r="H41">
            <v>24.67</v>
          </cell>
        </row>
        <row r="42">
          <cell r="B42" t="str">
            <v>车位37</v>
          </cell>
          <cell r="C42">
            <v>12.72</v>
          </cell>
          <cell r="H42">
            <v>24.67</v>
          </cell>
        </row>
        <row r="43">
          <cell r="B43" t="str">
            <v>车位38</v>
          </cell>
          <cell r="C43">
            <v>12.72</v>
          </cell>
          <cell r="H43">
            <v>24.67</v>
          </cell>
        </row>
        <row r="44">
          <cell r="B44" t="str">
            <v>车位39</v>
          </cell>
          <cell r="C44">
            <v>12.72</v>
          </cell>
          <cell r="H44">
            <v>24.67</v>
          </cell>
        </row>
        <row r="45">
          <cell r="B45" t="str">
            <v>车位40</v>
          </cell>
          <cell r="C45">
            <v>12.72</v>
          </cell>
          <cell r="H45">
            <v>24.67</v>
          </cell>
        </row>
        <row r="46">
          <cell r="B46" t="str">
            <v>车位41</v>
          </cell>
          <cell r="C46">
            <v>12.72</v>
          </cell>
          <cell r="H46">
            <v>24.67</v>
          </cell>
        </row>
        <row r="47">
          <cell r="B47" t="str">
            <v>车位42</v>
          </cell>
          <cell r="C47">
            <v>12.72</v>
          </cell>
          <cell r="H47">
            <v>24.67</v>
          </cell>
        </row>
        <row r="48">
          <cell r="B48" t="str">
            <v>车位43</v>
          </cell>
          <cell r="C48">
            <v>12.72</v>
          </cell>
          <cell r="H48">
            <v>24.67</v>
          </cell>
        </row>
        <row r="49">
          <cell r="B49" t="str">
            <v>车位44</v>
          </cell>
          <cell r="C49">
            <v>12.72</v>
          </cell>
          <cell r="H49">
            <v>24.67</v>
          </cell>
        </row>
        <row r="50">
          <cell r="B50" t="str">
            <v>车位45</v>
          </cell>
          <cell r="C50">
            <v>12.72</v>
          </cell>
          <cell r="H50">
            <v>24.67</v>
          </cell>
        </row>
        <row r="51">
          <cell r="B51" t="str">
            <v>车位46</v>
          </cell>
          <cell r="C51">
            <v>12.72</v>
          </cell>
          <cell r="H51">
            <v>24.67</v>
          </cell>
        </row>
        <row r="52">
          <cell r="B52" t="str">
            <v>车位47</v>
          </cell>
          <cell r="C52">
            <v>12.72</v>
          </cell>
          <cell r="H52">
            <v>24.67</v>
          </cell>
        </row>
        <row r="53">
          <cell r="B53" t="str">
            <v>车位48</v>
          </cell>
          <cell r="C53">
            <v>12.72</v>
          </cell>
          <cell r="H53">
            <v>24.67</v>
          </cell>
        </row>
        <row r="54">
          <cell r="B54" t="str">
            <v>车位49</v>
          </cell>
          <cell r="C54">
            <v>12.72</v>
          </cell>
          <cell r="H54">
            <v>24.67</v>
          </cell>
        </row>
        <row r="55">
          <cell r="B55" t="str">
            <v>车位50</v>
          </cell>
          <cell r="C55">
            <v>12.72</v>
          </cell>
          <cell r="H55">
            <v>24.67</v>
          </cell>
        </row>
        <row r="56">
          <cell r="B56" t="str">
            <v>车位51</v>
          </cell>
          <cell r="C56">
            <v>12.72</v>
          </cell>
          <cell r="H56">
            <v>24.67</v>
          </cell>
        </row>
        <row r="57">
          <cell r="B57" t="str">
            <v>车位52</v>
          </cell>
          <cell r="C57">
            <v>12.72</v>
          </cell>
          <cell r="H57">
            <v>24.67</v>
          </cell>
        </row>
        <row r="58">
          <cell r="B58" t="str">
            <v>车位53</v>
          </cell>
          <cell r="C58">
            <v>12.72</v>
          </cell>
          <cell r="H58">
            <v>24.67</v>
          </cell>
        </row>
        <row r="59">
          <cell r="B59" t="str">
            <v>车位54</v>
          </cell>
          <cell r="C59">
            <v>12.72</v>
          </cell>
          <cell r="H59">
            <v>24.67</v>
          </cell>
        </row>
        <row r="60">
          <cell r="B60" t="str">
            <v>车位55</v>
          </cell>
          <cell r="C60">
            <v>12.72</v>
          </cell>
          <cell r="H60">
            <v>24.67</v>
          </cell>
        </row>
        <row r="61">
          <cell r="B61" t="str">
            <v>车位56</v>
          </cell>
          <cell r="C61">
            <v>12.72</v>
          </cell>
          <cell r="H61">
            <v>24.67</v>
          </cell>
        </row>
        <row r="62">
          <cell r="B62" t="str">
            <v>车位57</v>
          </cell>
          <cell r="C62">
            <v>12.72</v>
          </cell>
          <cell r="H62">
            <v>24.67</v>
          </cell>
        </row>
        <row r="63">
          <cell r="B63" t="str">
            <v>车位58</v>
          </cell>
          <cell r="C63">
            <v>12.72</v>
          </cell>
          <cell r="H63">
            <v>24.67</v>
          </cell>
        </row>
        <row r="64">
          <cell r="B64" t="str">
            <v>车位59</v>
          </cell>
          <cell r="C64">
            <v>12.72</v>
          </cell>
          <cell r="H64">
            <v>24.67</v>
          </cell>
        </row>
        <row r="65">
          <cell r="B65" t="str">
            <v>车位60</v>
          </cell>
          <cell r="C65">
            <v>12.72</v>
          </cell>
          <cell r="H65">
            <v>24.67</v>
          </cell>
        </row>
        <row r="66">
          <cell r="B66" t="str">
            <v>车位61</v>
          </cell>
          <cell r="C66">
            <v>12.72</v>
          </cell>
          <cell r="H66">
            <v>24.67</v>
          </cell>
        </row>
        <row r="67">
          <cell r="B67" t="str">
            <v>车位62</v>
          </cell>
          <cell r="C67">
            <v>12.72</v>
          </cell>
          <cell r="H67">
            <v>24.67</v>
          </cell>
        </row>
        <row r="68">
          <cell r="B68" t="str">
            <v>车位63</v>
          </cell>
          <cell r="C68">
            <v>12.72</v>
          </cell>
          <cell r="H68">
            <v>24.67</v>
          </cell>
        </row>
        <row r="69">
          <cell r="B69" t="str">
            <v>车位64</v>
          </cell>
          <cell r="C69">
            <v>12.72</v>
          </cell>
          <cell r="H69">
            <v>24.67</v>
          </cell>
        </row>
        <row r="70">
          <cell r="B70" t="str">
            <v>车位65</v>
          </cell>
          <cell r="C70">
            <v>12.72</v>
          </cell>
          <cell r="H70">
            <v>24.67</v>
          </cell>
        </row>
        <row r="71">
          <cell r="B71" t="str">
            <v>车位66</v>
          </cell>
          <cell r="C71">
            <v>12.72</v>
          </cell>
          <cell r="H71">
            <v>24.67</v>
          </cell>
        </row>
        <row r="72">
          <cell r="B72" t="str">
            <v>车位67</v>
          </cell>
          <cell r="C72">
            <v>12.72</v>
          </cell>
          <cell r="H72">
            <v>24.67</v>
          </cell>
        </row>
        <row r="73">
          <cell r="B73" t="str">
            <v>车位68</v>
          </cell>
          <cell r="C73">
            <v>12.72</v>
          </cell>
          <cell r="H73">
            <v>24.67</v>
          </cell>
        </row>
        <row r="74">
          <cell r="B74" t="str">
            <v>车位69</v>
          </cell>
          <cell r="C74">
            <v>12.72</v>
          </cell>
          <cell r="H74">
            <v>24.67</v>
          </cell>
        </row>
        <row r="75">
          <cell r="B75" t="str">
            <v>车位70</v>
          </cell>
          <cell r="C75">
            <v>12.72</v>
          </cell>
          <cell r="H75">
            <v>24.67</v>
          </cell>
        </row>
        <row r="76">
          <cell r="B76" t="str">
            <v>车位71</v>
          </cell>
          <cell r="C76">
            <v>12.72</v>
          </cell>
          <cell r="H76">
            <v>24.67</v>
          </cell>
        </row>
        <row r="77">
          <cell r="B77" t="str">
            <v>车位72</v>
          </cell>
          <cell r="C77">
            <v>12.72</v>
          </cell>
          <cell r="H77">
            <v>24.67</v>
          </cell>
        </row>
        <row r="78">
          <cell r="B78" t="str">
            <v>车位73</v>
          </cell>
          <cell r="C78">
            <v>12.72</v>
          </cell>
          <cell r="H78">
            <v>24.67</v>
          </cell>
        </row>
        <row r="79">
          <cell r="B79" t="str">
            <v>微型车位74</v>
          </cell>
          <cell r="C79">
            <v>11.66</v>
          </cell>
          <cell r="H79">
            <v>22.61</v>
          </cell>
        </row>
        <row r="80">
          <cell r="B80" t="str">
            <v>车位75</v>
          </cell>
          <cell r="C80">
            <v>12.72</v>
          </cell>
          <cell r="H80">
            <v>24.67</v>
          </cell>
        </row>
        <row r="81">
          <cell r="B81" t="str">
            <v>车位76</v>
          </cell>
          <cell r="C81">
            <v>12.72</v>
          </cell>
          <cell r="H81">
            <v>24.67</v>
          </cell>
        </row>
        <row r="82">
          <cell r="B82" t="str">
            <v>车位77</v>
          </cell>
          <cell r="C82">
            <v>12.72</v>
          </cell>
          <cell r="H82">
            <v>24.67</v>
          </cell>
        </row>
        <row r="83">
          <cell r="B83" t="str">
            <v>车位78</v>
          </cell>
          <cell r="C83">
            <v>12.72</v>
          </cell>
          <cell r="H83">
            <v>24.67</v>
          </cell>
        </row>
        <row r="84">
          <cell r="B84" t="str">
            <v>车位79</v>
          </cell>
          <cell r="C84">
            <v>12.72</v>
          </cell>
          <cell r="H84">
            <v>24.67</v>
          </cell>
        </row>
        <row r="85">
          <cell r="B85" t="str">
            <v>车位80</v>
          </cell>
          <cell r="C85">
            <v>12.72</v>
          </cell>
          <cell r="H85">
            <v>24.67</v>
          </cell>
        </row>
        <row r="86">
          <cell r="B86" t="str">
            <v>车位81</v>
          </cell>
          <cell r="C86">
            <v>12.72</v>
          </cell>
          <cell r="H86">
            <v>24.67</v>
          </cell>
        </row>
        <row r="87">
          <cell r="B87" t="str">
            <v>车位82</v>
          </cell>
          <cell r="C87">
            <v>12.72</v>
          </cell>
          <cell r="H87">
            <v>24.67</v>
          </cell>
        </row>
        <row r="88">
          <cell r="B88" t="str">
            <v>车位83</v>
          </cell>
          <cell r="C88">
            <v>12.72</v>
          </cell>
          <cell r="H88">
            <v>24.67</v>
          </cell>
        </row>
        <row r="89">
          <cell r="B89" t="str">
            <v>车位84</v>
          </cell>
          <cell r="C89">
            <v>12.72</v>
          </cell>
          <cell r="H89">
            <v>24.67</v>
          </cell>
        </row>
        <row r="90">
          <cell r="B90" t="str">
            <v>车位85</v>
          </cell>
          <cell r="C90">
            <v>12.72</v>
          </cell>
          <cell r="H90">
            <v>24.67</v>
          </cell>
        </row>
        <row r="91">
          <cell r="B91" t="str">
            <v>车位86</v>
          </cell>
          <cell r="C91">
            <v>12.72</v>
          </cell>
          <cell r="H91">
            <v>24.67</v>
          </cell>
        </row>
        <row r="92">
          <cell r="B92" t="str">
            <v>车位87</v>
          </cell>
          <cell r="C92">
            <v>12.72</v>
          </cell>
          <cell r="H92">
            <v>24.67</v>
          </cell>
        </row>
        <row r="93">
          <cell r="B93" t="str">
            <v>车位88</v>
          </cell>
          <cell r="C93">
            <v>12.72</v>
          </cell>
          <cell r="H93">
            <v>24.67</v>
          </cell>
        </row>
        <row r="94">
          <cell r="B94" t="str">
            <v>车位89</v>
          </cell>
          <cell r="C94">
            <v>12.72</v>
          </cell>
          <cell r="H94">
            <v>24.67</v>
          </cell>
        </row>
        <row r="95">
          <cell r="B95" t="str">
            <v>车位90</v>
          </cell>
          <cell r="C95">
            <v>12.72</v>
          </cell>
          <cell r="H95">
            <v>24.67</v>
          </cell>
        </row>
        <row r="96">
          <cell r="B96" t="str">
            <v>车位91</v>
          </cell>
          <cell r="C96">
            <v>12.72</v>
          </cell>
          <cell r="H96">
            <v>24.67</v>
          </cell>
        </row>
        <row r="97">
          <cell r="B97" t="str">
            <v>车位92</v>
          </cell>
          <cell r="C97">
            <v>12.72</v>
          </cell>
          <cell r="H97">
            <v>24.67</v>
          </cell>
        </row>
        <row r="98">
          <cell r="B98" t="str">
            <v>车位93</v>
          </cell>
          <cell r="C98">
            <v>12.72</v>
          </cell>
          <cell r="H98">
            <v>24.67</v>
          </cell>
        </row>
        <row r="99">
          <cell r="B99" t="str">
            <v>车位94</v>
          </cell>
          <cell r="C99">
            <v>12.72</v>
          </cell>
          <cell r="H99">
            <v>24.67</v>
          </cell>
        </row>
        <row r="100">
          <cell r="B100" t="str">
            <v>车位95</v>
          </cell>
          <cell r="C100">
            <v>12.72</v>
          </cell>
          <cell r="H100">
            <v>24.67</v>
          </cell>
        </row>
        <row r="101">
          <cell r="B101" t="str">
            <v>车位96</v>
          </cell>
          <cell r="C101">
            <v>12.72</v>
          </cell>
          <cell r="H101">
            <v>24.67</v>
          </cell>
        </row>
        <row r="102">
          <cell r="B102" t="str">
            <v>车位97</v>
          </cell>
          <cell r="C102">
            <v>12.72</v>
          </cell>
          <cell r="H102">
            <v>24.67</v>
          </cell>
        </row>
        <row r="103">
          <cell r="B103" t="str">
            <v>车位98</v>
          </cell>
          <cell r="C103">
            <v>12.72</v>
          </cell>
          <cell r="H103">
            <v>24.67</v>
          </cell>
        </row>
        <row r="104">
          <cell r="B104" t="str">
            <v>车位99</v>
          </cell>
          <cell r="C104">
            <v>12.72</v>
          </cell>
          <cell r="H104">
            <v>24.67</v>
          </cell>
        </row>
        <row r="105">
          <cell r="B105" t="str">
            <v>车位100</v>
          </cell>
          <cell r="C105">
            <v>12.72</v>
          </cell>
          <cell r="H105">
            <v>24.67</v>
          </cell>
        </row>
        <row r="106">
          <cell r="B106" t="str">
            <v>车位101</v>
          </cell>
          <cell r="C106">
            <v>12.72</v>
          </cell>
          <cell r="H106">
            <v>24.67</v>
          </cell>
        </row>
        <row r="107">
          <cell r="B107" t="str">
            <v>车位102</v>
          </cell>
          <cell r="C107">
            <v>12.72</v>
          </cell>
          <cell r="H107">
            <v>24.67</v>
          </cell>
        </row>
        <row r="108">
          <cell r="B108" t="str">
            <v>车位103</v>
          </cell>
          <cell r="C108">
            <v>12.72</v>
          </cell>
          <cell r="H108">
            <v>24.67</v>
          </cell>
        </row>
        <row r="109">
          <cell r="B109" t="str">
            <v>车位104</v>
          </cell>
          <cell r="C109">
            <v>12.72</v>
          </cell>
          <cell r="H109">
            <v>24.67</v>
          </cell>
        </row>
        <row r="110">
          <cell r="B110" t="str">
            <v>车位105</v>
          </cell>
          <cell r="C110">
            <v>12.72</v>
          </cell>
          <cell r="H110">
            <v>24.67</v>
          </cell>
        </row>
        <row r="111">
          <cell r="B111" t="str">
            <v>车位106</v>
          </cell>
          <cell r="C111">
            <v>12.72</v>
          </cell>
          <cell r="H111">
            <v>24.67</v>
          </cell>
        </row>
        <row r="112">
          <cell r="B112" t="str">
            <v>车位107</v>
          </cell>
          <cell r="C112">
            <v>12.72</v>
          </cell>
          <cell r="H112">
            <v>24.67</v>
          </cell>
        </row>
        <row r="113">
          <cell r="B113" t="str">
            <v>车位108</v>
          </cell>
          <cell r="C113">
            <v>12.72</v>
          </cell>
          <cell r="H113">
            <v>24.67</v>
          </cell>
        </row>
        <row r="114">
          <cell r="B114" t="str">
            <v>车位109</v>
          </cell>
          <cell r="C114">
            <v>25.44</v>
          </cell>
          <cell r="H114">
            <v>49.33</v>
          </cell>
        </row>
        <row r="115">
          <cell r="B115" t="str">
            <v>车位110</v>
          </cell>
          <cell r="C115">
            <v>25.44</v>
          </cell>
          <cell r="H115">
            <v>49.33</v>
          </cell>
        </row>
        <row r="116">
          <cell r="B116" t="str">
            <v>车位111</v>
          </cell>
          <cell r="C116">
            <v>12.72</v>
          </cell>
          <cell r="H116">
            <v>24.67</v>
          </cell>
        </row>
        <row r="117">
          <cell r="B117" t="str">
            <v>车位112</v>
          </cell>
          <cell r="C117">
            <v>12.72</v>
          </cell>
          <cell r="H117">
            <v>24.67</v>
          </cell>
        </row>
        <row r="118">
          <cell r="B118" t="str">
            <v>车位113</v>
          </cell>
          <cell r="C118">
            <v>12.72</v>
          </cell>
          <cell r="H118">
            <v>24.67</v>
          </cell>
        </row>
        <row r="119">
          <cell r="B119" t="str">
            <v>车位114</v>
          </cell>
          <cell r="C119">
            <v>25.44</v>
          </cell>
          <cell r="H119">
            <v>49.33</v>
          </cell>
        </row>
        <row r="120">
          <cell r="B120" t="str">
            <v>车位115</v>
          </cell>
          <cell r="C120">
            <v>25.44</v>
          </cell>
          <cell r="H120">
            <v>49.33</v>
          </cell>
        </row>
        <row r="121">
          <cell r="B121" t="str">
            <v>车位116</v>
          </cell>
          <cell r="C121">
            <v>12.72</v>
          </cell>
          <cell r="H121">
            <v>24.67</v>
          </cell>
        </row>
        <row r="122">
          <cell r="B122" t="str">
            <v>车位117</v>
          </cell>
          <cell r="C122">
            <v>12.72</v>
          </cell>
          <cell r="H122">
            <v>24.67</v>
          </cell>
        </row>
        <row r="123">
          <cell r="B123" t="str">
            <v>车位118</v>
          </cell>
          <cell r="C123">
            <v>12.72</v>
          </cell>
          <cell r="H123">
            <v>24.67</v>
          </cell>
        </row>
        <row r="124">
          <cell r="B124" t="str">
            <v>车位119</v>
          </cell>
          <cell r="C124">
            <v>25.44</v>
          </cell>
          <cell r="H124">
            <v>49.33</v>
          </cell>
        </row>
        <row r="125">
          <cell r="B125" t="str">
            <v>车位120</v>
          </cell>
          <cell r="C125">
            <v>25.44</v>
          </cell>
          <cell r="H125">
            <v>49.33</v>
          </cell>
        </row>
        <row r="126">
          <cell r="B126" t="str">
            <v>车位121</v>
          </cell>
          <cell r="C126">
            <v>25.44</v>
          </cell>
          <cell r="H126">
            <v>49.33</v>
          </cell>
        </row>
        <row r="127">
          <cell r="B127" t="str">
            <v>车位122</v>
          </cell>
          <cell r="C127">
            <v>25.44</v>
          </cell>
          <cell r="H127">
            <v>49.33</v>
          </cell>
        </row>
        <row r="128">
          <cell r="B128" t="str">
            <v>车位123</v>
          </cell>
          <cell r="C128">
            <v>12.72</v>
          </cell>
          <cell r="H128">
            <v>24.67</v>
          </cell>
        </row>
        <row r="129">
          <cell r="B129" t="str">
            <v>车位124</v>
          </cell>
          <cell r="C129">
            <v>25.44</v>
          </cell>
          <cell r="H129">
            <v>49.33</v>
          </cell>
        </row>
        <row r="130">
          <cell r="B130" t="str">
            <v>车位125</v>
          </cell>
          <cell r="C130">
            <v>25.44</v>
          </cell>
          <cell r="H130">
            <v>49.33</v>
          </cell>
        </row>
        <row r="131">
          <cell r="B131" t="str">
            <v>车位126</v>
          </cell>
          <cell r="C131">
            <v>25.44</v>
          </cell>
          <cell r="H131">
            <v>49.33</v>
          </cell>
        </row>
        <row r="132">
          <cell r="B132" t="str">
            <v>车位127</v>
          </cell>
          <cell r="C132">
            <v>25.44</v>
          </cell>
          <cell r="H132">
            <v>49.33</v>
          </cell>
        </row>
        <row r="133">
          <cell r="B133" t="str">
            <v>车位128</v>
          </cell>
          <cell r="C133">
            <v>12.72</v>
          </cell>
          <cell r="H133">
            <v>24.67</v>
          </cell>
        </row>
        <row r="134">
          <cell r="B134" t="str">
            <v>车位129</v>
          </cell>
          <cell r="C134">
            <v>12.72</v>
          </cell>
          <cell r="H134">
            <v>24.67</v>
          </cell>
        </row>
        <row r="135">
          <cell r="B135" t="str">
            <v>车位130</v>
          </cell>
          <cell r="C135">
            <v>12.72</v>
          </cell>
          <cell r="H135">
            <v>24.67</v>
          </cell>
        </row>
        <row r="136">
          <cell r="B136" t="str">
            <v>车位131</v>
          </cell>
          <cell r="C136">
            <v>25.44</v>
          </cell>
          <cell r="H136">
            <v>49.33</v>
          </cell>
        </row>
        <row r="137">
          <cell r="B137" t="str">
            <v>车位132</v>
          </cell>
          <cell r="C137">
            <v>25.44</v>
          </cell>
          <cell r="H137">
            <v>49.33</v>
          </cell>
        </row>
        <row r="138">
          <cell r="B138" t="str">
            <v>车位133</v>
          </cell>
          <cell r="C138">
            <v>12.72</v>
          </cell>
          <cell r="H138">
            <v>24.67</v>
          </cell>
        </row>
        <row r="139">
          <cell r="B139" t="str">
            <v>车位134</v>
          </cell>
          <cell r="C139">
            <v>12.72</v>
          </cell>
          <cell r="H139">
            <v>24.67</v>
          </cell>
        </row>
        <row r="140">
          <cell r="B140" t="str">
            <v>车位135</v>
          </cell>
          <cell r="C140">
            <v>12.72</v>
          </cell>
          <cell r="H140">
            <v>24.67</v>
          </cell>
        </row>
        <row r="141">
          <cell r="B141" t="str">
            <v>车位136</v>
          </cell>
          <cell r="C141">
            <v>12.72</v>
          </cell>
          <cell r="H141">
            <v>24.67</v>
          </cell>
        </row>
        <row r="142">
          <cell r="B142" t="str">
            <v>车位137</v>
          </cell>
          <cell r="C142">
            <v>12.72</v>
          </cell>
          <cell r="H142">
            <v>24.67</v>
          </cell>
        </row>
        <row r="143">
          <cell r="B143" t="str">
            <v>车位138</v>
          </cell>
          <cell r="C143">
            <v>12.72</v>
          </cell>
          <cell r="H143">
            <v>24.67</v>
          </cell>
        </row>
        <row r="144">
          <cell r="B144" t="str">
            <v>车位139</v>
          </cell>
          <cell r="C144">
            <v>12.72</v>
          </cell>
          <cell r="H144">
            <v>24.67</v>
          </cell>
        </row>
        <row r="145">
          <cell r="B145" t="str">
            <v>车位140</v>
          </cell>
          <cell r="C145">
            <v>12.72</v>
          </cell>
          <cell r="H145">
            <v>24.67</v>
          </cell>
        </row>
        <row r="146">
          <cell r="B146" t="str">
            <v>车位141</v>
          </cell>
          <cell r="C146">
            <v>12.72</v>
          </cell>
          <cell r="H146">
            <v>24.67</v>
          </cell>
        </row>
        <row r="147">
          <cell r="B147" t="str">
            <v>车位142</v>
          </cell>
          <cell r="C147">
            <v>12.72</v>
          </cell>
          <cell r="H147">
            <v>24.67</v>
          </cell>
        </row>
        <row r="148">
          <cell r="B148" t="str">
            <v>车位143</v>
          </cell>
          <cell r="C148">
            <v>12.72</v>
          </cell>
          <cell r="H148">
            <v>24.67</v>
          </cell>
        </row>
        <row r="149">
          <cell r="B149" t="str">
            <v>车位144</v>
          </cell>
          <cell r="C149">
            <v>12.72</v>
          </cell>
          <cell r="H149">
            <v>24.67</v>
          </cell>
        </row>
        <row r="150">
          <cell r="B150" t="str">
            <v>车位145</v>
          </cell>
          <cell r="C150">
            <v>12.72</v>
          </cell>
          <cell r="H150">
            <v>24.67</v>
          </cell>
        </row>
        <row r="151">
          <cell r="B151" t="str">
            <v>车位146</v>
          </cell>
          <cell r="C151">
            <v>12.72</v>
          </cell>
          <cell r="H151">
            <v>24.67</v>
          </cell>
        </row>
        <row r="152">
          <cell r="B152" t="str">
            <v>车位147</v>
          </cell>
          <cell r="C152">
            <v>12.72</v>
          </cell>
          <cell r="H152">
            <v>24.67</v>
          </cell>
        </row>
        <row r="153">
          <cell r="B153" t="str">
            <v>车位148</v>
          </cell>
          <cell r="C153">
            <v>12.72</v>
          </cell>
          <cell r="H153">
            <v>24.67</v>
          </cell>
        </row>
        <row r="154">
          <cell r="B154" t="str">
            <v>车位149</v>
          </cell>
          <cell r="C154">
            <v>12.72</v>
          </cell>
          <cell r="H154">
            <v>24.67</v>
          </cell>
        </row>
        <row r="155">
          <cell r="B155" t="str">
            <v>车位150</v>
          </cell>
          <cell r="C155">
            <v>12.72</v>
          </cell>
          <cell r="H155">
            <v>24.67</v>
          </cell>
        </row>
        <row r="156">
          <cell r="B156" t="str">
            <v>车位151</v>
          </cell>
          <cell r="C156">
            <v>12.72</v>
          </cell>
          <cell r="H156">
            <v>24.67</v>
          </cell>
        </row>
        <row r="157">
          <cell r="B157" t="str">
            <v>车位152</v>
          </cell>
          <cell r="C157">
            <v>12.72</v>
          </cell>
          <cell r="H157">
            <v>24.67</v>
          </cell>
        </row>
        <row r="158">
          <cell r="B158" t="str">
            <v>车位153</v>
          </cell>
          <cell r="C158">
            <v>12.72</v>
          </cell>
          <cell r="H158">
            <v>24.67</v>
          </cell>
        </row>
        <row r="159">
          <cell r="B159" t="str">
            <v>车位154</v>
          </cell>
          <cell r="C159">
            <v>12.72</v>
          </cell>
          <cell r="H159">
            <v>24.67</v>
          </cell>
        </row>
        <row r="160">
          <cell r="B160" t="str">
            <v>车位155</v>
          </cell>
          <cell r="C160">
            <v>12.72</v>
          </cell>
          <cell r="H160">
            <v>24.67</v>
          </cell>
        </row>
        <row r="161">
          <cell r="B161" t="str">
            <v>车位156</v>
          </cell>
          <cell r="C161">
            <v>12.72</v>
          </cell>
          <cell r="H161">
            <v>24.67</v>
          </cell>
        </row>
        <row r="162">
          <cell r="B162" t="str">
            <v>车位157</v>
          </cell>
          <cell r="C162">
            <v>12.72</v>
          </cell>
          <cell r="H162">
            <v>24.67</v>
          </cell>
        </row>
        <row r="163">
          <cell r="B163" t="str">
            <v>车位158</v>
          </cell>
          <cell r="C163">
            <v>12.72</v>
          </cell>
          <cell r="H163">
            <v>24.67</v>
          </cell>
        </row>
        <row r="164">
          <cell r="B164" t="str">
            <v>车位159</v>
          </cell>
          <cell r="C164">
            <v>12.72</v>
          </cell>
          <cell r="H164">
            <v>24.67</v>
          </cell>
        </row>
        <row r="165">
          <cell r="B165" t="str">
            <v>车位160</v>
          </cell>
          <cell r="C165">
            <v>12.72</v>
          </cell>
          <cell r="H165">
            <v>24.67</v>
          </cell>
        </row>
        <row r="166">
          <cell r="B166" t="str">
            <v>车位161</v>
          </cell>
          <cell r="C166">
            <v>12.72</v>
          </cell>
          <cell r="H166">
            <v>24.67</v>
          </cell>
        </row>
        <row r="167">
          <cell r="B167" t="str">
            <v>车位162</v>
          </cell>
          <cell r="C167">
            <v>12.72</v>
          </cell>
          <cell r="H167">
            <v>24.67</v>
          </cell>
        </row>
        <row r="168">
          <cell r="B168" t="str">
            <v>车位163</v>
          </cell>
          <cell r="C168">
            <v>12.72</v>
          </cell>
          <cell r="H168">
            <v>24.67</v>
          </cell>
        </row>
        <row r="169">
          <cell r="B169" t="str">
            <v>车位164</v>
          </cell>
          <cell r="C169">
            <v>12.72</v>
          </cell>
          <cell r="H169">
            <v>24.67</v>
          </cell>
        </row>
        <row r="170">
          <cell r="B170" t="str">
            <v>车位165</v>
          </cell>
          <cell r="C170">
            <v>12.72</v>
          </cell>
          <cell r="H170">
            <v>24.67</v>
          </cell>
        </row>
        <row r="171">
          <cell r="B171" t="str">
            <v>车位166</v>
          </cell>
          <cell r="C171">
            <v>12.72</v>
          </cell>
          <cell r="H171">
            <v>24.67</v>
          </cell>
        </row>
        <row r="172">
          <cell r="B172" t="str">
            <v>车位167</v>
          </cell>
          <cell r="C172">
            <v>12.72</v>
          </cell>
          <cell r="H172">
            <v>24.67</v>
          </cell>
        </row>
        <row r="173">
          <cell r="B173" t="str">
            <v>车位168</v>
          </cell>
          <cell r="C173">
            <v>12.72</v>
          </cell>
          <cell r="H173">
            <v>24.67</v>
          </cell>
        </row>
        <row r="174">
          <cell r="B174" t="str">
            <v>车位169</v>
          </cell>
          <cell r="C174">
            <v>12.72</v>
          </cell>
          <cell r="H174">
            <v>24.67</v>
          </cell>
        </row>
        <row r="175">
          <cell r="B175" t="str">
            <v>车位170</v>
          </cell>
          <cell r="C175">
            <v>12.72</v>
          </cell>
          <cell r="H175">
            <v>24.67</v>
          </cell>
        </row>
        <row r="176">
          <cell r="B176" t="str">
            <v>车位171</v>
          </cell>
          <cell r="C176">
            <v>12.72</v>
          </cell>
          <cell r="H176">
            <v>24.67</v>
          </cell>
        </row>
        <row r="177">
          <cell r="B177" t="str">
            <v>车位172</v>
          </cell>
          <cell r="C177">
            <v>12.72</v>
          </cell>
          <cell r="H177">
            <v>24.67</v>
          </cell>
        </row>
        <row r="178">
          <cell r="B178" t="str">
            <v>车位173</v>
          </cell>
          <cell r="C178">
            <v>25.44</v>
          </cell>
          <cell r="H178">
            <v>49.33</v>
          </cell>
        </row>
        <row r="179">
          <cell r="B179" t="str">
            <v>车位174</v>
          </cell>
          <cell r="C179">
            <v>25.44</v>
          </cell>
          <cell r="H179">
            <v>49.33</v>
          </cell>
        </row>
        <row r="180">
          <cell r="B180" t="str">
            <v>车位175</v>
          </cell>
          <cell r="C180">
            <v>12.72</v>
          </cell>
          <cell r="H180">
            <v>24.67</v>
          </cell>
        </row>
        <row r="181">
          <cell r="B181" t="str">
            <v>车位176</v>
          </cell>
          <cell r="C181">
            <v>12.72</v>
          </cell>
          <cell r="H181">
            <v>24.67</v>
          </cell>
        </row>
        <row r="182">
          <cell r="B182" t="str">
            <v>车位177</v>
          </cell>
          <cell r="C182">
            <v>12.72</v>
          </cell>
          <cell r="H182">
            <v>24.67</v>
          </cell>
        </row>
        <row r="183">
          <cell r="B183" t="str">
            <v>车位178</v>
          </cell>
          <cell r="C183">
            <v>25.44</v>
          </cell>
          <cell r="H183">
            <v>49.33</v>
          </cell>
        </row>
        <row r="184">
          <cell r="B184" t="str">
            <v>车位179</v>
          </cell>
          <cell r="C184">
            <v>25.44</v>
          </cell>
          <cell r="H184">
            <v>49.33</v>
          </cell>
        </row>
        <row r="185">
          <cell r="B185" t="str">
            <v>车位180</v>
          </cell>
          <cell r="C185">
            <v>12.72</v>
          </cell>
          <cell r="H185">
            <v>24.67</v>
          </cell>
        </row>
        <row r="186">
          <cell r="B186" t="str">
            <v>车位181</v>
          </cell>
          <cell r="C186">
            <v>12.72</v>
          </cell>
          <cell r="H186">
            <v>24.67</v>
          </cell>
        </row>
        <row r="187">
          <cell r="B187" t="str">
            <v>车位182</v>
          </cell>
          <cell r="C187">
            <v>12.72</v>
          </cell>
          <cell r="H187">
            <v>24.67</v>
          </cell>
        </row>
        <row r="188">
          <cell r="B188" t="str">
            <v>车位183</v>
          </cell>
          <cell r="C188">
            <v>25.44</v>
          </cell>
          <cell r="H188">
            <v>49.33</v>
          </cell>
        </row>
        <row r="189">
          <cell r="B189" t="str">
            <v>车位184</v>
          </cell>
          <cell r="C189">
            <v>25.44</v>
          </cell>
          <cell r="H189">
            <v>49.33</v>
          </cell>
        </row>
        <row r="190">
          <cell r="B190" t="str">
            <v>车位185</v>
          </cell>
          <cell r="C190">
            <v>25.44</v>
          </cell>
          <cell r="H190">
            <v>49.33</v>
          </cell>
        </row>
        <row r="191">
          <cell r="B191" t="str">
            <v>车位186</v>
          </cell>
          <cell r="C191">
            <v>25.44</v>
          </cell>
          <cell r="H191">
            <v>49.33</v>
          </cell>
        </row>
        <row r="192">
          <cell r="B192" t="str">
            <v>车位187</v>
          </cell>
          <cell r="C192">
            <v>12.72</v>
          </cell>
          <cell r="H192">
            <v>24.67</v>
          </cell>
        </row>
        <row r="193">
          <cell r="B193" t="str">
            <v>车位188</v>
          </cell>
          <cell r="C193">
            <v>12.72</v>
          </cell>
          <cell r="H193">
            <v>24.67</v>
          </cell>
        </row>
        <row r="194">
          <cell r="B194" t="str">
            <v>车位189</v>
          </cell>
          <cell r="C194">
            <v>25.44</v>
          </cell>
          <cell r="H194">
            <v>49.33</v>
          </cell>
        </row>
        <row r="195">
          <cell r="B195" t="str">
            <v>车位190</v>
          </cell>
          <cell r="C195">
            <v>25.44</v>
          </cell>
          <cell r="H195">
            <v>49.33</v>
          </cell>
        </row>
        <row r="196">
          <cell r="B196" t="str">
            <v>车位191</v>
          </cell>
          <cell r="C196">
            <v>12.72</v>
          </cell>
          <cell r="H196">
            <v>24.67</v>
          </cell>
        </row>
        <row r="197">
          <cell r="B197" t="str">
            <v>车位192</v>
          </cell>
          <cell r="C197">
            <v>12.72</v>
          </cell>
          <cell r="H197">
            <v>24.67</v>
          </cell>
        </row>
        <row r="198">
          <cell r="B198" t="str">
            <v>车位193</v>
          </cell>
          <cell r="C198">
            <v>12.72</v>
          </cell>
          <cell r="H198">
            <v>24.67</v>
          </cell>
        </row>
        <row r="199">
          <cell r="B199" t="str">
            <v>车位194</v>
          </cell>
          <cell r="C199">
            <v>25.44</v>
          </cell>
          <cell r="H199">
            <v>49.33</v>
          </cell>
        </row>
        <row r="200">
          <cell r="B200" t="str">
            <v>车位195</v>
          </cell>
          <cell r="C200">
            <v>25.44</v>
          </cell>
          <cell r="H200">
            <v>49.33</v>
          </cell>
        </row>
        <row r="201">
          <cell r="B201" t="str">
            <v>车位196</v>
          </cell>
          <cell r="C201">
            <v>12.72</v>
          </cell>
          <cell r="H201">
            <v>24.67</v>
          </cell>
        </row>
        <row r="202">
          <cell r="B202" t="str">
            <v>车位197</v>
          </cell>
          <cell r="C202">
            <v>12.72</v>
          </cell>
          <cell r="H202">
            <v>24.67</v>
          </cell>
        </row>
        <row r="203">
          <cell r="B203" t="str">
            <v>车位198</v>
          </cell>
          <cell r="C203">
            <v>12.72</v>
          </cell>
          <cell r="H203">
            <v>24.67</v>
          </cell>
        </row>
        <row r="204">
          <cell r="B204" t="str">
            <v>车位199</v>
          </cell>
          <cell r="C204">
            <v>25.44</v>
          </cell>
          <cell r="H204">
            <v>49.33</v>
          </cell>
        </row>
        <row r="205">
          <cell r="B205" t="str">
            <v>车位200</v>
          </cell>
          <cell r="C205">
            <v>25.44</v>
          </cell>
          <cell r="H205">
            <v>49.33</v>
          </cell>
        </row>
        <row r="206">
          <cell r="B206" t="str">
            <v>车位201</v>
          </cell>
          <cell r="C206">
            <v>12.72</v>
          </cell>
          <cell r="H206">
            <v>24.67</v>
          </cell>
        </row>
        <row r="207">
          <cell r="B207" t="str">
            <v>车位202</v>
          </cell>
          <cell r="C207">
            <v>12.72</v>
          </cell>
          <cell r="H207">
            <v>24.67</v>
          </cell>
        </row>
        <row r="208">
          <cell r="B208" t="str">
            <v>车位203</v>
          </cell>
          <cell r="C208">
            <v>12.72</v>
          </cell>
          <cell r="H208">
            <v>24.67</v>
          </cell>
        </row>
        <row r="209">
          <cell r="B209" t="str">
            <v>车位204</v>
          </cell>
          <cell r="C209">
            <v>25.44</v>
          </cell>
          <cell r="H209">
            <v>49.33</v>
          </cell>
        </row>
        <row r="210">
          <cell r="B210" t="str">
            <v>车位205</v>
          </cell>
          <cell r="C210">
            <v>25.44</v>
          </cell>
          <cell r="H210">
            <v>49.33</v>
          </cell>
        </row>
        <row r="211">
          <cell r="B211" t="str">
            <v>车位206</v>
          </cell>
          <cell r="C211">
            <v>12.72</v>
          </cell>
          <cell r="H211">
            <v>24.67</v>
          </cell>
        </row>
        <row r="212">
          <cell r="B212" t="str">
            <v>车位207</v>
          </cell>
          <cell r="C212">
            <v>12.72</v>
          </cell>
          <cell r="H212">
            <v>24.67</v>
          </cell>
        </row>
        <row r="213">
          <cell r="B213" t="str">
            <v>车位208</v>
          </cell>
          <cell r="C213">
            <v>12.72</v>
          </cell>
          <cell r="H213">
            <v>24.67</v>
          </cell>
        </row>
        <row r="214">
          <cell r="B214" t="str">
            <v>车位209</v>
          </cell>
          <cell r="C214">
            <v>12.72</v>
          </cell>
          <cell r="H214">
            <v>24.67</v>
          </cell>
        </row>
        <row r="215">
          <cell r="B215" t="str">
            <v>车位210</v>
          </cell>
          <cell r="C215">
            <v>12.72</v>
          </cell>
          <cell r="H215">
            <v>24.67</v>
          </cell>
        </row>
        <row r="216">
          <cell r="B216" t="str">
            <v>车位211</v>
          </cell>
          <cell r="C216">
            <v>12.72</v>
          </cell>
          <cell r="H216">
            <v>24.67</v>
          </cell>
        </row>
        <row r="217">
          <cell r="B217" t="str">
            <v>车位212</v>
          </cell>
          <cell r="C217">
            <v>12.72</v>
          </cell>
          <cell r="H217">
            <v>24.67</v>
          </cell>
        </row>
        <row r="218">
          <cell r="B218" t="str">
            <v>车位213</v>
          </cell>
          <cell r="C218">
            <v>12.72</v>
          </cell>
          <cell r="H218">
            <v>24.67</v>
          </cell>
        </row>
        <row r="219">
          <cell r="B219" t="str">
            <v>车位214</v>
          </cell>
          <cell r="C219">
            <v>12.72</v>
          </cell>
          <cell r="H219">
            <v>24.67</v>
          </cell>
        </row>
        <row r="220">
          <cell r="B220" t="str">
            <v>车位215</v>
          </cell>
          <cell r="C220">
            <v>12.72</v>
          </cell>
          <cell r="H220">
            <v>24.67</v>
          </cell>
        </row>
        <row r="221">
          <cell r="B221" t="str">
            <v>车位216</v>
          </cell>
          <cell r="C221">
            <v>12.72</v>
          </cell>
          <cell r="H221">
            <v>24.67</v>
          </cell>
        </row>
        <row r="222">
          <cell r="B222" t="str">
            <v>车位217</v>
          </cell>
          <cell r="C222">
            <v>12.72</v>
          </cell>
          <cell r="H222">
            <v>24.67</v>
          </cell>
        </row>
        <row r="223">
          <cell r="B223" t="str">
            <v>车位218</v>
          </cell>
          <cell r="C223">
            <v>12.72</v>
          </cell>
          <cell r="H223">
            <v>24.67</v>
          </cell>
        </row>
        <row r="224">
          <cell r="B224" t="str">
            <v>车位219</v>
          </cell>
          <cell r="C224">
            <v>12.72</v>
          </cell>
          <cell r="H224">
            <v>24.67</v>
          </cell>
        </row>
        <row r="225">
          <cell r="B225" t="str">
            <v>车位220</v>
          </cell>
          <cell r="C225">
            <v>12.72</v>
          </cell>
          <cell r="H225">
            <v>24.67</v>
          </cell>
        </row>
        <row r="226">
          <cell r="B226" t="str">
            <v>车位221</v>
          </cell>
          <cell r="C226">
            <v>12.72</v>
          </cell>
          <cell r="H226">
            <v>24.67</v>
          </cell>
        </row>
        <row r="227">
          <cell r="B227" t="str">
            <v>车位222</v>
          </cell>
          <cell r="C227">
            <v>12.72</v>
          </cell>
          <cell r="H227">
            <v>24.67</v>
          </cell>
        </row>
        <row r="228">
          <cell r="B228" t="str">
            <v>车位223</v>
          </cell>
          <cell r="C228">
            <v>12.72</v>
          </cell>
          <cell r="H228">
            <v>24.67</v>
          </cell>
        </row>
        <row r="229">
          <cell r="B229" t="str">
            <v>车位224</v>
          </cell>
          <cell r="C229">
            <v>12.72</v>
          </cell>
          <cell r="H229">
            <v>24.67</v>
          </cell>
        </row>
        <row r="230">
          <cell r="B230" t="str">
            <v>车位225</v>
          </cell>
          <cell r="C230">
            <v>12.72</v>
          </cell>
          <cell r="H230">
            <v>24.67</v>
          </cell>
        </row>
        <row r="231">
          <cell r="B231" t="str">
            <v>车位226</v>
          </cell>
          <cell r="C231">
            <v>12.72</v>
          </cell>
          <cell r="H231">
            <v>24.67</v>
          </cell>
        </row>
        <row r="232">
          <cell r="B232" t="str">
            <v>车位227</v>
          </cell>
          <cell r="C232">
            <v>12.72</v>
          </cell>
          <cell r="H232">
            <v>24.67</v>
          </cell>
        </row>
        <row r="233">
          <cell r="B233" t="str">
            <v>车位228</v>
          </cell>
          <cell r="C233">
            <v>12.72</v>
          </cell>
          <cell r="H233">
            <v>24.67</v>
          </cell>
        </row>
        <row r="234">
          <cell r="B234" t="str">
            <v>车位229</v>
          </cell>
          <cell r="C234">
            <v>12.72</v>
          </cell>
          <cell r="H234">
            <v>24.67</v>
          </cell>
        </row>
        <row r="235">
          <cell r="B235" t="str">
            <v>车位230</v>
          </cell>
          <cell r="C235">
            <v>12.72</v>
          </cell>
          <cell r="H235">
            <v>24.67</v>
          </cell>
        </row>
        <row r="236">
          <cell r="B236" t="str">
            <v>车位231</v>
          </cell>
          <cell r="C236">
            <v>12.72</v>
          </cell>
          <cell r="H236">
            <v>24.67</v>
          </cell>
        </row>
        <row r="237">
          <cell r="B237" t="str">
            <v>车位232</v>
          </cell>
          <cell r="C237">
            <v>12.72</v>
          </cell>
          <cell r="H237">
            <v>24.67</v>
          </cell>
        </row>
        <row r="238">
          <cell r="B238" t="str">
            <v>车位233</v>
          </cell>
          <cell r="C238">
            <v>12.72</v>
          </cell>
          <cell r="H238">
            <v>24.67</v>
          </cell>
        </row>
        <row r="239">
          <cell r="B239" t="str">
            <v>车位234</v>
          </cell>
          <cell r="C239">
            <v>25.44</v>
          </cell>
          <cell r="H239">
            <v>49.33</v>
          </cell>
        </row>
        <row r="240">
          <cell r="B240" t="str">
            <v>车位235</v>
          </cell>
          <cell r="C240">
            <v>25.44</v>
          </cell>
          <cell r="H240">
            <v>49.33</v>
          </cell>
        </row>
        <row r="241">
          <cell r="B241" t="str">
            <v>车位236</v>
          </cell>
          <cell r="C241">
            <v>12.72</v>
          </cell>
          <cell r="H241">
            <v>24.67</v>
          </cell>
        </row>
        <row r="242">
          <cell r="B242" t="str">
            <v>车位237</v>
          </cell>
          <cell r="C242">
            <v>12.72</v>
          </cell>
          <cell r="H242">
            <v>24.67</v>
          </cell>
        </row>
        <row r="243">
          <cell r="B243" t="str">
            <v>车位238</v>
          </cell>
          <cell r="C243">
            <v>12.72</v>
          </cell>
          <cell r="H243">
            <v>24.67</v>
          </cell>
        </row>
        <row r="244">
          <cell r="B244" t="str">
            <v>车位239</v>
          </cell>
          <cell r="C244">
            <v>25.44</v>
          </cell>
          <cell r="H244">
            <v>49.33</v>
          </cell>
        </row>
        <row r="245">
          <cell r="B245" t="str">
            <v>车位240</v>
          </cell>
          <cell r="C245">
            <v>25.44</v>
          </cell>
          <cell r="H245">
            <v>49.33</v>
          </cell>
        </row>
        <row r="246">
          <cell r="B246" t="str">
            <v>车位241</v>
          </cell>
          <cell r="C246">
            <v>12.72</v>
          </cell>
          <cell r="H246">
            <v>24.67</v>
          </cell>
        </row>
        <row r="247">
          <cell r="B247" t="str">
            <v>车位242</v>
          </cell>
          <cell r="C247">
            <v>12.72</v>
          </cell>
          <cell r="H247">
            <v>24.67</v>
          </cell>
        </row>
        <row r="248">
          <cell r="B248" t="str">
            <v>车位243</v>
          </cell>
          <cell r="C248">
            <v>12.72</v>
          </cell>
          <cell r="H248">
            <v>24.67</v>
          </cell>
        </row>
        <row r="249">
          <cell r="B249" t="str">
            <v>车位244</v>
          </cell>
          <cell r="C249">
            <v>25.44</v>
          </cell>
          <cell r="H249">
            <v>49.33</v>
          </cell>
        </row>
        <row r="250">
          <cell r="B250" t="str">
            <v>车位245</v>
          </cell>
          <cell r="C250">
            <v>25.44</v>
          </cell>
          <cell r="H250">
            <v>49.33</v>
          </cell>
        </row>
        <row r="251">
          <cell r="B251" t="str">
            <v>车位246</v>
          </cell>
          <cell r="C251">
            <v>25.44</v>
          </cell>
          <cell r="H251">
            <v>49.33</v>
          </cell>
        </row>
        <row r="252">
          <cell r="B252" t="str">
            <v>车位247</v>
          </cell>
          <cell r="C252">
            <v>25.44</v>
          </cell>
          <cell r="H252">
            <v>49.33</v>
          </cell>
        </row>
        <row r="253">
          <cell r="B253" t="str">
            <v>车位248</v>
          </cell>
          <cell r="C253">
            <v>12.72</v>
          </cell>
          <cell r="H253">
            <v>24.67</v>
          </cell>
        </row>
        <row r="254">
          <cell r="B254" t="str">
            <v>车位249</v>
          </cell>
          <cell r="C254">
            <v>25.44</v>
          </cell>
          <cell r="H254">
            <v>49.33</v>
          </cell>
        </row>
        <row r="255">
          <cell r="B255" t="str">
            <v>车位250</v>
          </cell>
          <cell r="C255">
            <v>25.44</v>
          </cell>
          <cell r="H255">
            <v>49.33</v>
          </cell>
        </row>
        <row r="256">
          <cell r="B256" t="str">
            <v>车位251</v>
          </cell>
          <cell r="C256">
            <v>25.44</v>
          </cell>
          <cell r="H256">
            <v>49.33</v>
          </cell>
        </row>
        <row r="257">
          <cell r="B257" t="str">
            <v>车位252</v>
          </cell>
          <cell r="C257">
            <v>25.44</v>
          </cell>
          <cell r="H257">
            <v>49.33</v>
          </cell>
        </row>
        <row r="258">
          <cell r="B258" t="str">
            <v>车位253</v>
          </cell>
          <cell r="C258">
            <v>12.72</v>
          </cell>
          <cell r="H258">
            <v>24.67</v>
          </cell>
        </row>
        <row r="259">
          <cell r="B259" t="str">
            <v>车位254</v>
          </cell>
          <cell r="C259">
            <v>12.72</v>
          </cell>
          <cell r="H259">
            <v>24.67</v>
          </cell>
        </row>
        <row r="260">
          <cell r="B260" t="str">
            <v>车位255</v>
          </cell>
          <cell r="C260">
            <v>12.72</v>
          </cell>
          <cell r="H260">
            <v>24.67</v>
          </cell>
        </row>
        <row r="261">
          <cell r="B261" t="str">
            <v>车位256</v>
          </cell>
          <cell r="C261">
            <v>25.44</v>
          </cell>
          <cell r="H261">
            <v>49.33</v>
          </cell>
        </row>
        <row r="262">
          <cell r="B262" t="str">
            <v>车位257</v>
          </cell>
          <cell r="C262">
            <v>25.44</v>
          </cell>
          <cell r="H262">
            <v>49.33</v>
          </cell>
        </row>
        <row r="263">
          <cell r="B263" t="str">
            <v>车位258</v>
          </cell>
          <cell r="C263">
            <v>12.72</v>
          </cell>
          <cell r="H263">
            <v>24.67</v>
          </cell>
        </row>
        <row r="264">
          <cell r="B264" t="str">
            <v>车位259</v>
          </cell>
          <cell r="C264">
            <v>12.72</v>
          </cell>
          <cell r="H264">
            <v>24.67</v>
          </cell>
        </row>
        <row r="265">
          <cell r="B265" t="str">
            <v>车位260</v>
          </cell>
          <cell r="C265">
            <v>12.72</v>
          </cell>
          <cell r="H265">
            <v>24.67</v>
          </cell>
        </row>
        <row r="266">
          <cell r="B266" t="str">
            <v>车位261</v>
          </cell>
          <cell r="C266">
            <v>25.44</v>
          </cell>
          <cell r="H266">
            <v>49.33</v>
          </cell>
        </row>
        <row r="267">
          <cell r="B267" t="str">
            <v>车位262</v>
          </cell>
          <cell r="C267">
            <v>25.44</v>
          </cell>
          <cell r="H267">
            <v>49.33</v>
          </cell>
        </row>
        <row r="268">
          <cell r="B268" t="str">
            <v>车位263</v>
          </cell>
          <cell r="C268">
            <v>12.72</v>
          </cell>
          <cell r="H268">
            <v>24.67</v>
          </cell>
        </row>
        <row r="269">
          <cell r="B269" t="str">
            <v>车位264</v>
          </cell>
          <cell r="C269">
            <v>12.72</v>
          </cell>
          <cell r="H269">
            <v>24.67</v>
          </cell>
        </row>
        <row r="270">
          <cell r="B270" t="str">
            <v>车位265</v>
          </cell>
          <cell r="C270">
            <v>12.72</v>
          </cell>
          <cell r="H270">
            <v>24.67</v>
          </cell>
        </row>
        <row r="271">
          <cell r="B271" t="str">
            <v>车位266</v>
          </cell>
          <cell r="C271">
            <v>12.72</v>
          </cell>
          <cell r="H271">
            <v>24.67</v>
          </cell>
        </row>
        <row r="272">
          <cell r="B272" t="str">
            <v>车位267</v>
          </cell>
          <cell r="C272">
            <v>12.72</v>
          </cell>
          <cell r="H272">
            <v>24.67</v>
          </cell>
        </row>
        <row r="273">
          <cell r="B273" t="str">
            <v>车位268</v>
          </cell>
          <cell r="C273">
            <v>12.72</v>
          </cell>
          <cell r="H273">
            <v>24.67</v>
          </cell>
        </row>
        <row r="274">
          <cell r="B274" t="str">
            <v>车位269</v>
          </cell>
          <cell r="C274">
            <v>12.72</v>
          </cell>
          <cell r="H274">
            <v>24.67</v>
          </cell>
        </row>
        <row r="275">
          <cell r="B275" t="str">
            <v>车位270</v>
          </cell>
          <cell r="C275">
            <v>12.72</v>
          </cell>
          <cell r="H275">
            <v>24.67</v>
          </cell>
        </row>
        <row r="276">
          <cell r="B276" t="str">
            <v>车位271</v>
          </cell>
          <cell r="C276">
            <v>12.72</v>
          </cell>
          <cell r="H276">
            <v>24.67</v>
          </cell>
        </row>
        <row r="277">
          <cell r="B277" t="str">
            <v>车位272</v>
          </cell>
          <cell r="C277">
            <v>12.72</v>
          </cell>
          <cell r="H277">
            <v>24.67</v>
          </cell>
        </row>
        <row r="278">
          <cell r="B278" t="str">
            <v>车位273</v>
          </cell>
          <cell r="C278">
            <v>12.72</v>
          </cell>
          <cell r="H278">
            <v>24.67</v>
          </cell>
        </row>
        <row r="279">
          <cell r="B279" t="str">
            <v>车位274</v>
          </cell>
          <cell r="C279">
            <v>12.72</v>
          </cell>
          <cell r="H279">
            <v>24.67</v>
          </cell>
        </row>
        <row r="280">
          <cell r="B280" t="str">
            <v>车位275</v>
          </cell>
          <cell r="C280">
            <v>12.72</v>
          </cell>
          <cell r="H280">
            <v>24.67</v>
          </cell>
        </row>
        <row r="281">
          <cell r="B281" t="str">
            <v>车位276</v>
          </cell>
          <cell r="C281">
            <v>12.72</v>
          </cell>
          <cell r="H281">
            <v>24.67</v>
          </cell>
        </row>
        <row r="282">
          <cell r="B282" t="str">
            <v>车位277</v>
          </cell>
          <cell r="C282">
            <v>12.72</v>
          </cell>
          <cell r="H282">
            <v>24.67</v>
          </cell>
        </row>
        <row r="283">
          <cell r="B283" t="str">
            <v>车位278</v>
          </cell>
          <cell r="C283">
            <v>12.72</v>
          </cell>
          <cell r="H283">
            <v>24.67</v>
          </cell>
        </row>
        <row r="284">
          <cell r="B284" t="str">
            <v>车位279</v>
          </cell>
          <cell r="C284">
            <v>12.72</v>
          </cell>
          <cell r="H284">
            <v>24.67</v>
          </cell>
        </row>
        <row r="285">
          <cell r="B285" t="str">
            <v>车位280</v>
          </cell>
          <cell r="C285">
            <v>12.72</v>
          </cell>
          <cell r="H285">
            <v>24.67</v>
          </cell>
        </row>
        <row r="286">
          <cell r="B286" t="str">
            <v>车位281</v>
          </cell>
          <cell r="C286">
            <v>12.72</v>
          </cell>
          <cell r="H286">
            <v>24.67</v>
          </cell>
        </row>
        <row r="287">
          <cell r="B287" t="str">
            <v>车位282</v>
          </cell>
          <cell r="C287">
            <v>12.72</v>
          </cell>
          <cell r="H287">
            <v>24.67</v>
          </cell>
        </row>
        <row r="288">
          <cell r="B288" t="str">
            <v>车位283</v>
          </cell>
          <cell r="C288">
            <v>12.72</v>
          </cell>
          <cell r="H288">
            <v>24.67</v>
          </cell>
        </row>
        <row r="289">
          <cell r="B289" t="str">
            <v>车位284</v>
          </cell>
          <cell r="C289">
            <v>12.72</v>
          </cell>
          <cell r="H289">
            <v>24.67</v>
          </cell>
        </row>
        <row r="290">
          <cell r="B290" t="str">
            <v>车位285</v>
          </cell>
          <cell r="C290">
            <v>12.72</v>
          </cell>
          <cell r="H290">
            <v>24.67</v>
          </cell>
        </row>
        <row r="291">
          <cell r="B291" t="str">
            <v>车位286</v>
          </cell>
          <cell r="C291">
            <v>12.72</v>
          </cell>
          <cell r="H291">
            <v>24.67</v>
          </cell>
        </row>
        <row r="292">
          <cell r="B292" t="str">
            <v>车位287</v>
          </cell>
          <cell r="C292">
            <v>12.72</v>
          </cell>
          <cell r="H292">
            <v>24.67</v>
          </cell>
        </row>
        <row r="293">
          <cell r="B293" t="str">
            <v>车位288</v>
          </cell>
          <cell r="C293">
            <v>12.72</v>
          </cell>
          <cell r="H293">
            <v>24.67</v>
          </cell>
        </row>
        <row r="294">
          <cell r="B294" t="str">
            <v>车位289</v>
          </cell>
          <cell r="C294">
            <v>12.72</v>
          </cell>
          <cell r="H294">
            <v>24.67</v>
          </cell>
        </row>
        <row r="295">
          <cell r="B295" t="str">
            <v>车位290</v>
          </cell>
          <cell r="C295">
            <v>12.72</v>
          </cell>
          <cell r="H295">
            <v>24.67</v>
          </cell>
        </row>
        <row r="296">
          <cell r="B296" t="str">
            <v>车位291</v>
          </cell>
          <cell r="C296">
            <v>12.72</v>
          </cell>
          <cell r="H296">
            <v>24.67</v>
          </cell>
        </row>
        <row r="297">
          <cell r="B297" t="str">
            <v>车位292</v>
          </cell>
          <cell r="C297">
            <v>12.72</v>
          </cell>
          <cell r="H297">
            <v>24.67</v>
          </cell>
        </row>
        <row r="298">
          <cell r="B298" t="str">
            <v>车位293</v>
          </cell>
          <cell r="C298">
            <v>25.44</v>
          </cell>
          <cell r="H298">
            <v>49.33</v>
          </cell>
        </row>
        <row r="299">
          <cell r="B299" t="str">
            <v>车位294</v>
          </cell>
          <cell r="C299">
            <v>25.44</v>
          </cell>
          <cell r="H299">
            <v>49.33</v>
          </cell>
        </row>
        <row r="300">
          <cell r="B300" t="str">
            <v>车位295</v>
          </cell>
          <cell r="C300">
            <v>12.72</v>
          </cell>
          <cell r="H300">
            <v>24.67</v>
          </cell>
        </row>
        <row r="301">
          <cell r="B301" t="str">
            <v>车位296</v>
          </cell>
          <cell r="C301">
            <v>12.72</v>
          </cell>
          <cell r="H301">
            <v>24.67</v>
          </cell>
        </row>
        <row r="302">
          <cell r="B302" t="str">
            <v>车位297</v>
          </cell>
          <cell r="C302">
            <v>12.72</v>
          </cell>
          <cell r="H302">
            <v>24.67</v>
          </cell>
        </row>
        <row r="303">
          <cell r="B303" t="str">
            <v>车位298</v>
          </cell>
          <cell r="C303">
            <v>25.44</v>
          </cell>
          <cell r="H303">
            <v>49.33</v>
          </cell>
        </row>
        <row r="304">
          <cell r="B304" t="str">
            <v>车位299</v>
          </cell>
          <cell r="C304">
            <v>25.44</v>
          </cell>
          <cell r="H304">
            <v>49.33</v>
          </cell>
        </row>
        <row r="305">
          <cell r="B305" t="str">
            <v>车位300</v>
          </cell>
          <cell r="C305">
            <v>12.72</v>
          </cell>
          <cell r="H305">
            <v>24.67</v>
          </cell>
        </row>
        <row r="306">
          <cell r="B306" t="str">
            <v>车位301</v>
          </cell>
          <cell r="C306">
            <v>12.72</v>
          </cell>
          <cell r="H306">
            <v>24.67</v>
          </cell>
        </row>
        <row r="307">
          <cell r="B307" t="str">
            <v>车位302</v>
          </cell>
          <cell r="C307">
            <v>12.72</v>
          </cell>
          <cell r="H307">
            <v>24.67</v>
          </cell>
        </row>
        <row r="308">
          <cell r="B308" t="str">
            <v>车位303</v>
          </cell>
          <cell r="C308">
            <v>25.44</v>
          </cell>
          <cell r="H308">
            <v>49.33</v>
          </cell>
        </row>
        <row r="309">
          <cell r="B309" t="str">
            <v>车位304</v>
          </cell>
          <cell r="C309">
            <v>25.44</v>
          </cell>
          <cell r="H309">
            <v>49.33</v>
          </cell>
        </row>
        <row r="310">
          <cell r="B310" t="str">
            <v>车位305</v>
          </cell>
          <cell r="C310">
            <v>12.72</v>
          </cell>
          <cell r="H310">
            <v>24.67</v>
          </cell>
        </row>
        <row r="311">
          <cell r="B311" t="str">
            <v>车位306</v>
          </cell>
          <cell r="C311">
            <v>12.72</v>
          </cell>
          <cell r="H311">
            <v>24.67</v>
          </cell>
        </row>
        <row r="312">
          <cell r="B312" t="str">
            <v>车位307</v>
          </cell>
          <cell r="C312">
            <v>12.72</v>
          </cell>
          <cell r="H312">
            <v>24.67</v>
          </cell>
        </row>
        <row r="313">
          <cell r="B313" t="str">
            <v>车位308</v>
          </cell>
          <cell r="C313">
            <v>25.44</v>
          </cell>
          <cell r="H313">
            <v>49.33</v>
          </cell>
        </row>
        <row r="314">
          <cell r="B314" t="str">
            <v>车位309</v>
          </cell>
          <cell r="C314">
            <v>25.44</v>
          </cell>
          <cell r="H314">
            <v>49.33</v>
          </cell>
        </row>
        <row r="315">
          <cell r="B315" t="str">
            <v>车位310</v>
          </cell>
          <cell r="C315">
            <v>12.72</v>
          </cell>
          <cell r="H315">
            <v>24.67</v>
          </cell>
        </row>
        <row r="316">
          <cell r="B316" t="str">
            <v>车位311</v>
          </cell>
          <cell r="C316">
            <v>12.72</v>
          </cell>
          <cell r="H316">
            <v>24.67</v>
          </cell>
        </row>
        <row r="317">
          <cell r="B317" t="str">
            <v>车位312</v>
          </cell>
          <cell r="C317">
            <v>25.44</v>
          </cell>
          <cell r="H317">
            <v>49.33</v>
          </cell>
        </row>
        <row r="318">
          <cell r="B318" t="str">
            <v>车位313</v>
          </cell>
          <cell r="C318">
            <v>25.44</v>
          </cell>
          <cell r="H318">
            <v>49.33</v>
          </cell>
        </row>
        <row r="319">
          <cell r="B319" t="str">
            <v>车位314</v>
          </cell>
          <cell r="C319">
            <v>12.72</v>
          </cell>
          <cell r="H319">
            <v>24.67</v>
          </cell>
        </row>
        <row r="320">
          <cell r="B320" t="str">
            <v>车位315</v>
          </cell>
          <cell r="C320">
            <v>12.72</v>
          </cell>
          <cell r="H320">
            <v>24.67</v>
          </cell>
        </row>
        <row r="321">
          <cell r="B321" t="str">
            <v>车位316</v>
          </cell>
          <cell r="C321">
            <v>12.72</v>
          </cell>
          <cell r="H321">
            <v>24.67</v>
          </cell>
        </row>
        <row r="322">
          <cell r="B322" t="str">
            <v>车位317</v>
          </cell>
          <cell r="C322">
            <v>25.44</v>
          </cell>
          <cell r="H322">
            <v>49.33</v>
          </cell>
        </row>
        <row r="323">
          <cell r="B323" t="str">
            <v>车位318</v>
          </cell>
          <cell r="C323">
            <v>25.44</v>
          </cell>
          <cell r="H323">
            <v>49.33</v>
          </cell>
        </row>
        <row r="324">
          <cell r="B324" t="str">
            <v>车位319</v>
          </cell>
          <cell r="C324">
            <v>12.72</v>
          </cell>
          <cell r="H324">
            <v>24.67</v>
          </cell>
        </row>
        <row r="325">
          <cell r="B325" t="str">
            <v>车位320</v>
          </cell>
          <cell r="C325">
            <v>12.72</v>
          </cell>
          <cell r="H325">
            <v>24.67</v>
          </cell>
        </row>
        <row r="326">
          <cell r="B326" t="str">
            <v>车位321</v>
          </cell>
          <cell r="C326">
            <v>12.72</v>
          </cell>
          <cell r="H326">
            <v>24.67</v>
          </cell>
        </row>
        <row r="327">
          <cell r="B327" t="str">
            <v>车位322</v>
          </cell>
          <cell r="C327">
            <v>25.44</v>
          </cell>
          <cell r="H327">
            <v>49.33</v>
          </cell>
        </row>
        <row r="328">
          <cell r="B328" t="str">
            <v>车位323</v>
          </cell>
          <cell r="C328">
            <v>25.44</v>
          </cell>
          <cell r="H328">
            <v>49.33</v>
          </cell>
        </row>
        <row r="329">
          <cell r="B329" t="str">
            <v>车位324</v>
          </cell>
          <cell r="C329">
            <v>12.72</v>
          </cell>
          <cell r="H329">
            <v>24.67</v>
          </cell>
        </row>
        <row r="330">
          <cell r="B330" t="str">
            <v>车位325</v>
          </cell>
          <cell r="C330">
            <v>12.72</v>
          </cell>
          <cell r="H330">
            <v>24.67</v>
          </cell>
        </row>
        <row r="331">
          <cell r="B331" t="str">
            <v>车位326</v>
          </cell>
          <cell r="C331">
            <v>12.72</v>
          </cell>
          <cell r="H331">
            <v>24.67</v>
          </cell>
        </row>
        <row r="332">
          <cell r="B332" t="str">
            <v>车位327</v>
          </cell>
          <cell r="C332">
            <v>25.44</v>
          </cell>
          <cell r="H332">
            <v>49.33</v>
          </cell>
        </row>
        <row r="333">
          <cell r="B333" t="str">
            <v>车位328</v>
          </cell>
          <cell r="C333">
            <v>25.44</v>
          </cell>
          <cell r="H333">
            <v>49.33</v>
          </cell>
        </row>
        <row r="334">
          <cell r="B334" t="str">
            <v>车位329</v>
          </cell>
          <cell r="C334">
            <v>12.72</v>
          </cell>
          <cell r="H334">
            <v>24.67</v>
          </cell>
        </row>
        <row r="335">
          <cell r="B335" t="str">
            <v>车位330</v>
          </cell>
          <cell r="C335">
            <v>12.72</v>
          </cell>
          <cell r="H335">
            <v>24.67</v>
          </cell>
        </row>
        <row r="336">
          <cell r="B336" t="str">
            <v>车位331</v>
          </cell>
          <cell r="C336">
            <v>12.72</v>
          </cell>
          <cell r="H336">
            <v>24.67</v>
          </cell>
        </row>
        <row r="337">
          <cell r="B337" t="str">
            <v>车位332</v>
          </cell>
          <cell r="C337">
            <v>12.72</v>
          </cell>
          <cell r="H337">
            <v>24.67</v>
          </cell>
        </row>
        <row r="338">
          <cell r="B338" t="str">
            <v>车位333</v>
          </cell>
          <cell r="C338">
            <v>12.72</v>
          </cell>
          <cell r="H338">
            <v>24.67</v>
          </cell>
        </row>
        <row r="339">
          <cell r="B339" t="str">
            <v>车位334</v>
          </cell>
          <cell r="C339">
            <v>12.72</v>
          </cell>
          <cell r="H339">
            <v>24.67</v>
          </cell>
        </row>
        <row r="340">
          <cell r="B340" t="str">
            <v>车位335</v>
          </cell>
          <cell r="C340">
            <v>12.72</v>
          </cell>
          <cell r="H340">
            <v>24.67</v>
          </cell>
        </row>
        <row r="341">
          <cell r="B341" t="str">
            <v>车位336</v>
          </cell>
          <cell r="C341">
            <v>12.72</v>
          </cell>
          <cell r="H341">
            <v>24.67</v>
          </cell>
        </row>
        <row r="342">
          <cell r="B342" t="str">
            <v>车位337</v>
          </cell>
          <cell r="C342">
            <v>12.72</v>
          </cell>
          <cell r="H342">
            <v>24.67</v>
          </cell>
        </row>
        <row r="343">
          <cell r="B343" t="str">
            <v>车位338</v>
          </cell>
          <cell r="C343">
            <v>12.72</v>
          </cell>
          <cell r="H343">
            <v>24.67</v>
          </cell>
        </row>
        <row r="344">
          <cell r="B344" t="str">
            <v>车位339</v>
          </cell>
          <cell r="C344">
            <v>12.72</v>
          </cell>
          <cell r="H344">
            <v>24.67</v>
          </cell>
        </row>
        <row r="345">
          <cell r="B345" t="str">
            <v>车位340</v>
          </cell>
          <cell r="C345">
            <v>12.72</v>
          </cell>
          <cell r="H345">
            <v>24.67</v>
          </cell>
        </row>
        <row r="346">
          <cell r="B346" t="str">
            <v>车位341</v>
          </cell>
          <cell r="C346">
            <v>12.72</v>
          </cell>
          <cell r="H346">
            <v>24.67</v>
          </cell>
        </row>
        <row r="347">
          <cell r="B347" t="str">
            <v>车位342</v>
          </cell>
          <cell r="C347">
            <v>12.72</v>
          </cell>
          <cell r="H347">
            <v>24.67</v>
          </cell>
        </row>
        <row r="348">
          <cell r="B348" t="str">
            <v>车位343</v>
          </cell>
          <cell r="C348">
            <v>12.72</v>
          </cell>
          <cell r="H348">
            <v>24.67</v>
          </cell>
        </row>
        <row r="349">
          <cell r="B349" t="str">
            <v>车位344</v>
          </cell>
          <cell r="C349">
            <v>12.72</v>
          </cell>
          <cell r="H349">
            <v>24.67</v>
          </cell>
        </row>
        <row r="350">
          <cell r="B350" t="str">
            <v>车位345</v>
          </cell>
          <cell r="C350">
            <v>12.72</v>
          </cell>
          <cell r="H350">
            <v>24.67</v>
          </cell>
        </row>
        <row r="351">
          <cell r="B351" t="str">
            <v>车位346</v>
          </cell>
          <cell r="C351">
            <v>12.72</v>
          </cell>
          <cell r="H351">
            <v>24.67</v>
          </cell>
        </row>
        <row r="352">
          <cell r="B352" t="str">
            <v>车位347</v>
          </cell>
          <cell r="C352">
            <v>12.72</v>
          </cell>
          <cell r="H352">
            <v>24.67</v>
          </cell>
        </row>
        <row r="353">
          <cell r="B353" t="str">
            <v>车位348</v>
          </cell>
          <cell r="C353">
            <v>12.72</v>
          </cell>
          <cell r="H353">
            <v>24.67</v>
          </cell>
        </row>
        <row r="354">
          <cell r="B354" t="str">
            <v>车位349</v>
          </cell>
          <cell r="C354">
            <v>12.72</v>
          </cell>
          <cell r="H354">
            <v>24.67</v>
          </cell>
        </row>
        <row r="355">
          <cell r="B355" t="str">
            <v>车位350</v>
          </cell>
          <cell r="C355">
            <v>12.72</v>
          </cell>
          <cell r="H355">
            <v>24.67</v>
          </cell>
        </row>
        <row r="356">
          <cell r="B356" t="str">
            <v>车位351</v>
          </cell>
          <cell r="C356">
            <v>12.72</v>
          </cell>
          <cell r="H356">
            <v>24.67</v>
          </cell>
        </row>
        <row r="357">
          <cell r="B357" t="str">
            <v>车位352</v>
          </cell>
          <cell r="C357">
            <v>12.72</v>
          </cell>
          <cell r="H357">
            <v>24.67</v>
          </cell>
        </row>
        <row r="358">
          <cell r="B358" t="str">
            <v>车位353</v>
          </cell>
          <cell r="C358">
            <v>12.72</v>
          </cell>
          <cell r="H358">
            <v>24.67</v>
          </cell>
        </row>
        <row r="359">
          <cell r="B359" t="str">
            <v>车位354</v>
          </cell>
          <cell r="C359">
            <v>12.72</v>
          </cell>
          <cell r="H359">
            <v>24.67</v>
          </cell>
        </row>
        <row r="360">
          <cell r="B360" t="str">
            <v>车位355</v>
          </cell>
          <cell r="C360">
            <v>12.72</v>
          </cell>
          <cell r="H360">
            <v>24.67</v>
          </cell>
        </row>
        <row r="361">
          <cell r="B361" t="str">
            <v>车位356</v>
          </cell>
          <cell r="C361">
            <v>12.72</v>
          </cell>
          <cell r="H361">
            <v>24.67</v>
          </cell>
        </row>
        <row r="362">
          <cell r="B362" t="str">
            <v>车位357</v>
          </cell>
          <cell r="C362">
            <v>25.44</v>
          </cell>
          <cell r="H362">
            <v>49.33</v>
          </cell>
        </row>
        <row r="363">
          <cell r="B363" t="str">
            <v>车位358</v>
          </cell>
          <cell r="C363">
            <v>25.44</v>
          </cell>
          <cell r="H363">
            <v>49.33</v>
          </cell>
        </row>
        <row r="364">
          <cell r="B364" t="str">
            <v>车位359</v>
          </cell>
          <cell r="C364">
            <v>12.72</v>
          </cell>
          <cell r="H364">
            <v>24.67</v>
          </cell>
        </row>
        <row r="365">
          <cell r="B365" t="str">
            <v>车位360</v>
          </cell>
          <cell r="C365">
            <v>12.72</v>
          </cell>
          <cell r="H365">
            <v>24.67</v>
          </cell>
        </row>
        <row r="366">
          <cell r="B366" t="str">
            <v>车位361</v>
          </cell>
          <cell r="C366">
            <v>12.72</v>
          </cell>
          <cell r="H366">
            <v>24.67</v>
          </cell>
        </row>
        <row r="367">
          <cell r="B367" t="str">
            <v>车位362</v>
          </cell>
          <cell r="C367">
            <v>25.44</v>
          </cell>
          <cell r="H367">
            <v>49.33</v>
          </cell>
        </row>
        <row r="368">
          <cell r="B368" t="str">
            <v>车位363</v>
          </cell>
          <cell r="C368">
            <v>25.44</v>
          </cell>
          <cell r="H368">
            <v>49.33</v>
          </cell>
        </row>
        <row r="369">
          <cell r="B369" t="str">
            <v>车位364</v>
          </cell>
          <cell r="C369">
            <v>12.72</v>
          </cell>
          <cell r="H369">
            <v>24.67</v>
          </cell>
        </row>
        <row r="370">
          <cell r="B370" t="str">
            <v>车位365</v>
          </cell>
          <cell r="C370">
            <v>12.72</v>
          </cell>
          <cell r="H370">
            <v>24.67</v>
          </cell>
        </row>
        <row r="371">
          <cell r="B371" t="str">
            <v>车位366</v>
          </cell>
          <cell r="C371">
            <v>12.72</v>
          </cell>
          <cell r="H371">
            <v>24.67</v>
          </cell>
        </row>
        <row r="372">
          <cell r="B372" t="str">
            <v>车位367</v>
          </cell>
          <cell r="C372">
            <v>25.44</v>
          </cell>
          <cell r="H372">
            <v>49.33</v>
          </cell>
        </row>
        <row r="373">
          <cell r="B373" t="str">
            <v>车位368</v>
          </cell>
          <cell r="C373">
            <v>25.44</v>
          </cell>
          <cell r="H373">
            <v>49.33</v>
          </cell>
        </row>
        <row r="374">
          <cell r="B374" t="str">
            <v>车位369</v>
          </cell>
          <cell r="C374">
            <v>25.44</v>
          </cell>
          <cell r="H374">
            <v>49.33</v>
          </cell>
        </row>
        <row r="375">
          <cell r="B375" t="str">
            <v>车位370</v>
          </cell>
          <cell r="C375">
            <v>25.44</v>
          </cell>
          <cell r="H375">
            <v>49.33</v>
          </cell>
        </row>
        <row r="376">
          <cell r="B376" t="str">
            <v>车位371</v>
          </cell>
          <cell r="C376">
            <v>12.72</v>
          </cell>
          <cell r="H376">
            <v>24.67</v>
          </cell>
        </row>
        <row r="377">
          <cell r="B377" t="str">
            <v>车位372</v>
          </cell>
          <cell r="C377">
            <v>25.44</v>
          </cell>
          <cell r="H377">
            <v>49.33</v>
          </cell>
        </row>
        <row r="378">
          <cell r="B378" t="str">
            <v>车位373</v>
          </cell>
          <cell r="C378">
            <v>25.44</v>
          </cell>
          <cell r="H378">
            <v>49.33</v>
          </cell>
        </row>
        <row r="379">
          <cell r="B379" t="str">
            <v>车位374</v>
          </cell>
          <cell r="C379">
            <v>12.72</v>
          </cell>
          <cell r="H379">
            <v>24.67</v>
          </cell>
        </row>
        <row r="380">
          <cell r="B380" t="str">
            <v>车位375</v>
          </cell>
          <cell r="C380">
            <v>12.72</v>
          </cell>
          <cell r="H380">
            <v>24.67</v>
          </cell>
        </row>
        <row r="381">
          <cell r="B381" t="str">
            <v>车位376</v>
          </cell>
          <cell r="C381">
            <v>12.72</v>
          </cell>
          <cell r="H381">
            <v>24.67</v>
          </cell>
        </row>
        <row r="382">
          <cell r="B382" t="str">
            <v>车位377</v>
          </cell>
          <cell r="C382">
            <v>25.44</v>
          </cell>
          <cell r="H382">
            <v>49.33</v>
          </cell>
        </row>
        <row r="383">
          <cell r="B383" t="str">
            <v>车位378</v>
          </cell>
          <cell r="C383">
            <v>25.44</v>
          </cell>
          <cell r="H383">
            <v>49.33</v>
          </cell>
        </row>
        <row r="384">
          <cell r="B384" t="str">
            <v>车位379</v>
          </cell>
          <cell r="C384">
            <v>25.44</v>
          </cell>
          <cell r="H384">
            <v>49.33</v>
          </cell>
        </row>
        <row r="385">
          <cell r="B385" t="str">
            <v>车位380</v>
          </cell>
          <cell r="C385">
            <v>25.44</v>
          </cell>
          <cell r="H385">
            <v>49.33</v>
          </cell>
        </row>
        <row r="386">
          <cell r="B386" t="str">
            <v>车位381</v>
          </cell>
          <cell r="C386">
            <v>12.72</v>
          </cell>
          <cell r="H386">
            <v>24.67</v>
          </cell>
        </row>
        <row r="387">
          <cell r="B387" t="str">
            <v>车位382</v>
          </cell>
          <cell r="C387">
            <v>12.72</v>
          </cell>
          <cell r="H387">
            <v>24.67</v>
          </cell>
        </row>
        <row r="388">
          <cell r="B388" t="str">
            <v>车位383</v>
          </cell>
          <cell r="C388">
            <v>12.72</v>
          </cell>
          <cell r="H388">
            <v>24.67</v>
          </cell>
        </row>
        <row r="389">
          <cell r="B389" t="str">
            <v>车位384</v>
          </cell>
          <cell r="C389">
            <v>25.44</v>
          </cell>
          <cell r="H389">
            <v>49.33</v>
          </cell>
        </row>
        <row r="390">
          <cell r="B390" t="str">
            <v>车位385</v>
          </cell>
          <cell r="C390">
            <v>25.44</v>
          </cell>
          <cell r="H390">
            <v>49.33</v>
          </cell>
        </row>
        <row r="391">
          <cell r="B391" t="str">
            <v>车位386</v>
          </cell>
          <cell r="C391">
            <v>12.72</v>
          </cell>
          <cell r="H391">
            <v>24.67</v>
          </cell>
        </row>
        <row r="392">
          <cell r="B392" t="str">
            <v>车位387</v>
          </cell>
          <cell r="C392">
            <v>12.72</v>
          </cell>
          <cell r="H392">
            <v>24.67</v>
          </cell>
        </row>
        <row r="393">
          <cell r="B393" t="str">
            <v>车位388</v>
          </cell>
          <cell r="C393">
            <v>12.72</v>
          </cell>
          <cell r="H393">
            <v>24.67</v>
          </cell>
        </row>
        <row r="394">
          <cell r="B394" t="str">
            <v>车位389</v>
          </cell>
          <cell r="C394">
            <v>12.72</v>
          </cell>
          <cell r="H394">
            <v>24.67</v>
          </cell>
        </row>
        <row r="395">
          <cell r="B395" t="str">
            <v>车位390</v>
          </cell>
          <cell r="C395">
            <v>12.72</v>
          </cell>
          <cell r="H395">
            <v>24.67</v>
          </cell>
        </row>
        <row r="396">
          <cell r="B396" t="str">
            <v>车位391</v>
          </cell>
          <cell r="C396">
            <v>12.72</v>
          </cell>
          <cell r="H396">
            <v>24.67</v>
          </cell>
        </row>
        <row r="397">
          <cell r="B397" t="str">
            <v>车位392</v>
          </cell>
          <cell r="C397">
            <v>12.72</v>
          </cell>
          <cell r="H397">
            <v>24.67</v>
          </cell>
        </row>
        <row r="398">
          <cell r="B398" t="str">
            <v>车位393</v>
          </cell>
          <cell r="C398">
            <v>12.72</v>
          </cell>
          <cell r="H398">
            <v>24.67</v>
          </cell>
        </row>
        <row r="399">
          <cell r="B399" t="str">
            <v>车位394</v>
          </cell>
          <cell r="C399">
            <v>12.72</v>
          </cell>
          <cell r="H399">
            <v>24.67</v>
          </cell>
        </row>
        <row r="400">
          <cell r="B400" t="str">
            <v>车位395</v>
          </cell>
          <cell r="C400">
            <v>12.72</v>
          </cell>
          <cell r="H400">
            <v>24.67</v>
          </cell>
        </row>
        <row r="401">
          <cell r="B401" t="str">
            <v>车位396</v>
          </cell>
          <cell r="C401">
            <v>12.72</v>
          </cell>
          <cell r="H401">
            <v>24.67</v>
          </cell>
        </row>
        <row r="402">
          <cell r="B402" t="str">
            <v>车位397</v>
          </cell>
          <cell r="C402">
            <v>12.72</v>
          </cell>
          <cell r="H402">
            <v>24.67</v>
          </cell>
        </row>
        <row r="403">
          <cell r="B403" t="str">
            <v>车位398</v>
          </cell>
          <cell r="C403">
            <v>12.72</v>
          </cell>
          <cell r="H403">
            <v>24.67</v>
          </cell>
        </row>
        <row r="404">
          <cell r="B404" t="str">
            <v>车位399</v>
          </cell>
          <cell r="C404">
            <v>12.72</v>
          </cell>
          <cell r="H404">
            <v>24.67</v>
          </cell>
        </row>
        <row r="405">
          <cell r="B405" t="str">
            <v>车位400</v>
          </cell>
          <cell r="C405">
            <v>12.72</v>
          </cell>
          <cell r="H405">
            <v>24.67</v>
          </cell>
        </row>
        <row r="406">
          <cell r="B406" t="str">
            <v>车位401</v>
          </cell>
          <cell r="C406">
            <v>12.72</v>
          </cell>
          <cell r="H406">
            <v>24.67</v>
          </cell>
        </row>
        <row r="407">
          <cell r="B407" t="str">
            <v>车位402</v>
          </cell>
          <cell r="C407">
            <v>12.72</v>
          </cell>
          <cell r="H407">
            <v>24.67</v>
          </cell>
        </row>
        <row r="408">
          <cell r="B408" t="str">
            <v>车位403</v>
          </cell>
          <cell r="C408">
            <v>12.72</v>
          </cell>
          <cell r="H408">
            <v>24.67</v>
          </cell>
        </row>
        <row r="409">
          <cell r="B409" t="str">
            <v>车位404</v>
          </cell>
          <cell r="C409">
            <v>12.72</v>
          </cell>
          <cell r="H409">
            <v>24.67</v>
          </cell>
        </row>
        <row r="410">
          <cell r="B410" t="str">
            <v>车位405</v>
          </cell>
          <cell r="C410">
            <v>12.72</v>
          </cell>
          <cell r="H410">
            <v>24.67</v>
          </cell>
        </row>
        <row r="411">
          <cell r="B411" t="str">
            <v>车位406</v>
          </cell>
          <cell r="C411">
            <v>12.72</v>
          </cell>
          <cell r="H411">
            <v>24.67</v>
          </cell>
        </row>
        <row r="412">
          <cell r="B412" t="str">
            <v>车位407</v>
          </cell>
          <cell r="C412">
            <v>12.72</v>
          </cell>
          <cell r="H412">
            <v>24.67</v>
          </cell>
        </row>
        <row r="413">
          <cell r="B413" t="str">
            <v>车位408</v>
          </cell>
          <cell r="C413">
            <v>12.72</v>
          </cell>
          <cell r="H413">
            <v>24.67</v>
          </cell>
        </row>
        <row r="414">
          <cell r="B414" t="str">
            <v>车位409</v>
          </cell>
          <cell r="C414">
            <v>12.72</v>
          </cell>
          <cell r="H414">
            <v>24.67</v>
          </cell>
        </row>
        <row r="415">
          <cell r="B415" t="str">
            <v>车位410</v>
          </cell>
          <cell r="C415">
            <v>12.72</v>
          </cell>
          <cell r="H415">
            <v>24.67</v>
          </cell>
        </row>
        <row r="416">
          <cell r="B416" t="str">
            <v>车位411</v>
          </cell>
          <cell r="C416">
            <v>12.72</v>
          </cell>
          <cell r="H416">
            <v>24.67</v>
          </cell>
        </row>
        <row r="417">
          <cell r="B417" t="str">
            <v>车位412</v>
          </cell>
          <cell r="C417">
            <v>25.44</v>
          </cell>
          <cell r="H417">
            <v>49.33</v>
          </cell>
        </row>
        <row r="418">
          <cell r="B418" t="str">
            <v>车位413</v>
          </cell>
          <cell r="C418">
            <v>25.44</v>
          </cell>
          <cell r="H418">
            <v>49.33</v>
          </cell>
        </row>
        <row r="419">
          <cell r="B419" t="str">
            <v>车位414</v>
          </cell>
          <cell r="C419">
            <v>12.72</v>
          </cell>
          <cell r="H419">
            <v>24.67</v>
          </cell>
        </row>
        <row r="420">
          <cell r="B420" t="str">
            <v>车位415</v>
          </cell>
          <cell r="C420">
            <v>12.72</v>
          </cell>
          <cell r="H420">
            <v>24.67</v>
          </cell>
        </row>
        <row r="421">
          <cell r="B421" t="str">
            <v>车位416</v>
          </cell>
          <cell r="C421">
            <v>12.72</v>
          </cell>
          <cell r="H421">
            <v>24.67</v>
          </cell>
        </row>
        <row r="422">
          <cell r="B422" t="str">
            <v>车位417</v>
          </cell>
          <cell r="C422">
            <v>25.44</v>
          </cell>
          <cell r="H422">
            <v>49.33</v>
          </cell>
        </row>
        <row r="423">
          <cell r="B423" t="str">
            <v>车位418</v>
          </cell>
          <cell r="C423">
            <v>25.44</v>
          </cell>
          <cell r="H423">
            <v>49.33</v>
          </cell>
        </row>
        <row r="424">
          <cell r="B424" t="str">
            <v>车位419</v>
          </cell>
          <cell r="C424">
            <v>25.44</v>
          </cell>
          <cell r="H424">
            <v>49.33</v>
          </cell>
        </row>
        <row r="425">
          <cell r="B425" t="str">
            <v>车位420</v>
          </cell>
          <cell r="C425">
            <v>25.44</v>
          </cell>
          <cell r="H425">
            <v>49.33</v>
          </cell>
        </row>
        <row r="426">
          <cell r="B426" t="str">
            <v>车位421</v>
          </cell>
          <cell r="C426">
            <v>12.72</v>
          </cell>
          <cell r="H426">
            <v>24.67</v>
          </cell>
        </row>
        <row r="427">
          <cell r="B427" t="str">
            <v>车位422</v>
          </cell>
          <cell r="C427">
            <v>12.72</v>
          </cell>
          <cell r="H427">
            <v>24.67</v>
          </cell>
        </row>
        <row r="428">
          <cell r="B428" t="str">
            <v>车位423</v>
          </cell>
          <cell r="C428">
            <v>12.72</v>
          </cell>
          <cell r="H428">
            <v>24.67</v>
          </cell>
        </row>
        <row r="429">
          <cell r="B429" t="str">
            <v>车位424</v>
          </cell>
          <cell r="C429">
            <v>25.44</v>
          </cell>
          <cell r="H429">
            <v>49.33</v>
          </cell>
        </row>
        <row r="430">
          <cell r="B430" t="str">
            <v>车位425</v>
          </cell>
          <cell r="C430">
            <v>25.44</v>
          </cell>
          <cell r="H430">
            <v>49.33</v>
          </cell>
        </row>
        <row r="431">
          <cell r="B431" t="str">
            <v>车位426</v>
          </cell>
          <cell r="C431">
            <v>12.72</v>
          </cell>
          <cell r="H431">
            <v>24.67</v>
          </cell>
        </row>
        <row r="432">
          <cell r="B432" t="str">
            <v>车位427</v>
          </cell>
          <cell r="C432">
            <v>12.72</v>
          </cell>
          <cell r="H432">
            <v>24.67</v>
          </cell>
        </row>
        <row r="433">
          <cell r="B433" t="str">
            <v>车位428</v>
          </cell>
          <cell r="C433">
            <v>25.44</v>
          </cell>
          <cell r="H433">
            <v>49.33</v>
          </cell>
        </row>
        <row r="434">
          <cell r="B434" t="str">
            <v>车位429</v>
          </cell>
          <cell r="C434">
            <v>25.44</v>
          </cell>
          <cell r="H434">
            <v>49.33</v>
          </cell>
        </row>
        <row r="435">
          <cell r="B435" t="str">
            <v>车位430</v>
          </cell>
          <cell r="C435">
            <v>12.72</v>
          </cell>
          <cell r="H435">
            <v>24.67</v>
          </cell>
        </row>
        <row r="436">
          <cell r="B436" t="str">
            <v>车位431</v>
          </cell>
          <cell r="C436">
            <v>12.72</v>
          </cell>
          <cell r="H436">
            <v>24.67</v>
          </cell>
        </row>
        <row r="437">
          <cell r="B437" t="str">
            <v>车位432</v>
          </cell>
          <cell r="C437">
            <v>12.72</v>
          </cell>
          <cell r="H437">
            <v>24.67</v>
          </cell>
        </row>
        <row r="438">
          <cell r="B438" t="str">
            <v>车位433</v>
          </cell>
          <cell r="C438">
            <v>25.44</v>
          </cell>
          <cell r="H438">
            <v>49.33</v>
          </cell>
        </row>
        <row r="439">
          <cell r="B439" t="str">
            <v>车位434</v>
          </cell>
          <cell r="C439">
            <v>25.44</v>
          </cell>
          <cell r="H439">
            <v>49.33</v>
          </cell>
        </row>
        <row r="440">
          <cell r="B440" t="str">
            <v>车位435</v>
          </cell>
          <cell r="C440">
            <v>12.72</v>
          </cell>
          <cell r="H440">
            <v>24.67</v>
          </cell>
        </row>
        <row r="441">
          <cell r="B441" t="str">
            <v>车位436</v>
          </cell>
          <cell r="C441">
            <v>12.72</v>
          </cell>
          <cell r="H441">
            <v>24.67</v>
          </cell>
        </row>
        <row r="442">
          <cell r="B442" t="str">
            <v>车位437</v>
          </cell>
          <cell r="C442">
            <v>12.72</v>
          </cell>
          <cell r="H442">
            <v>24.67</v>
          </cell>
        </row>
        <row r="443">
          <cell r="B443" t="str">
            <v>车位438</v>
          </cell>
          <cell r="C443">
            <v>25.44</v>
          </cell>
          <cell r="H443">
            <v>49.33</v>
          </cell>
        </row>
        <row r="444">
          <cell r="B444" t="str">
            <v>车位439</v>
          </cell>
          <cell r="C444">
            <v>25.44</v>
          </cell>
          <cell r="H444">
            <v>49.33</v>
          </cell>
        </row>
        <row r="445">
          <cell r="B445" t="str">
            <v>车位440</v>
          </cell>
          <cell r="C445">
            <v>12.72</v>
          </cell>
          <cell r="H445">
            <v>24.67</v>
          </cell>
        </row>
        <row r="446">
          <cell r="B446" t="str">
            <v>车位441</v>
          </cell>
          <cell r="C446">
            <v>12.72</v>
          </cell>
          <cell r="H446">
            <v>24.67</v>
          </cell>
        </row>
        <row r="447">
          <cell r="B447" t="str">
            <v>车位442</v>
          </cell>
          <cell r="C447">
            <v>12.72</v>
          </cell>
          <cell r="H447">
            <v>24.67</v>
          </cell>
        </row>
        <row r="448">
          <cell r="B448" t="str">
            <v>车位443</v>
          </cell>
          <cell r="C448">
            <v>25.44</v>
          </cell>
          <cell r="H448">
            <v>49.33</v>
          </cell>
        </row>
        <row r="449">
          <cell r="B449" t="str">
            <v>车位444</v>
          </cell>
          <cell r="C449">
            <v>25.44</v>
          </cell>
          <cell r="H449">
            <v>49.33</v>
          </cell>
        </row>
        <row r="450">
          <cell r="B450" t="str">
            <v>车位445</v>
          </cell>
          <cell r="C450">
            <v>12.72</v>
          </cell>
          <cell r="H450">
            <v>24.67</v>
          </cell>
        </row>
        <row r="451">
          <cell r="B451" t="str">
            <v>车位446</v>
          </cell>
          <cell r="C451">
            <v>12.72</v>
          </cell>
          <cell r="H451">
            <v>24.67</v>
          </cell>
        </row>
        <row r="452">
          <cell r="B452" t="str">
            <v>车位447</v>
          </cell>
          <cell r="C452">
            <v>12.72</v>
          </cell>
          <cell r="H452">
            <v>24.67</v>
          </cell>
        </row>
        <row r="453">
          <cell r="B453" t="str">
            <v>车位448</v>
          </cell>
          <cell r="C453">
            <v>12.72</v>
          </cell>
          <cell r="H453">
            <v>24.67</v>
          </cell>
        </row>
        <row r="454">
          <cell r="B454" t="str">
            <v>车位449</v>
          </cell>
          <cell r="C454">
            <v>12.72</v>
          </cell>
          <cell r="H454">
            <v>24.67</v>
          </cell>
        </row>
        <row r="455">
          <cell r="B455" t="str">
            <v>车位450</v>
          </cell>
          <cell r="C455">
            <v>12.72</v>
          </cell>
          <cell r="H455">
            <v>24.67</v>
          </cell>
        </row>
        <row r="456">
          <cell r="B456" t="str">
            <v>车位451</v>
          </cell>
          <cell r="C456">
            <v>12.72</v>
          </cell>
          <cell r="H456">
            <v>24.67</v>
          </cell>
        </row>
        <row r="457">
          <cell r="B457" t="str">
            <v>车位452</v>
          </cell>
          <cell r="C457">
            <v>12.72</v>
          </cell>
          <cell r="H457">
            <v>24.67</v>
          </cell>
        </row>
        <row r="458">
          <cell r="B458" t="str">
            <v>车位453</v>
          </cell>
          <cell r="C458">
            <v>12.72</v>
          </cell>
          <cell r="H458">
            <v>24.67</v>
          </cell>
        </row>
        <row r="459">
          <cell r="B459" t="str">
            <v>车位454</v>
          </cell>
          <cell r="C459">
            <v>12.72</v>
          </cell>
          <cell r="H459">
            <v>24.67</v>
          </cell>
        </row>
        <row r="460">
          <cell r="B460" t="str">
            <v>车位455</v>
          </cell>
          <cell r="C460">
            <v>12.72</v>
          </cell>
          <cell r="H460">
            <v>24.67</v>
          </cell>
        </row>
        <row r="461">
          <cell r="B461" t="str">
            <v>车位456</v>
          </cell>
          <cell r="C461">
            <v>12.72</v>
          </cell>
          <cell r="H461">
            <v>24.67</v>
          </cell>
        </row>
        <row r="462">
          <cell r="B462" t="str">
            <v>车位457</v>
          </cell>
          <cell r="C462">
            <v>12.72</v>
          </cell>
          <cell r="H462">
            <v>24.67</v>
          </cell>
        </row>
        <row r="463">
          <cell r="B463" t="str">
            <v>车位458</v>
          </cell>
          <cell r="C463">
            <v>12.72</v>
          </cell>
          <cell r="H463">
            <v>24.67</v>
          </cell>
        </row>
        <row r="464">
          <cell r="B464" t="str">
            <v>车位459</v>
          </cell>
          <cell r="C464">
            <v>25.44</v>
          </cell>
          <cell r="H464">
            <v>49.33</v>
          </cell>
        </row>
        <row r="465">
          <cell r="B465" t="str">
            <v>车位460</v>
          </cell>
          <cell r="C465">
            <v>12.72</v>
          </cell>
          <cell r="H465">
            <v>24.67</v>
          </cell>
        </row>
        <row r="466">
          <cell r="B466" t="str">
            <v>车位461</v>
          </cell>
          <cell r="C466">
            <v>12.72</v>
          </cell>
          <cell r="H466">
            <v>24.67</v>
          </cell>
        </row>
        <row r="467">
          <cell r="B467" t="str">
            <v>车位462</v>
          </cell>
          <cell r="C467">
            <v>12.72</v>
          </cell>
          <cell r="H467">
            <v>24.67</v>
          </cell>
        </row>
        <row r="468">
          <cell r="B468" t="str">
            <v>车位463</v>
          </cell>
          <cell r="C468">
            <v>12.72</v>
          </cell>
          <cell r="H468">
            <v>24.67</v>
          </cell>
        </row>
        <row r="469">
          <cell r="B469" t="str">
            <v>车位464</v>
          </cell>
          <cell r="C469">
            <v>12.72</v>
          </cell>
          <cell r="H469">
            <v>24.67</v>
          </cell>
        </row>
        <row r="470">
          <cell r="B470" t="str">
            <v>车位465</v>
          </cell>
          <cell r="C470">
            <v>12.72</v>
          </cell>
          <cell r="H470">
            <v>24.67</v>
          </cell>
        </row>
        <row r="471">
          <cell r="B471" t="str">
            <v>车位466</v>
          </cell>
          <cell r="C471">
            <v>12.72</v>
          </cell>
          <cell r="H471">
            <v>24.67</v>
          </cell>
        </row>
        <row r="472">
          <cell r="B472" t="str">
            <v>车位467</v>
          </cell>
          <cell r="C472">
            <v>12.72</v>
          </cell>
          <cell r="H472">
            <v>24.67</v>
          </cell>
        </row>
        <row r="473">
          <cell r="B473" t="str">
            <v>车位468</v>
          </cell>
          <cell r="C473">
            <v>25.44</v>
          </cell>
          <cell r="H473">
            <v>49.33</v>
          </cell>
        </row>
        <row r="474">
          <cell r="B474" t="str">
            <v>车位469</v>
          </cell>
          <cell r="C474">
            <v>12.72</v>
          </cell>
          <cell r="H474">
            <v>24.67</v>
          </cell>
        </row>
        <row r="475">
          <cell r="B475" t="str">
            <v>车位470</v>
          </cell>
          <cell r="C475">
            <v>12.72</v>
          </cell>
          <cell r="H475">
            <v>24.67</v>
          </cell>
        </row>
        <row r="476">
          <cell r="B476" t="str">
            <v>车位471</v>
          </cell>
          <cell r="C476">
            <v>12.72</v>
          </cell>
          <cell r="H476">
            <v>24.67</v>
          </cell>
        </row>
        <row r="477">
          <cell r="B477" t="str">
            <v>车位472</v>
          </cell>
          <cell r="C477">
            <v>25.44</v>
          </cell>
          <cell r="H477">
            <v>49.33</v>
          </cell>
        </row>
        <row r="478">
          <cell r="B478" t="str">
            <v>车位473</v>
          </cell>
          <cell r="C478">
            <v>25.44</v>
          </cell>
          <cell r="H478">
            <v>49.33</v>
          </cell>
        </row>
        <row r="479">
          <cell r="B479" t="str">
            <v>车位474</v>
          </cell>
          <cell r="C479">
            <v>12.72</v>
          </cell>
          <cell r="H479">
            <v>24.67</v>
          </cell>
        </row>
        <row r="480">
          <cell r="B480" t="str">
            <v>车位475</v>
          </cell>
          <cell r="C480">
            <v>12.72</v>
          </cell>
          <cell r="H480">
            <v>24.67</v>
          </cell>
        </row>
        <row r="481">
          <cell r="B481" t="str">
            <v>车位476</v>
          </cell>
          <cell r="C481">
            <v>12.72</v>
          </cell>
          <cell r="H481">
            <v>24.67</v>
          </cell>
        </row>
        <row r="482">
          <cell r="B482" t="str">
            <v>车位477</v>
          </cell>
          <cell r="C482">
            <v>25.44</v>
          </cell>
          <cell r="H482">
            <v>49.33</v>
          </cell>
        </row>
        <row r="483">
          <cell r="B483" t="str">
            <v>车位478</v>
          </cell>
          <cell r="C483">
            <v>25.44</v>
          </cell>
          <cell r="H483">
            <v>49.33</v>
          </cell>
        </row>
        <row r="484">
          <cell r="B484" t="str">
            <v>车位479</v>
          </cell>
          <cell r="C484">
            <v>12.72</v>
          </cell>
          <cell r="H484">
            <v>24.67</v>
          </cell>
        </row>
        <row r="485">
          <cell r="B485" t="str">
            <v>车位480</v>
          </cell>
          <cell r="C485">
            <v>12.72</v>
          </cell>
          <cell r="H485">
            <v>24.67</v>
          </cell>
        </row>
        <row r="486">
          <cell r="B486" t="str">
            <v>车位481</v>
          </cell>
          <cell r="C486">
            <v>12.72</v>
          </cell>
          <cell r="H486">
            <v>24.67</v>
          </cell>
        </row>
        <row r="487">
          <cell r="B487" t="str">
            <v>车位482</v>
          </cell>
          <cell r="C487">
            <v>25.44</v>
          </cell>
          <cell r="H487">
            <v>49.33</v>
          </cell>
        </row>
        <row r="488">
          <cell r="B488" t="str">
            <v>车位483</v>
          </cell>
          <cell r="C488">
            <v>25.44</v>
          </cell>
          <cell r="H488">
            <v>49.33</v>
          </cell>
        </row>
        <row r="489">
          <cell r="B489" t="str">
            <v>车位484</v>
          </cell>
          <cell r="C489">
            <v>12.72</v>
          </cell>
          <cell r="H489">
            <v>24.67</v>
          </cell>
        </row>
        <row r="490">
          <cell r="B490" t="str">
            <v>车位485</v>
          </cell>
          <cell r="C490">
            <v>12.72</v>
          </cell>
          <cell r="H490">
            <v>24.67</v>
          </cell>
        </row>
        <row r="491">
          <cell r="B491" t="str">
            <v>车位486</v>
          </cell>
          <cell r="C491">
            <v>12.72</v>
          </cell>
          <cell r="H491">
            <v>24.67</v>
          </cell>
        </row>
        <row r="492">
          <cell r="B492" t="str">
            <v>车位487</v>
          </cell>
          <cell r="C492">
            <v>25.44</v>
          </cell>
          <cell r="H492">
            <v>49.33</v>
          </cell>
        </row>
        <row r="493">
          <cell r="B493" t="str">
            <v>车位488</v>
          </cell>
          <cell r="C493">
            <v>25.44</v>
          </cell>
          <cell r="H493">
            <v>49.33</v>
          </cell>
        </row>
        <row r="494">
          <cell r="B494" t="str">
            <v>车位489</v>
          </cell>
          <cell r="C494">
            <v>12.72</v>
          </cell>
          <cell r="H494">
            <v>24.67</v>
          </cell>
        </row>
        <row r="495">
          <cell r="B495" t="str">
            <v>车位490</v>
          </cell>
          <cell r="C495">
            <v>25.44</v>
          </cell>
          <cell r="H495">
            <v>49.33</v>
          </cell>
        </row>
        <row r="496">
          <cell r="B496" t="str">
            <v>车位491</v>
          </cell>
          <cell r="C496">
            <v>25.44</v>
          </cell>
          <cell r="H496">
            <v>49.33</v>
          </cell>
        </row>
        <row r="497">
          <cell r="B497" t="str">
            <v>车位492</v>
          </cell>
          <cell r="C497">
            <v>12.72</v>
          </cell>
          <cell r="H497">
            <v>24.67</v>
          </cell>
        </row>
        <row r="498">
          <cell r="B498" t="str">
            <v>车位493</v>
          </cell>
          <cell r="C498">
            <v>12.72</v>
          </cell>
          <cell r="H498">
            <v>24.67</v>
          </cell>
        </row>
        <row r="499">
          <cell r="B499" t="str">
            <v>车位494</v>
          </cell>
          <cell r="C499">
            <v>12.72</v>
          </cell>
          <cell r="H499">
            <v>24.67</v>
          </cell>
        </row>
        <row r="500">
          <cell r="B500" t="str">
            <v>车位495</v>
          </cell>
          <cell r="C500">
            <v>25.44</v>
          </cell>
          <cell r="H500">
            <v>49.33</v>
          </cell>
        </row>
        <row r="501">
          <cell r="B501" t="str">
            <v>车位496</v>
          </cell>
          <cell r="C501">
            <v>25.44</v>
          </cell>
          <cell r="H501">
            <v>49.33</v>
          </cell>
        </row>
        <row r="502">
          <cell r="B502" t="str">
            <v>车位497</v>
          </cell>
          <cell r="C502">
            <v>25.44</v>
          </cell>
          <cell r="H502">
            <v>49.33</v>
          </cell>
        </row>
        <row r="503">
          <cell r="B503" t="str">
            <v>车位498</v>
          </cell>
          <cell r="C503">
            <v>25.44</v>
          </cell>
          <cell r="H503">
            <v>49.33</v>
          </cell>
        </row>
        <row r="504">
          <cell r="B504" t="str">
            <v>车位499</v>
          </cell>
          <cell r="C504">
            <v>12.72</v>
          </cell>
          <cell r="H504">
            <v>24.67</v>
          </cell>
        </row>
        <row r="505">
          <cell r="B505" t="str">
            <v>车位500</v>
          </cell>
          <cell r="C505">
            <v>12.72</v>
          </cell>
          <cell r="H505">
            <v>24.67</v>
          </cell>
        </row>
        <row r="506">
          <cell r="B506" t="str">
            <v>车位501</v>
          </cell>
          <cell r="C506">
            <v>12.72</v>
          </cell>
          <cell r="H506">
            <v>24.67</v>
          </cell>
        </row>
        <row r="507">
          <cell r="B507" t="str">
            <v>车位502</v>
          </cell>
          <cell r="C507">
            <v>25.44</v>
          </cell>
          <cell r="H507">
            <v>49.33</v>
          </cell>
        </row>
        <row r="508">
          <cell r="B508" t="str">
            <v>车位503</v>
          </cell>
          <cell r="C508">
            <v>25.44</v>
          </cell>
          <cell r="H508">
            <v>49.33</v>
          </cell>
        </row>
        <row r="509">
          <cell r="B509" t="str">
            <v>车位504</v>
          </cell>
          <cell r="C509">
            <v>12.72</v>
          </cell>
          <cell r="H509">
            <v>24.67</v>
          </cell>
        </row>
        <row r="510">
          <cell r="B510" t="str">
            <v>车位505</v>
          </cell>
          <cell r="C510">
            <v>12.72</v>
          </cell>
          <cell r="H510">
            <v>24.67</v>
          </cell>
        </row>
        <row r="511">
          <cell r="B511" t="str">
            <v>车位506</v>
          </cell>
          <cell r="C511">
            <v>12.72</v>
          </cell>
          <cell r="H511">
            <v>24.67</v>
          </cell>
        </row>
        <row r="512">
          <cell r="B512" t="str">
            <v>车位507</v>
          </cell>
          <cell r="C512">
            <v>25.44</v>
          </cell>
          <cell r="H512">
            <v>49.33</v>
          </cell>
        </row>
        <row r="513">
          <cell r="B513" t="str">
            <v>车位508</v>
          </cell>
          <cell r="C513">
            <v>12.72</v>
          </cell>
          <cell r="H513">
            <v>24.67</v>
          </cell>
        </row>
        <row r="514">
          <cell r="B514" t="str">
            <v>车位509</v>
          </cell>
          <cell r="C514">
            <v>12.72</v>
          </cell>
          <cell r="H514">
            <v>24.67</v>
          </cell>
        </row>
        <row r="515">
          <cell r="B515" t="str">
            <v>车位510</v>
          </cell>
          <cell r="C515">
            <v>12.72</v>
          </cell>
          <cell r="H515">
            <v>24.67</v>
          </cell>
        </row>
        <row r="516">
          <cell r="B516" t="str">
            <v>车位511</v>
          </cell>
          <cell r="C516">
            <v>12.72</v>
          </cell>
          <cell r="H516">
            <v>24.67</v>
          </cell>
        </row>
        <row r="517">
          <cell r="B517" t="str">
            <v>车位512</v>
          </cell>
          <cell r="C517">
            <v>25.44</v>
          </cell>
          <cell r="H517">
            <v>49.33</v>
          </cell>
        </row>
        <row r="518">
          <cell r="B518" t="str">
            <v>车位513</v>
          </cell>
          <cell r="C518">
            <v>25.44</v>
          </cell>
          <cell r="H518">
            <v>49.33</v>
          </cell>
        </row>
        <row r="519">
          <cell r="B519" t="str">
            <v>车位514</v>
          </cell>
          <cell r="C519">
            <v>12.72</v>
          </cell>
          <cell r="H519">
            <v>24.67</v>
          </cell>
        </row>
        <row r="520">
          <cell r="B520" t="str">
            <v>车位515</v>
          </cell>
          <cell r="C520">
            <v>12.72</v>
          </cell>
          <cell r="H520">
            <v>24.67</v>
          </cell>
        </row>
        <row r="521">
          <cell r="B521" t="str">
            <v>车位516</v>
          </cell>
          <cell r="C521">
            <v>12.72</v>
          </cell>
          <cell r="H521">
            <v>24.67</v>
          </cell>
        </row>
        <row r="522">
          <cell r="B522" t="str">
            <v>车位517</v>
          </cell>
          <cell r="C522">
            <v>12.72</v>
          </cell>
          <cell r="H522">
            <v>24.67</v>
          </cell>
        </row>
        <row r="523">
          <cell r="B523" t="str">
            <v>车位518</v>
          </cell>
          <cell r="C523">
            <v>12.72</v>
          </cell>
          <cell r="H523">
            <v>24.67</v>
          </cell>
        </row>
        <row r="524">
          <cell r="B524" t="str">
            <v>车位519</v>
          </cell>
          <cell r="C524">
            <v>12.72</v>
          </cell>
          <cell r="H524">
            <v>24.67</v>
          </cell>
        </row>
        <row r="525">
          <cell r="B525" t="str">
            <v>车位520</v>
          </cell>
          <cell r="C525">
            <v>12.72</v>
          </cell>
          <cell r="H525">
            <v>24.67</v>
          </cell>
        </row>
        <row r="526">
          <cell r="B526" t="str">
            <v>车位521</v>
          </cell>
          <cell r="C526">
            <v>12.72</v>
          </cell>
          <cell r="H526">
            <v>24.67</v>
          </cell>
        </row>
        <row r="527">
          <cell r="B527" t="str">
            <v>车位522</v>
          </cell>
          <cell r="C527">
            <v>25.44</v>
          </cell>
          <cell r="H527">
            <v>49.33</v>
          </cell>
        </row>
        <row r="528">
          <cell r="B528" t="str">
            <v>微型车位523</v>
          </cell>
          <cell r="C528">
            <v>11.66</v>
          </cell>
          <cell r="H528">
            <v>22.61</v>
          </cell>
        </row>
        <row r="529">
          <cell r="B529" t="str">
            <v>车位524</v>
          </cell>
          <cell r="C529">
            <v>12.72</v>
          </cell>
          <cell r="H529">
            <v>24.67</v>
          </cell>
        </row>
        <row r="530">
          <cell r="B530" t="str">
            <v>车位525</v>
          </cell>
          <cell r="C530">
            <v>12.72</v>
          </cell>
          <cell r="H530">
            <v>24.67</v>
          </cell>
        </row>
        <row r="531">
          <cell r="B531" t="str">
            <v>车位526</v>
          </cell>
          <cell r="C531">
            <v>25.44</v>
          </cell>
          <cell r="H531">
            <v>49.33</v>
          </cell>
        </row>
        <row r="532">
          <cell r="B532" t="str">
            <v>车位527</v>
          </cell>
          <cell r="C532">
            <v>12.72</v>
          </cell>
          <cell r="H532">
            <v>24.67</v>
          </cell>
        </row>
        <row r="533">
          <cell r="B533" t="str">
            <v>车位528</v>
          </cell>
          <cell r="C533">
            <v>12.72</v>
          </cell>
          <cell r="H533">
            <v>24.67</v>
          </cell>
        </row>
        <row r="534">
          <cell r="B534" t="str">
            <v>车位529</v>
          </cell>
          <cell r="C534">
            <v>12.72</v>
          </cell>
          <cell r="H534">
            <v>24.67</v>
          </cell>
        </row>
        <row r="535">
          <cell r="B535" t="str">
            <v>车位530</v>
          </cell>
          <cell r="C535">
            <v>12.72</v>
          </cell>
          <cell r="H535">
            <v>24.67</v>
          </cell>
        </row>
        <row r="536">
          <cell r="B536" t="str">
            <v>车位531</v>
          </cell>
          <cell r="C536">
            <v>25.44</v>
          </cell>
          <cell r="H536">
            <v>49.33</v>
          </cell>
        </row>
        <row r="537">
          <cell r="B537" t="str">
            <v>车位532</v>
          </cell>
          <cell r="C537">
            <v>25.44</v>
          </cell>
          <cell r="H537">
            <v>49.33</v>
          </cell>
        </row>
        <row r="538">
          <cell r="B538" t="str">
            <v>车位533</v>
          </cell>
          <cell r="C538">
            <v>12.72</v>
          </cell>
          <cell r="H538">
            <v>24.67</v>
          </cell>
        </row>
        <row r="539">
          <cell r="B539" t="str">
            <v>车位534</v>
          </cell>
          <cell r="C539">
            <v>12.72</v>
          </cell>
          <cell r="H539">
            <v>24.67</v>
          </cell>
        </row>
        <row r="540">
          <cell r="B540" t="str">
            <v>车位535</v>
          </cell>
          <cell r="C540">
            <v>12.72</v>
          </cell>
          <cell r="H540">
            <v>24.67</v>
          </cell>
        </row>
        <row r="541">
          <cell r="B541" t="str">
            <v>车位536</v>
          </cell>
          <cell r="C541">
            <v>12.72</v>
          </cell>
          <cell r="H541">
            <v>24.67</v>
          </cell>
        </row>
        <row r="542">
          <cell r="B542" t="str">
            <v>车位537</v>
          </cell>
          <cell r="C542">
            <v>12.72</v>
          </cell>
          <cell r="H542">
            <v>24.67</v>
          </cell>
        </row>
        <row r="543">
          <cell r="B543" t="str">
            <v>车位538</v>
          </cell>
          <cell r="C543">
            <v>12.72</v>
          </cell>
          <cell r="H543">
            <v>24.67</v>
          </cell>
        </row>
        <row r="544">
          <cell r="B544" t="str">
            <v>车位539</v>
          </cell>
          <cell r="C544">
            <v>12.72</v>
          </cell>
          <cell r="H544">
            <v>24.67</v>
          </cell>
        </row>
        <row r="545">
          <cell r="B545" t="str">
            <v>车位540</v>
          </cell>
          <cell r="C545">
            <v>12.72</v>
          </cell>
          <cell r="H545">
            <v>24.67</v>
          </cell>
        </row>
        <row r="546">
          <cell r="B546" t="str">
            <v>车位541</v>
          </cell>
          <cell r="C546">
            <v>25.44</v>
          </cell>
          <cell r="H546">
            <v>49.33</v>
          </cell>
        </row>
        <row r="547">
          <cell r="B547" t="str">
            <v>车位542</v>
          </cell>
          <cell r="C547">
            <v>12.72</v>
          </cell>
          <cell r="H547">
            <v>24.67</v>
          </cell>
        </row>
        <row r="548">
          <cell r="B548" t="str">
            <v>车位543</v>
          </cell>
          <cell r="C548">
            <v>25.44</v>
          </cell>
          <cell r="H548">
            <v>49.33</v>
          </cell>
        </row>
        <row r="549">
          <cell r="B549" t="str">
            <v>车位544</v>
          </cell>
          <cell r="C549">
            <v>12.72</v>
          </cell>
          <cell r="H549">
            <v>24.67</v>
          </cell>
        </row>
        <row r="550">
          <cell r="B550" t="str">
            <v>车位545</v>
          </cell>
          <cell r="C550">
            <v>12.72</v>
          </cell>
          <cell r="H550">
            <v>24.67</v>
          </cell>
        </row>
        <row r="551">
          <cell r="B551" t="str">
            <v>车位546</v>
          </cell>
          <cell r="C551">
            <v>12.72</v>
          </cell>
          <cell r="H551">
            <v>24.67</v>
          </cell>
        </row>
        <row r="552">
          <cell r="B552" t="str">
            <v>车位547</v>
          </cell>
          <cell r="C552">
            <v>12.72</v>
          </cell>
          <cell r="H552">
            <v>24.67</v>
          </cell>
        </row>
        <row r="553">
          <cell r="B553" t="str">
            <v>车位548</v>
          </cell>
          <cell r="C553">
            <v>12.72</v>
          </cell>
          <cell r="H553">
            <v>24.67</v>
          </cell>
        </row>
        <row r="554">
          <cell r="B554" t="str">
            <v>车位549</v>
          </cell>
          <cell r="C554">
            <v>12.72</v>
          </cell>
          <cell r="H554">
            <v>24.67</v>
          </cell>
        </row>
        <row r="555">
          <cell r="B555" t="str">
            <v>车位550</v>
          </cell>
          <cell r="C555">
            <v>12.72</v>
          </cell>
          <cell r="H555">
            <v>24.67</v>
          </cell>
        </row>
        <row r="556">
          <cell r="B556" t="str">
            <v>车位551</v>
          </cell>
          <cell r="C556">
            <v>12.72</v>
          </cell>
          <cell r="H556">
            <v>24.67</v>
          </cell>
        </row>
        <row r="557">
          <cell r="B557" t="str">
            <v>车位552</v>
          </cell>
          <cell r="C557">
            <v>25.44</v>
          </cell>
          <cell r="H557">
            <v>49.33</v>
          </cell>
        </row>
        <row r="558">
          <cell r="B558" t="str">
            <v>车位553</v>
          </cell>
          <cell r="C558">
            <v>12.72</v>
          </cell>
          <cell r="H558">
            <v>24.67</v>
          </cell>
        </row>
        <row r="559">
          <cell r="B559" t="str">
            <v>车位554</v>
          </cell>
          <cell r="C559">
            <v>12.72</v>
          </cell>
          <cell r="H559">
            <v>24.67</v>
          </cell>
        </row>
        <row r="560">
          <cell r="B560" t="str">
            <v>微型车位555</v>
          </cell>
          <cell r="C560">
            <v>11.66</v>
          </cell>
          <cell r="H560">
            <v>22.61</v>
          </cell>
        </row>
        <row r="561">
          <cell r="B561" t="str">
            <v>车位556</v>
          </cell>
          <cell r="C561">
            <v>25.44</v>
          </cell>
          <cell r="H561">
            <v>49.33</v>
          </cell>
        </row>
        <row r="562">
          <cell r="B562" t="str">
            <v>车位557</v>
          </cell>
          <cell r="C562">
            <v>12.72</v>
          </cell>
          <cell r="H562">
            <v>24.67</v>
          </cell>
        </row>
        <row r="563">
          <cell r="B563" t="str">
            <v>车位558</v>
          </cell>
          <cell r="C563">
            <v>12.72</v>
          </cell>
          <cell r="H563">
            <v>24.67</v>
          </cell>
        </row>
        <row r="564">
          <cell r="B564" t="str">
            <v>车位559</v>
          </cell>
          <cell r="C564">
            <v>12.72</v>
          </cell>
          <cell r="H564">
            <v>24.67</v>
          </cell>
        </row>
        <row r="565">
          <cell r="B565" t="str">
            <v>车位560</v>
          </cell>
          <cell r="C565">
            <v>12.72</v>
          </cell>
          <cell r="H565">
            <v>24.67</v>
          </cell>
        </row>
        <row r="566">
          <cell r="B566" t="str">
            <v>车位561</v>
          </cell>
          <cell r="C566">
            <v>12.72</v>
          </cell>
          <cell r="H566">
            <v>24.67</v>
          </cell>
        </row>
        <row r="567">
          <cell r="B567" t="str">
            <v>车位562</v>
          </cell>
          <cell r="C567">
            <v>12.72</v>
          </cell>
          <cell r="H567">
            <v>24.67</v>
          </cell>
        </row>
        <row r="568">
          <cell r="B568" t="str">
            <v>车位563</v>
          </cell>
          <cell r="C568">
            <v>12.72</v>
          </cell>
          <cell r="H568">
            <v>24.67</v>
          </cell>
        </row>
        <row r="569">
          <cell r="B569" t="str">
            <v>车位564</v>
          </cell>
          <cell r="C569">
            <v>12.72</v>
          </cell>
          <cell r="H569">
            <v>24.67</v>
          </cell>
        </row>
        <row r="570">
          <cell r="B570" t="str">
            <v>车位565</v>
          </cell>
          <cell r="C570">
            <v>25.44</v>
          </cell>
          <cell r="H570">
            <v>49.33</v>
          </cell>
        </row>
        <row r="571">
          <cell r="B571" t="str">
            <v>车位566</v>
          </cell>
          <cell r="C571">
            <v>25.44</v>
          </cell>
          <cell r="H571">
            <v>49.33</v>
          </cell>
        </row>
        <row r="572">
          <cell r="B572" t="str">
            <v>车位567</v>
          </cell>
          <cell r="C572">
            <v>12.72</v>
          </cell>
          <cell r="H572">
            <v>24.67</v>
          </cell>
        </row>
        <row r="573">
          <cell r="B573" t="str">
            <v>车位568</v>
          </cell>
          <cell r="C573">
            <v>12.72</v>
          </cell>
          <cell r="H573">
            <v>24.67</v>
          </cell>
        </row>
        <row r="574">
          <cell r="B574" t="str">
            <v>车位569</v>
          </cell>
          <cell r="C574">
            <v>12.72</v>
          </cell>
          <cell r="H574">
            <v>24.67</v>
          </cell>
        </row>
        <row r="575">
          <cell r="B575" t="str">
            <v>车位570</v>
          </cell>
          <cell r="C575">
            <v>12.72</v>
          </cell>
          <cell r="H575">
            <v>24.67</v>
          </cell>
        </row>
        <row r="576">
          <cell r="B576" t="str">
            <v>车位571</v>
          </cell>
          <cell r="C576">
            <v>12.72</v>
          </cell>
          <cell r="H576">
            <v>24.67</v>
          </cell>
        </row>
        <row r="577">
          <cell r="B577" t="str">
            <v>车位572</v>
          </cell>
          <cell r="C577">
            <v>12.72</v>
          </cell>
          <cell r="H577">
            <v>24.67</v>
          </cell>
        </row>
        <row r="578">
          <cell r="B578" t="str">
            <v>车位573</v>
          </cell>
          <cell r="C578">
            <v>12.72</v>
          </cell>
          <cell r="H578">
            <v>24.67</v>
          </cell>
        </row>
        <row r="579">
          <cell r="B579" t="str">
            <v>车位574</v>
          </cell>
          <cell r="C579">
            <v>12.72</v>
          </cell>
          <cell r="H579">
            <v>24.67</v>
          </cell>
        </row>
        <row r="580">
          <cell r="B580" t="str">
            <v>车位575</v>
          </cell>
          <cell r="C580">
            <v>25.44</v>
          </cell>
          <cell r="H580">
            <v>49.33</v>
          </cell>
        </row>
        <row r="581">
          <cell r="B581" t="str">
            <v>车位576</v>
          </cell>
          <cell r="C581">
            <v>12.72</v>
          </cell>
          <cell r="H581">
            <v>24.67</v>
          </cell>
        </row>
        <row r="582">
          <cell r="B582" t="str">
            <v>车位577</v>
          </cell>
          <cell r="C582">
            <v>12.72</v>
          </cell>
          <cell r="H582">
            <v>24.67</v>
          </cell>
        </row>
        <row r="583">
          <cell r="B583" t="str">
            <v>车位578</v>
          </cell>
          <cell r="C583">
            <v>12.72</v>
          </cell>
          <cell r="H583">
            <v>24.67</v>
          </cell>
        </row>
        <row r="584">
          <cell r="B584" t="str">
            <v>车位579</v>
          </cell>
          <cell r="C584">
            <v>12.72</v>
          </cell>
          <cell r="H584">
            <v>24.67</v>
          </cell>
        </row>
        <row r="585">
          <cell r="B585" t="str">
            <v>车位580</v>
          </cell>
          <cell r="C585">
            <v>12.72</v>
          </cell>
          <cell r="H585">
            <v>24.67</v>
          </cell>
        </row>
        <row r="586">
          <cell r="B586" t="str">
            <v>车位581</v>
          </cell>
          <cell r="C586">
            <v>12.72</v>
          </cell>
          <cell r="H586">
            <v>24.67</v>
          </cell>
        </row>
        <row r="587">
          <cell r="B587" t="str">
            <v>车位582</v>
          </cell>
          <cell r="C587">
            <v>12.72</v>
          </cell>
          <cell r="H587">
            <v>24.67</v>
          </cell>
        </row>
        <row r="588">
          <cell r="B588" t="str">
            <v>车位583</v>
          </cell>
          <cell r="C588">
            <v>12.72</v>
          </cell>
          <cell r="H588">
            <v>24.67</v>
          </cell>
        </row>
        <row r="589">
          <cell r="B589" t="str">
            <v>车位584</v>
          </cell>
          <cell r="C589">
            <v>12.72</v>
          </cell>
          <cell r="H589">
            <v>24.67</v>
          </cell>
        </row>
        <row r="590">
          <cell r="B590" t="str">
            <v>车位585</v>
          </cell>
          <cell r="C590">
            <v>12.72</v>
          </cell>
          <cell r="H590">
            <v>24.67</v>
          </cell>
        </row>
        <row r="591">
          <cell r="B591" t="str">
            <v>车位586</v>
          </cell>
          <cell r="C591">
            <v>12.72</v>
          </cell>
          <cell r="H591">
            <v>24.67</v>
          </cell>
        </row>
        <row r="592">
          <cell r="B592" t="str">
            <v>车位587</v>
          </cell>
          <cell r="C592">
            <v>12.72</v>
          </cell>
          <cell r="H592">
            <v>24.67</v>
          </cell>
        </row>
        <row r="593">
          <cell r="B593" t="str">
            <v>车位588</v>
          </cell>
          <cell r="C593">
            <v>12.72</v>
          </cell>
          <cell r="H593">
            <v>24.67</v>
          </cell>
        </row>
        <row r="594">
          <cell r="B594" t="str">
            <v>车位589</v>
          </cell>
          <cell r="C594">
            <v>12.72</v>
          </cell>
          <cell r="H594">
            <v>24.67</v>
          </cell>
        </row>
        <row r="595">
          <cell r="B595" t="str">
            <v>车位590</v>
          </cell>
          <cell r="C595">
            <v>12.72</v>
          </cell>
          <cell r="H595">
            <v>24.67</v>
          </cell>
        </row>
        <row r="596">
          <cell r="B596" t="str">
            <v>车位591</v>
          </cell>
          <cell r="C596">
            <v>12.72</v>
          </cell>
          <cell r="H596">
            <v>24.67</v>
          </cell>
        </row>
        <row r="597">
          <cell r="B597" t="str">
            <v>车位592</v>
          </cell>
          <cell r="C597">
            <v>12.72</v>
          </cell>
          <cell r="H597">
            <v>24.67</v>
          </cell>
        </row>
        <row r="598">
          <cell r="B598" t="str">
            <v>车位593</v>
          </cell>
          <cell r="C598">
            <v>12.72</v>
          </cell>
          <cell r="H598">
            <v>24.67</v>
          </cell>
        </row>
        <row r="599">
          <cell r="B599" t="str">
            <v>车位594</v>
          </cell>
          <cell r="C599">
            <v>12.72</v>
          </cell>
          <cell r="H599">
            <v>24.67</v>
          </cell>
        </row>
        <row r="600">
          <cell r="B600" t="str">
            <v>车位595</v>
          </cell>
          <cell r="C600">
            <v>12.72</v>
          </cell>
          <cell r="H600">
            <v>24.67</v>
          </cell>
        </row>
        <row r="601">
          <cell r="B601" t="str">
            <v>车位596</v>
          </cell>
          <cell r="C601">
            <v>12.72</v>
          </cell>
          <cell r="H601">
            <v>24.67</v>
          </cell>
        </row>
        <row r="602">
          <cell r="B602" t="str">
            <v>车位597</v>
          </cell>
          <cell r="C602">
            <v>12.72</v>
          </cell>
          <cell r="H602">
            <v>24.67</v>
          </cell>
        </row>
        <row r="603">
          <cell r="B603" t="str">
            <v>车位598</v>
          </cell>
          <cell r="C603">
            <v>12.72</v>
          </cell>
          <cell r="H603">
            <v>24.67</v>
          </cell>
        </row>
        <row r="604">
          <cell r="B604" t="str">
            <v>车位599</v>
          </cell>
          <cell r="C604">
            <v>12.72</v>
          </cell>
          <cell r="H604">
            <v>24.67</v>
          </cell>
        </row>
        <row r="605">
          <cell r="B605" t="str">
            <v>车位600</v>
          </cell>
          <cell r="C605">
            <v>12.72</v>
          </cell>
          <cell r="H605">
            <v>24.67</v>
          </cell>
        </row>
        <row r="606">
          <cell r="B606" t="str">
            <v>车位601</v>
          </cell>
          <cell r="C606">
            <v>12.72</v>
          </cell>
          <cell r="H606">
            <v>24.67</v>
          </cell>
        </row>
        <row r="607">
          <cell r="B607" t="str">
            <v>车位602</v>
          </cell>
          <cell r="C607">
            <v>12.72</v>
          </cell>
          <cell r="H607">
            <v>24.67</v>
          </cell>
        </row>
        <row r="608">
          <cell r="B608" t="str">
            <v>车位603</v>
          </cell>
          <cell r="C608">
            <v>12.72</v>
          </cell>
          <cell r="H608">
            <v>24.67</v>
          </cell>
        </row>
        <row r="609">
          <cell r="B609" t="str">
            <v>车位604</v>
          </cell>
          <cell r="C609">
            <v>12.72</v>
          </cell>
          <cell r="H609">
            <v>24.67</v>
          </cell>
        </row>
        <row r="610">
          <cell r="B610" t="str">
            <v>车位605</v>
          </cell>
          <cell r="C610">
            <v>12.72</v>
          </cell>
          <cell r="H610">
            <v>24.67</v>
          </cell>
        </row>
        <row r="611">
          <cell r="B611" t="str">
            <v>车位606</v>
          </cell>
          <cell r="C611">
            <v>12.72</v>
          </cell>
          <cell r="H611">
            <v>24.67</v>
          </cell>
        </row>
        <row r="612">
          <cell r="B612" t="str">
            <v>车位607</v>
          </cell>
          <cell r="C612">
            <v>12.72</v>
          </cell>
          <cell r="H612">
            <v>24.67</v>
          </cell>
        </row>
        <row r="613">
          <cell r="B613" t="str">
            <v>车位608</v>
          </cell>
          <cell r="C613">
            <v>25.44</v>
          </cell>
          <cell r="H613">
            <v>49.33</v>
          </cell>
        </row>
        <row r="614">
          <cell r="B614" t="str">
            <v>车位609</v>
          </cell>
          <cell r="C614">
            <v>12.72</v>
          </cell>
          <cell r="H614">
            <v>24.67</v>
          </cell>
        </row>
        <row r="615">
          <cell r="B615" t="str">
            <v>车位610</v>
          </cell>
          <cell r="C615">
            <v>12.72</v>
          </cell>
          <cell r="H615">
            <v>24.67</v>
          </cell>
        </row>
        <row r="616">
          <cell r="B616" t="str">
            <v>车位611</v>
          </cell>
          <cell r="C616">
            <v>12.72</v>
          </cell>
          <cell r="H616">
            <v>24.67</v>
          </cell>
        </row>
        <row r="617">
          <cell r="B617" t="str">
            <v>车位612</v>
          </cell>
          <cell r="C617">
            <v>12.72</v>
          </cell>
          <cell r="H617">
            <v>24.67</v>
          </cell>
        </row>
        <row r="618">
          <cell r="B618" t="str">
            <v>车位613</v>
          </cell>
          <cell r="C618">
            <v>12.72</v>
          </cell>
          <cell r="H618">
            <v>24.67</v>
          </cell>
        </row>
        <row r="619">
          <cell r="B619" t="str">
            <v>车位614</v>
          </cell>
          <cell r="C619">
            <v>12.72</v>
          </cell>
          <cell r="H619">
            <v>24.67</v>
          </cell>
        </row>
        <row r="620">
          <cell r="B620" t="str">
            <v>车位615</v>
          </cell>
          <cell r="C620">
            <v>12.72</v>
          </cell>
          <cell r="H620">
            <v>24.67</v>
          </cell>
        </row>
        <row r="621">
          <cell r="B621" t="str">
            <v>车位616</v>
          </cell>
          <cell r="C621">
            <v>12.72</v>
          </cell>
          <cell r="H621">
            <v>24.67</v>
          </cell>
        </row>
        <row r="622">
          <cell r="B622" t="str">
            <v>车位617</v>
          </cell>
          <cell r="C622">
            <v>25.44</v>
          </cell>
          <cell r="H622">
            <v>49.33</v>
          </cell>
        </row>
        <row r="623">
          <cell r="B623" t="str">
            <v>车位618</v>
          </cell>
          <cell r="C623">
            <v>12.72</v>
          </cell>
          <cell r="H623">
            <v>24.67</v>
          </cell>
        </row>
        <row r="624">
          <cell r="B624" t="str">
            <v>车位619</v>
          </cell>
          <cell r="C624">
            <v>12.72</v>
          </cell>
          <cell r="H624">
            <v>24.67</v>
          </cell>
        </row>
        <row r="625">
          <cell r="B625" t="str">
            <v>微型车位620</v>
          </cell>
          <cell r="C625">
            <v>11.66</v>
          </cell>
          <cell r="H625">
            <v>22.61</v>
          </cell>
        </row>
        <row r="626">
          <cell r="B626" t="str">
            <v>车位621</v>
          </cell>
          <cell r="C626">
            <v>25.44</v>
          </cell>
          <cell r="H626">
            <v>49.33</v>
          </cell>
        </row>
        <row r="627">
          <cell r="B627" t="str">
            <v>车位622</v>
          </cell>
          <cell r="C627">
            <v>12.72</v>
          </cell>
          <cell r="H627">
            <v>24.67</v>
          </cell>
        </row>
        <row r="628">
          <cell r="B628" t="str">
            <v>车位623</v>
          </cell>
          <cell r="C628">
            <v>12.72</v>
          </cell>
          <cell r="H628">
            <v>24.67</v>
          </cell>
        </row>
        <row r="629">
          <cell r="B629" t="str">
            <v>车位624</v>
          </cell>
          <cell r="C629">
            <v>12.72</v>
          </cell>
          <cell r="H629">
            <v>24.67</v>
          </cell>
        </row>
        <row r="630">
          <cell r="B630" t="str">
            <v>车位625</v>
          </cell>
          <cell r="C630">
            <v>12.72</v>
          </cell>
          <cell r="H630">
            <v>24.67</v>
          </cell>
        </row>
        <row r="631">
          <cell r="B631" t="str">
            <v>车位626</v>
          </cell>
          <cell r="C631">
            <v>25.44</v>
          </cell>
          <cell r="H631">
            <v>49.33</v>
          </cell>
        </row>
        <row r="632">
          <cell r="B632" t="str">
            <v>车位627</v>
          </cell>
          <cell r="C632">
            <v>25.44</v>
          </cell>
          <cell r="H632">
            <v>49.33</v>
          </cell>
        </row>
        <row r="633">
          <cell r="B633" t="str">
            <v>车位628</v>
          </cell>
          <cell r="C633">
            <v>12.72</v>
          </cell>
          <cell r="H633">
            <v>24.67</v>
          </cell>
        </row>
        <row r="634">
          <cell r="B634" t="str">
            <v>车位629</v>
          </cell>
          <cell r="C634">
            <v>12.72</v>
          </cell>
          <cell r="H634">
            <v>24.67</v>
          </cell>
        </row>
        <row r="635">
          <cell r="B635" t="str">
            <v>车位630</v>
          </cell>
          <cell r="C635">
            <v>12.72</v>
          </cell>
          <cell r="H635">
            <v>24.67</v>
          </cell>
        </row>
        <row r="636">
          <cell r="B636" t="str">
            <v>车位631</v>
          </cell>
          <cell r="C636">
            <v>12.72</v>
          </cell>
          <cell r="H636">
            <v>24.67</v>
          </cell>
        </row>
        <row r="637">
          <cell r="B637" t="str">
            <v>车位632</v>
          </cell>
          <cell r="C637">
            <v>12.72</v>
          </cell>
          <cell r="H637">
            <v>24.67</v>
          </cell>
        </row>
        <row r="638">
          <cell r="B638" t="str">
            <v>车位633</v>
          </cell>
          <cell r="C638">
            <v>12.72</v>
          </cell>
          <cell r="H638">
            <v>24.67</v>
          </cell>
        </row>
        <row r="639">
          <cell r="B639" t="str">
            <v>车位634</v>
          </cell>
          <cell r="C639">
            <v>25.44</v>
          </cell>
          <cell r="H639">
            <v>49.33</v>
          </cell>
        </row>
        <row r="640">
          <cell r="B640" t="str">
            <v>车位635</v>
          </cell>
          <cell r="C640">
            <v>12.72</v>
          </cell>
          <cell r="H640">
            <v>24.67</v>
          </cell>
        </row>
        <row r="641">
          <cell r="B641" t="str">
            <v>车位636</v>
          </cell>
          <cell r="C641">
            <v>25.44</v>
          </cell>
          <cell r="H641">
            <v>49.33</v>
          </cell>
        </row>
        <row r="642">
          <cell r="B642" t="str">
            <v>车位637</v>
          </cell>
          <cell r="C642">
            <v>12.72</v>
          </cell>
          <cell r="H642">
            <v>24.67</v>
          </cell>
        </row>
        <row r="643">
          <cell r="B643" t="str">
            <v>车位638</v>
          </cell>
          <cell r="C643">
            <v>12.72</v>
          </cell>
          <cell r="H643">
            <v>24.67</v>
          </cell>
        </row>
        <row r="644">
          <cell r="B644" t="str">
            <v>车位639</v>
          </cell>
          <cell r="C644">
            <v>12.72</v>
          </cell>
          <cell r="H644">
            <v>24.67</v>
          </cell>
        </row>
        <row r="645">
          <cell r="B645" t="str">
            <v>车位640</v>
          </cell>
          <cell r="C645">
            <v>12.72</v>
          </cell>
          <cell r="H645">
            <v>24.67</v>
          </cell>
        </row>
        <row r="646">
          <cell r="B646" t="str">
            <v>车位641</v>
          </cell>
          <cell r="C646">
            <v>25.44</v>
          </cell>
          <cell r="H646">
            <v>49.33</v>
          </cell>
        </row>
        <row r="647">
          <cell r="B647" t="str">
            <v>车位642</v>
          </cell>
          <cell r="C647">
            <v>12.72</v>
          </cell>
          <cell r="H647">
            <v>24.67</v>
          </cell>
        </row>
        <row r="648">
          <cell r="B648" t="str">
            <v>车位643</v>
          </cell>
          <cell r="C648">
            <v>12.72</v>
          </cell>
          <cell r="H648">
            <v>24.67</v>
          </cell>
        </row>
        <row r="649">
          <cell r="B649" t="str">
            <v>微型车位644</v>
          </cell>
          <cell r="C649">
            <v>11.66</v>
          </cell>
          <cell r="H649">
            <v>22.61</v>
          </cell>
        </row>
        <row r="650">
          <cell r="B650" t="str">
            <v>车位645</v>
          </cell>
          <cell r="C650">
            <v>25.44</v>
          </cell>
          <cell r="H650">
            <v>49.33</v>
          </cell>
        </row>
        <row r="651">
          <cell r="B651" t="str">
            <v>车位646</v>
          </cell>
          <cell r="C651">
            <v>12.72</v>
          </cell>
          <cell r="H651">
            <v>24.67</v>
          </cell>
        </row>
        <row r="652">
          <cell r="B652" t="str">
            <v>车位647</v>
          </cell>
          <cell r="C652">
            <v>12.72</v>
          </cell>
          <cell r="H652">
            <v>24.67</v>
          </cell>
        </row>
        <row r="653">
          <cell r="B653" t="str">
            <v>车位648</v>
          </cell>
          <cell r="C653">
            <v>12.72</v>
          </cell>
          <cell r="H653">
            <v>24.67</v>
          </cell>
        </row>
        <row r="654">
          <cell r="B654" t="str">
            <v>车位649</v>
          </cell>
          <cell r="C654">
            <v>12.72</v>
          </cell>
          <cell r="H654">
            <v>24.67</v>
          </cell>
        </row>
        <row r="655">
          <cell r="B655" t="str">
            <v>车位650</v>
          </cell>
          <cell r="C655">
            <v>25.44</v>
          </cell>
          <cell r="H655">
            <v>49.33</v>
          </cell>
        </row>
        <row r="656">
          <cell r="B656" t="str">
            <v>车位651</v>
          </cell>
          <cell r="C656">
            <v>12.72</v>
          </cell>
          <cell r="H656">
            <v>24.67</v>
          </cell>
        </row>
        <row r="657">
          <cell r="B657" t="str">
            <v>车位652</v>
          </cell>
          <cell r="C657">
            <v>12.72</v>
          </cell>
          <cell r="H657">
            <v>24.67</v>
          </cell>
        </row>
        <row r="658">
          <cell r="B658" t="str">
            <v>车位653</v>
          </cell>
          <cell r="C658">
            <v>25.44</v>
          </cell>
          <cell r="H658">
            <v>49.33</v>
          </cell>
        </row>
        <row r="659">
          <cell r="B659" t="str">
            <v>车位654</v>
          </cell>
          <cell r="C659">
            <v>12.72</v>
          </cell>
          <cell r="H659">
            <v>24.67</v>
          </cell>
        </row>
        <row r="660">
          <cell r="B660" t="str">
            <v>车位655</v>
          </cell>
          <cell r="C660">
            <v>12.72</v>
          </cell>
          <cell r="H660">
            <v>24.67</v>
          </cell>
        </row>
        <row r="661">
          <cell r="B661" t="str">
            <v>车位656</v>
          </cell>
          <cell r="C661">
            <v>12.72</v>
          </cell>
          <cell r="H661">
            <v>24.67</v>
          </cell>
        </row>
        <row r="662">
          <cell r="B662" t="str">
            <v>车位657</v>
          </cell>
          <cell r="C662">
            <v>12.72</v>
          </cell>
          <cell r="H662">
            <v>24.67</v>
          </cell>
        </row>
        <row r="663">
          <cell r="B663" t="str">
            <v>车位658</v>
          </cell>
          <cell r="C663">
            <v>12.72</v>
          </cell>
          <cell r="H663">
            <v>24.67</v>
          </cell>
        </row>
        <row r="664">
          <cell r="B664" t="str">
            <v>车位659</v>
          </cell>
          <cell r="C664">
            <v>12.72</v>
          </cell>
          <cell r="H664">
            <v>24.67</v>
          </cell>
        </row>
        <row r="665">
          <cell r="B665" t="str">
            <v>车位660</v>
          </cell>
          <cell r="C665">
            <v>25.44</v>
          </cell>
          <cell r="H665">
            <v>49.33</v>
          </cell>
        </row>
        <row r="666">
          <cell r="B666" t="str">
            <v>车位661</v>
          </cell>
          <cell r="C666">
            <v>12.72</v>
          </cell>
          <cell r="H666">
            <v>24.67</v>
          </cell>
        </row>
        <row r="667">
          <cell r="B667" t="str">
            <v>车位662</v>
          </cell>
          <cell r="C667">
            <v>12.72</v>
          </cell>
          <cell r="H667">
            <v>24.67</v>
          </cell>
        </row>
        <row r="668">
          <cell r="B668" t="str">
            <v>车位663</v>
          </cell>
          <cell r="C668">
            <v>12.72</v>
          </cell>
          <cell r="H668">
            <v>24.67</v>
          </cell>
        </row>
        <row r="669">
          <cell r="B669" t="str">
            <v>车位664</v>
          </cell>
          <cell r="C669">
            <v>12.72</v>
          </cell>
          <cell r="H669">
            <v>24.67</v>
          </cell>
        </row>
        <row r="670">
          <cell r="B670" t="str">
            <v>车位665</v>
          </cell>
          <cell r="C670">
            <v>12.72</v>
          </cell>
          <cell r="H670">
            <v>24.67</v>
          </cell>
        </row>
        <row r="671">
          <cell r="B671" t="str">
            <v>车位666</v>
          </cell>
          <cell r="C671">
            <v>12.72</v>
          </cell>
          <cell r="H671">
            <v>24.67</v>
          </cell>
        </row>
        <row r="672">
          <cell r="B672" t="str">
            <v>车位667</v>
          </cell>
          <cell r="C672">
            <v>12.72</v>
          </cell>
          <cell r="H672">
            <v>24.67</v>
          </cell>
        </row>
        <row r="673">
          <cell r="B673" t="str">
            <v>车位668</v>
          </cell>
          <cell r="C673">
            <v>12.72</v>
          </cell>
          <cell r="H673">
            <v>24.67</v>
          </cell>
        </row>
        <row r="674">
          <cell r="B674" t="str">
            <v>车位669</v>
          </cell>
          <cell r="C674">
            <v>12.72</v>
          </cell>
          <cell r="H674">
            <v>24.67</v>
          </cell>
        </row>
        <row r="675">
          <cell r="B675" t="str">
            <v>车位670</v>
          </cell>
          <cell r="C675">
            <v>12.72</v>
          </cell>
          <cell r="H675">
            <v>24.67</v>
          </cell>
        </row>
        <row r="676">
          <cell r="B676" t="str">
            <v>车位671</v>
          </cell>
          <cell r="C676">
            <v>12.72</v>
          </cell>
          <cell r="H676">
            <v>24.67</v>
          </cell>
        </row>
        <row r="677">
          <cell r="B677" t="str">
            <v>车位672</v>
          </cell>
          <cell r="C677">
            <v>12.72</v>
          </cell>
          <cell r="H677">
            <v>24.67</v>
          </cell>
        </row>
        <row r="678">
          <cell r="B678" t="str">
            <v>车位673</v>
          </cell>
          <cell r="C678">
            <v>12.72</v>
          </cell>
          <cell r="H678">
            <v>24.67</v>
          </cell>
        </row>
        <row r="679">
          <cell r="B679" t="str">
            <v>车位674</v>
          </cell>
          <cell r="C679">
            <v>12.72</v>
          </cell>
          <cell r="H679">
            <v>24.67</v>
          </cell>
        </row>
        <row r="680">
          <cell r="B680" t="str">
            <v>车位675</v>
          </cell>
          <cell r="C680">
            <v>12.72</v>
          </cell>
          <cell r="H680">
            <v>24.67</v>
          </cell>
        </row>
        <row r="681">
          <cell r="B681" t="str">
            <v>车位676</v>
          </cell>
          <cell r="C681">
            <v>12.72</v>
          </cell>
          <cell r="H681">
            <v>24.67</v>
          </cell>
        </row>
        <row r="682">
          <cell r="B682" t="str">
            <v>车位677</v>
          </cell>
          <cell r="C682">
            <v>12.72</v>
          </cell>
          <cell r="H682">
            <v>24.67</v>
          </cell>
        </row>
        <row r="683">
          <cell r="B683" t="str">
            <v>车位678</v>
          </cell>
          <cell r="C683">
            <v>12.72</v>
          </cell>
          <cell r="H683">
            <v>24.67</v>
          </cell>
        </row>
        <row r="684">
          <cell r="B684" t="str">
            <v>车位679</v>
          </cell>
          <cell r="C684">
            <v>12.72</v>
          </cell>
          <cell r="H684">
            <v>24.67</v>
          </cell>
        </row>
        <row r="685">
          <cell r="B685" t="str">
            <v>车位680</v>
          </cell>
          <cell r="C685">
            <v>12.72</v>
          </cell>
          <cell r="H685">
            <v>24.67</v>
          </cell>
        </row>
        <row r="686">
          <cell r="B686" t="str">
            <v>车位681</v>
          </cell>
          <cell r="C686">
            <v>12.72</v>
          </cell>
          <cell r="H686">
            <v>24.67</v>
          </cell>
        </row>
        <row r="687">
          <cell r="B687" t="str">
            <v>车位682</v>
          </cell>
          <cell r="C687">
            <v>12.72</v>
          </cell>
          <cell r="H687">
            <v>24.67</v>
          </cell>
        </row>
        <row r="688">
          <cell r="B688" t="str">
            <v>车位683</v>
          </cell>
          <cell r="C688">
            <v>12.72</v>
          </cell>
          <cell r="H688">
            <v>24.67</v>
          </cell>
        </row>
        <row r="689">
          <cell r="B689" t="str">
            <v>车位684</v>
          </cell>
          <cell r="C689">
            <v>12.72</v>
          </cell>
          <cell r="H689">
            <v>24.67</v>
          </cell>
        </row>
        <row r="690">
          <cell r="B690" t="str">
            <v>车位685</v>
          </cell>
          <cell r="C690">
            <v>12.72</v>
          </cell>
          <cell r="H690">
            <v>24.67</v>
          </cell>
        </row>
        <row r="691">
          <cell r="B691" t="str">
            <v>车位686</v>
          </cell>
          <cell r="C691">
            <v>12.72</v>
          </cell>
          <cell r="H691">
            <v>24.67</v>
          </cell>
        </row>
        <row r="692">
          <cell r="B692" t="str">
            <v>车位687</v>
          </cell>
          <cell r="C692">
            <v>12.72</v>
          </cell>
          <cell r="H692">
            <v>24.67</v>
          </cell>
        </row>
        <row r="693">
          <cell r="B693" t="str">
            <v>车位688</v>
          </cell>
          <cell r="C693">
            <v>12.72</v>
          </cell>
          <cell r="H693">
            <v>24.67</v>
          </cell>
        </row>
        <row r="694">
          <cell r="B694" t="str">
            <v>车位689</v>
          </cell>
          <cell r="C694">
            <v>12.72</v>
          </cell>
          <cell r="H694">
            <v>24.67</v>
          </cell>
        </row>
        <row r="695">
          <cell r="B695" t="str">
            <v>车位690</v>
          </cell>
          <cell r="C695">
            <v>12.72</v>
          </cell>
          <cell r="H695">
            <v>24.67</v>
          </cell>
        </row>
        <row r="696">
          <cell r="B696" t="str">
            <v>车位691</v>
          </cell>
          <cell r="C696">
            <v>12.72</v>
          </cell>
          <cell r="H696">
            <v>24.67</v>
          </cell>
        </row>
        <row r="697">
          <cell r="B697" t="str">
            <v>车位692</v>
          </cell>
          <cell r="C697">
            <v>12.72</v>
          </cell>
          <cell r="H697">
            <v>24.67</v>
          </cell>
        </row>
        <row r="698">
          <cell r="B698" t="str">
            <v>车位693</v>
          </cell>
          <cell r="C698">
            <v>12.72</v>
          </cell>
          <cell r="H698">
            <v>24.67</v>
          </cell>
        </row>
        <row r="699">
          <cell r="B699" t="str">
            <v>车位694</v>
          </cell>
          <cell r="C699">
            <v>12.72</v>
          </cell>
          <cell r="H699">
            <v>24.67</v>
          </cell>
        </row>
        <row r="700">
          <cell r="B700" t="str">
            <v>车位695</v>
          </cell>
          <cell r="C700">
            <v>12.72</v>
          </cell>
          <cell r="H700">
            <v>24.67</v>
          </cell>
        </row>
        <row r="701">
          <cell r="B701" t="str">
            <v>车位696</v>
          </cell>
          <cell r="C701">
            <v>12.72</v>
          </cell>
          <cell r="H701">
            <v>24.67</v>
          </cell>
        </row>
        <row r="702">
          <cell r="B702" t="str">
            <v>车位697</v>
          </cell>
          <cell r="C702">
            <v>12.72</v>
          </cell>
          <cell r="H702">
            <v>24.67</v>
          </cell>
        </row>
        <row r="703">
          <cell r="B703" t="str">
            <v>车位698</v>
          </cell>
          <cell r="C703">
            <v>12.72</v>
          </cell>
          <cell r="H703">
            <v>24.67</v>
          </cell>
        </row>
        <row r="704">
          <cell r="B704" t="str">
            <v>车位699</v>
          </cell>
          <cell r="C704">
            <v>12.72</v>
          </cell>
          <cell r="H704">
            <v>24.67</v>
          </cell>
        </row>
        <row r="705">
          <cell r="B705" t="str">
            <v>车位700</v>
          </cell>
          <cell r="C705">
            <v>12.72</v>
          </cell>
          <cell r="H705">
            <v>24.67</v>
          </cell>
        </row>
        <row r="706">
          <cell r="B706" t="str">
            <v>车位701</v>
          </cell>
          <cell r="C706">
            <v>12.72</v>
          </cell>
          <cell r="H706">
            <v>24.67</v>
          </cell>
        </row>
        <row r="707">
          <cell r="B707" t="str">
            <v>车位702</v>
          </cell>
          <cell r="C707">
            <v>12.72</v>
          </cell>
          <cell r="H707">
            <v>24.67</v>
          </cell>
        </row>
        <row r="708">
          <cell r="B708" t="str">
            <v>车位703</v>
          </cell>
          <cell r="C708">
            <v>12.72</v>
          </cell>
          <cell r="H708">
            <v>24.67</v>
          </cell>
        </row>
        <row r="709">
          <cell r="B709" t="str">
            <v>车位704</v>
          </cell>
          <cell r="C709">
            <v>12.72</v>
          </cell>
          <cell r="H709">
            <v>24.67</v>
          </cell>
        </row>
        <row r="710">
          <cell r="B710" t="str">
            <v>车位705</v>
          </cell>
          <cell r="C710">
            <v>12.72</v>
          </cell>
          <cell r="H710">
            <v>24.67</v>
          </cell>
        </row>
        <row r="711">
          <cell r="B711" t="str">
            <v>车位706</v>
          </cell>
          <cell r="C711">
            <v>12.72</v>
          </cell>
          <cell r="H711">
            <v>24.67</v>
          </cell>
        </row>
        <row r="712">
          <cell r="B712" t="str">
            <v>车位707</v>
          </cell>
          <cell r="C712">
            <v>12.72</v>
          </cell>
          <cell r="H712">
            <v>24.67</v>
          </cell>
        </row>
        <row r="713">
          <cell r="B713" t="str">
            <v>车位708</v>
          </cell>
          <cell r="C713">
            <v>12.72</v>
          </cell>
          <cell r="H713">
            <v>24.67</v>
          </cell>
        </row>
        <row r="714">
          <cell r="B714" t="str">
            <v>车位709</v>
          </cell>
          <cell r="C714">
            <v>12.72</v>
          </cell>
          <cell r="H714">
            <v>24.67</v>
          </cell>
        </row>
        <row r="715">
          <cell r="B715" t="str">
            <v>车位710</v>
          </cell>
          <cell r="C715">
            <v>12.72</v>
          </cell>
          <cell r="H715">
            <v>24.67</v>
          </cell>
        </row>
        <row r="716">
          <cell r="B716" t="str">
            <v>车位711</v>
          </cell>
          <cell r="C716">
            <v>12.72</v>
          </cell>
          <cell r="H716">
            <v>24.67</v>
          </cell>
        </row>
        <row r="717">
          <cell r="B717" t="str">
            <v>车位712</v>
          </cell>
          <cell r="C717">
            <v>12.72</v>
          </cell>
          <cell r="H717">
            <v>24.67</v>
          </cell>
        </row>
        <row r="718">
          <cell r="B718" t="str">
            <v>车位713</v>
          </cell>
          <cell r="C718">
            <v>12.72</v>
          </cell>
          <cell r="H718">
            <v>24.67</v>
          </cell>
        </row>
        <row r="719">
          <cell r="B719" t="str">
            <v>车位714</v>
          </cell>
          <cell r="C719">
            <v>12.72</v>
          </cell>
          <cell r="H719">
            <v>24.67</v>
          </cell>
        </row>
        <row r="720">
          <cell r="B720" t="str">
            <v>车位715</v>
          </cell>
          <cell r="C720">
            <v>12.72</v>
          </cell>
          <cell r="H720">
            <v>24.67</v>
          </cell>
        </row>
        <row r="721">
          <cell r="B721" t="str">
            <v>车位716</v>
          </cell>
          <cell r="C721">
            <v>12.72</v>
          </cell>
          <cell r="H721">
            <v>24.67</v>
          </cell>
        </row>
        <row r="722">
          <cell r="B722" t="str">
            <v>车位717</v>
          </cell>
          <cell r="C722">
            <v>12.72</v>
          </cell>
          <cell r="H722">
            <v>24.67</v>
          </cell>
        </row>
        <row r="723">
          <cell r="B723" t="str">
            <v>车位718</v>
          </cell>
          <cell r="C723">
            <v>12.72</v>
          </cell>
          <cell r="H723">
            <v>24.67</v>
          </cell>
        </row>
        <row r="724">
          <cell r="B724" t="str">
            <v>车位719</v>
          </cell>
          <cell r="C724">
            <v>12.72</v>
          </cell>
          <cell r="H724">
            <v>24.67</v>
          </cell>
        </row>
        <row r="725">
          <cell r="B725" t="str">
            <v>车位720</v>
          </cell>
          <cell r="C725">
            <v>12.72</v>
          </cell>
          <cell r="H725">
            <v>24.67</v>
          </cell>
        </row>
        <row r="726">
          <cell r="B726" t="str">
            <v>车位721</v>
          </cell>
          <cell r="C726">
            <v>12.72</v>
          </cell>
          <cell r="H726">
            <v>24.67</v>
          </cell>
        </row>
        <row r="727">
          <cell r="B727" t="str">
            <v>车位722</v>
          </cell>
          <cell r="C727">
            <v>12.72</v>
          </cell>
          <cell r="H727">
            <v>24.67</v>
          </cell>
        </row>
        <row r="728">
          <cell r="B728" t="str">
            <v>车位723</v>
          </cell>
          <cell r="C728">
            <v>12.72</v>
          </cell>
          <cell r="H728">
            <v>24.67</v>
          </cell>
        </row>
        <row r="729">
          <cell r="B729" t="str">
            <v>车位724</v>
          </cell>
          <cell r="C729">
            <v>12.72</v>
          </cell>
          <cell r="H729">
            <v>24.67</v>
          </cell>
        </row>
        <row r="730">
          <cell r="B730" t="str">
            <v>车位725</v>
          </cell>
          <cell r="C730">
            <v>12.72</v>
          </cell>
          <cell r="H730">
            <v>24.67</v>
          </cell>
        </row>
        <row r="731">
          <cell r="B731" t="str">
            <v>车位726</v>
          </cell>
          <cell r="C731">
            <v>12.72</v>
          </cell>
          <cell r="H731">
            <v>24.67</v>
          </cell>
        </row>
        <row r="732">
          <cell r="B732" t="str">
            <v>车位727</v>
          </cell>
          <cell r="C732">
            <v>12.72</v>
          </cell>
          <cell r="H732">
            <v>24.67</v>
          </cell>
        </row>
        <row r="733">
          <cell r="B733" t="str">
            <v>车位728</v>
          </cell>
          <cell r="C733">
            <v>12.72</v>
          </cell>
          <cell r="H733">
            <v>24.67</v>
          </cell>
        </row>
        <row r="734">
          <cell r="B734" t="str">
            <v>车位729</v>
          </cell>
          <cell r="C734">
            <v>12.72</v>
          </cell>
          <cell r="H734">
            <v>24.67</v>
          </cell>
        </row>
        <row r="735">
          <cell r="B735" t="str">
            <v>车位730</v>
          </cell>
          <cell r="C735">
            <v>12.72</v>
          </cell>
          <cell r="H735">
            <v>24.67</v>
          </cell>
        </row>
        <row r="736">
          <cell r="B736" t="str">
            <v>车位731</v>
          </cell>
          <cell r="C736">
            <v>12.72</v>
          </cell>
          <cell r="H736">
            <v>24.67</v>
          </cell>
        </row>
        <row r="737">
          <cell r="B737" t="str">
            <v>车位732</v>
          </cell>
          <cell r="C737">
            <v>12.72</v>
          </cell>
          <cell r="H737">
            <v>24.67</v>
          </cell>
        </row>
        <row r="738">
          <cell r="B738" t="str">
            <v>车位733</v>
          </cell>
          <cell r="C738">
            <v>12.72</v>
          </cell>
          <cell r="H738">
            <v>24.67</v>
          </cell>
        </row>
        <row r="739">
          <cell r="B739" t="str">
            <v>车位734</v>
          </cell>
          <cell r="C739">
            <v>12.72</v>
          </cell>
          <cell r="H739">
            <v>24.67</v>
          </cell>
        </row>
        <row r="740">
          <cell r="B740" t="str">
            <v>车位735</v>
          </cell>
          <cell r="C740">
            <v>12.72</v>
          </cell>
          <cell r="H740">
            <v>24.67</v>
          </cell>
        </row>
        <row r="741">
          <cell r="B741" t="str">
            <v>车位736</v>
          </cell>
          <cell r="C741">
            <v>12.72</v>
          </cell>
          <cell r="H741">
            <v>24.67</v>
          </cell>
        </row>
        <row r="742">
          <cell r="B742" t="str">
            <v>车位737</v>
          </cell>
          <cell r="C742">
            <v>12.72</v>
          </cell>
          <cell r="H742">
            <v>24.67</v>
          </cell>
        </row>
        <row r="743">
          <cell r="B743" t="str">
            <v>车位738</v>
          </cell>
          <cell r="C743">
            <v>12.72</v>
          </cell>
          <cell r="H743">
            <v>24.67</v>
          </cell>
        </row>
        <row r="744">
          <cell r="B744" t="str">
            <v>车位739</v>
          </cell>
          <cell r="C744">
            <v>12.72</v>
          </cell>
          <cell r="H744">
            <v>24.67</v>
          </cell>
        </row>
        <row r="745">
          <cell r="B745" t="str">
            <v>车位740</v>
          </cell>
          <cell r="C745">
            <v>12.72</v>
          </cell>
          <cell r="H745">
            <v>24.67</v>
          </cell>
        </row>
        <row r="746">
          <cell r="B746" t="str">
            <v>车位741</v>
          </cell>
          <cell r="C746">
            <v>12.72</v>
          </cell>
          <cell r="H746">
            <v>24.67</v>
          </cell>
        </row>
        <row r="747">
          <cell r="B747" t="str">
            <v>车位742</v>
          </cell>
          <cell r="C747">
            <v>12.72</v>
          </cell>
          <cell r="H747">
            <v>24.67</v>
          </cell>
        </row>
        <row r="748">
          <cell r="B748" t="str">
            <v>车位743</v>
          </cell>
          <cell r="C748">
            <v>12.72</v>
          </cell>
          <cell r="H748">
            <v>24.67</v>
          </cell>
        </row>
        <row r="749">
          <cell r="B749" t="str">
            <v>车位744</v>
          </cell>
          <cell r="C749">
            <v>12.72</v>
          </cell>
          <cell r="H749">
            <v>24.67</v>
          </cell>
        </row>
        <row r="750">
          <cell r="B750" t="str">
            <v>车位745</v>
          </cell>
          <cell r="C750">
            <v>12.72</v>
          </cell>
          <cell r="H750">
            <v>24.67</v>
          </cell>
        </row>
        <row r="751">
          <cell r="B751" t="str">
            <v>车位746</v>
          </cell>
          <cell r="C751">
            <v>12.72</v>
          </cell>
          <cell r="H751">
            <v>24.67</v>
          </cell>
        </row>
        <row r="752">
          <cell r="B752" t="str">
            <v>车位747</v>
          </cell>
          <cell r="C752">
            <v>12.72</v>
          </cell>
          <cell r="H752">
            <v>24.67</v>
          </cell>
        </row>
        <row r="753">
          <cell r="B753" t="str">
            <v>车位748</v>
          </cell>
          <cell r="C753">
            <v>12.72</v>
          </cell>
          <cell r="H753">
            <v>24.67</v>
          </cell>
        </row>
        <row r="754">
          <cell r="B754" t="str">
            <v>车位749</v>
          </cell>
          <cell r="C754">
            <v>12.72</v>
          </cell>
          <cell r="H754">
            <v>24.67</v>
          </cell>
        </row>
        <row r="755">
          <cell r="B755" t="str">
            <v>车位750</v>
          </cell>
          <cell r="C755">
            <v>12.72</v>
          </cell>
          <cell r="H755">
            <v>24.67</v>
          </cell>
        </row>
        <row r="756">
          <cell r="B756" t="str">
            <v>车位751</v>
          </cell>
          <cell r="C756">
            <v>12.72</v>
          </cell>
          <cell r="H756">
            <v>24.67</v>
          </cell>
        </row>
        <row r="757">
          <cell r="B757" t="str">
            <v>车位752</v>
          </cell>
          <cell r="C757">
            <v>12.72</v>
          </cell>
          <cell r="H757">
            <v>24.67</v>
          </cell>
        </row>
        <row r="758">
          <cell r="B758" t="str">
            <v>车位753</v>
          </cell>
          <cell r="C758">
            <v>12.72</v>
          </cell>
          <cell r="H758">
            <v>24.67</v>
          </cell>
        </row>
        <row r="759">
          <cell r="B759" t="str">
            <v>车位754</v>
          </cell>
          <cell r="C759">
            <v>12.72</v>
          </cell>
          <cell r="H759">
            <v>24.67</v>
          </cell>
        </row>
        <row r="760">
          <cell r="B760" t="str">
            <v>车位755</v>
          </cell>
          <cell r="C760">
            <v>12.72</v>
          </cell>
          <cell r="H760">
            <v>24.67</v>
          </cell>
        </row>
        <row r="761">
          <cell r="B761" t="str">
            <v>车位756</v>
          </cell>
          <cell r="C761">
            <v>12.72</v>
          </cell>
          <cell r="H761">
            <v>24.67</v>
          </cell>
        </row>
        <row r="762">
          <cell r="B762" t="str">
            <v>车位757</v>
          </cell>
          <cell r="C762">
            <v>12.72</v>
          </cell>
          <cell r="H762">
            <v>24.67</v>
          </cell>
        </row>
        <row r="763">
          <cell r="B763" t="str">
            <v>车位758</v>
          </cell>
          <cell r="C763">
            <v>12.72</v>
          </cell>
          <cell r="H763">
            <v>24.67</v>
          </cell>
        </row>
        <row r="764">
          <cell r="B764" t="str">
            <v>车位759</v>
          </cell>
          <cell r="C764">
            <v>12.72</v>
          </cell>
          <cell r="H764">
            <v>24.67</v>
          </cell>
        </row>
        <row r="765">
          <cell r="B765" t="str">
            <v>车位760</v>
          </cell>
          <cell r="C765">
            <v>12.72</v>
          </cell>
          <cell r="H765">
            <v>24.67</v>
          </cell>
        </row>
        <row r="766">
          <cell r="B766" t="str">
            <v>车位761</v>
          </cell>
          <cell r="C766">
            <v>12.72</v>
          </cell>
          <cell r="H766">
            <v>24.67</v>
          </cell>
        </row>
        <row r="767">
          <cell r="B767" t="str">
            <v>车位762</v>
          </cell>
          <cell r="C767">
            <v>12.72</v>
          </cell>
          <cell r="H767">
            <v>24.67</v>
          </cell>
        </row>
        <row r="768">
          <cell r="B768" t="str">
            <v>车位763</v>
          </cell>
          <cell r="C768">
            <v>12.72</v>
          </cell>
          <cell r="H768">
            <v>24.67</v>
          </cell>
        </row>
        <row r="769">
          <cell r="B769" t="str">
            <v>车位764</v>
          </cell>
          <cell r="C769">
            <v>12.72</v>
          </cell>
          <cell r="H769">
            <v>24.67</v>
          </cell>
        </row>
        <row r="770">
          <cell r="B770" t="str">
            <v>车位765</v>
          </cell>
          <cell r="C770">
            <v>12.72</v>
          </cell>
          <cell r="H770">
            <v>24.67</v>
          </cell>
        </row>
        <row r="771">
          <cell r="B771" t="str">
            <v>车位766</v>
          </cell>
          <cell r="C771">
            <v>12.72</v>
          </cell>
          <cell r="H771">
            <v>24.67</v>
          </cell>
        </row>
        <row r="772">
          <cell r="B772" t="str">
            <v>车位767</v>
          </cell>
          <cell r="C772">
            <v>12.72</v>
          </cell>
          <cell r="H772">
            <v>24.67</v>
          </cell>
        </row>
        <row r="773">
          <cell r="B773" t="str">
            <v>车位768</v>
          </cell>
          <cell r="C773">
            <v>12.72</v>
          </cell>
          <cell r="H773">
            <v>24.67</v>
          </cell>
        </row>
        <row r="774">
          <cell r="B774" t="str">
            <v>车位769</v>
          </cell>
          <cell r="C774">
            <v>12.72</v>
          </cell>
          <cell r="H774">
            <v>24.67</v>
          </cell>
        </row>
        <row r="775">
          <cell r="B775" t="str">
            <v>车位770</v>
          </cell>
          <cell r="C775">
            <v>12.72</v>
          </cell>
          <cell r="H775">
            <v>24.67</v>
          </cell>
        </row>
        <row r="776">
          <cell r="B776" t="str">
            <v>车位771</v>
          </cell>
          <cell r="C776">
            <v>12.72</v>
          </cell>
          <cell r="H776">
            <v>24.67</v>
          </cell>
        </row>
        <row r="777">
          <cell r="B777" t="str">
            <v>车位772</v>
          </cell>
          <cell r="C777">
            <v>12.72</v>
          </cell>
          <cell r="H777">
            <v>24.67</v>
          </cell>
        </row>
        <row r="778">
          <cell r="B778" t="str">
            <v>车位773</v>
          </cell>
          <cell r="C778">
            <v>12.72</v>
          </cell>
          <cell r="H778">
            <v>24.67</v>
          </cell>
        </row>
        <row r="779">
          <cell r="B779" t="str">
            <v>车位774</v>
          </cell>
          <cell r="C779">
            <v>12.72</v>
          </cell>
          <cell r="H779">
            <v>24.67</v>
          </cell>
        </row>
        <row r="780">
          <cell r="B780" t="str">
            <v>车位775</v>
          </cell>
          <cell r="C780">
            <v>12.72</v>
          </cell>
          <cell r="H780">
            <v>24.67</v>
          </cell>
        </row>
        <row r="781">
          <cell r="B781" t="str">
            <v>车位776</v>
          </cell>
          <cell r="C781">
            <v>12.72</v>
          </cell>
          <cell r="H781">
            <v>24.67</v>
          </cell>
        </row>
        <row r="782">
          <cell r="B782" t="str">
            <v>车位777</v>
          </cell>
          <cell r="C782">
            <v>12.72</v>
          </cell>
          <cell r="H782">
            <v>24.67</v>
          </cell>
        </row>
        <row r="783">
          <cell r="B783" t="str">
            <v>车位778</v>
          </cell>
          <cell r="C783">
            <v>12.72</v>
          </cell>
          <cell r="H783">
            <v>24.67</v>
          </cell>
        </row>
        <row r="784">
          <cell r="B784" t="str">
            <v>车位779</v>
          </cell>
          <cell r="C784">
            <v>12.72</v>
          </cell>
          <cell r="H784">
            <v>24.67</v>
          </cell>
        </row>
        <row r="785">
          <cell r="B785" t="str">
            <v>车位780</v>
          </cell>
          <cell r="C785">
            <v>12.72</v>
          </cell>
          <cell r="H785">
            <v>24.67</v>
          </cell>
        </row>
        <row r="786">
          <cell r="B786" t="str">
            <v>车位781</v>
          </cell>
          <cell r="C786">
            <v>12.72</v>
          </cell>
          <cell r="H786">
            <v>24.67</v>
          </cell>
        </row>
        <row r="787">
          <cell r="B787" t="str">
            <v>车位782</v>
          </cell>
          <cell r="C787">
            <v>12.72</v>
          </cell>
          <cell r="H787">
            <v>24.67</v>
          </cell>
        </row>
        <row r="788">
          <cell r="B788" t="str">
            <v>车位783</v>
          </cell>
          <cell r="C788">
            <v>12.72</v>
          </cell>
          <cell r="H788">
            <v>24.67</v>
          </cell>
        </row>
        <row r="789">
          <cell r="B789" t="str">
            <v>车位784</v>
          </cell>
          <cell r="C789">
            <v>12.72</v>
          </cell>
          <cell r="H789">
            <v>24.67</v>
          </cell>
        </row>
        <row r="790">
          <cell r="B790" t="str">
            <v>车位785</v>
          </cell>
          <cell r="C790">
            <v>12.72</v>
          </cell>
          <cell r="H790">
            <v>24.67</v>
          </cell>
        </row>
        <row r="791">
          <cell r="B791" t="str">
            <v>车位786</v>
          </cell>
          <cell r="C791">
            <v>12.72</v>
          </cell>
          <cell r="H791">
            <v>24.67</v>
          </cell>
        </row>
        <row r="792">
          <cell r="B792" t="str">
            <v>车位787</v>
          </cell>
          <cell r="C792">
            <v>12.72</v>
          </cell>
          <cell r="H792">
            <v>24.67</v>
          </cell>
        </row>
        <row r="793">
          <cell r="B793" t="str">
            <v>车位788</v>
          </cell>
          <cell r="C793">
            <v>12.72</v>
          </cell>
          <cell r="H793">
            <v>24.67</v>
          </cell>
        </row>
        <row r="794">
          <cell r="B794" t="str">
            <v>车位789</v>
          </cell>
          <cell r="C794">
            <v>12.72</v>
          </cell>
          <cell r="H794">
            <v>24.67</v>
          </cell>
        </row>
        <row r="795">
          <cell r="B795" t="str">
            <v>车位790</v>
          </cell>
          <cell r="C795">
            <v>12.72</v>
          </cell>
          <cell r="H795">
            <v>24.67</v>
          </cell>
        </row>
        <row r="796">
          <cell r="B796" t="str">
            <v>车位791</v>
          </cell>
          <cell r="C796">
            <v>12.72</v>
          </cell>
          <cell r="H796">
            <v>24.67</v>
          </cell>
        </row>
        <row r="797">
          <cell r="B797" t="str">
            <v>车位792</v>
          </cell>
          <cell r="C797">
            <v>12.72</v>
          </cell>
          <cell r="H797">
            <v>24.67</v>
          </cell>
        </row>
        <row r="798">
          <cell r="B798" t="str">
            <v>车位793</v>
          </cell>
          <cell r="C798">
            <v>12.72</v>
          </cell>
          <cell r="H798">
            <v>24.67</v>
          </cell>
        </row>
        <row r="799">
          <cell r="B799" t="str">
            <v>车位794</v>
          </cell>
          <cell r="C799">
            <v>12.72</v>
          </cell>
          <cell r="H799">
            <v>24.67</v>
          </cell>
        </row>
        <row r="800">
          <cell r="B800" t="str">
            <v>车位795</v>
          </cell>
          <cell r="C800">
            <v>12.72</v>
          </cell>
          <cell r="H800">
            <v>24.67</v>
          </cell>
        </row>
        <row r="801">
          <cell r="B801" t="str">
            <v>车位796</v>
          </cell>
          <cell r="C801">
            <v>12.72</v>
          </cell>
          <cell r="H801">
            <v>24.67</v>
          </cell>
        </row>
        <row r="802">
          <cell r="B802" t="str">
            <v>车位797</v>
          </cell>
          <cell r="C802">
            <v>12.72</v>
          </cell>
          <cell r="H802">
            <v>24.67</v>
          </cell>
        </row>
        <row r="803">
          <cell r="B803" t="str">
            <v>车位798</v>
          </cell>
          <cell r="C803">
            <v>12.72</v>
          </cell>
          <cell r="H803">
            <v>24.67</v>
          </cell>
        </row>
        <row r="804">
          <cell r="B804" t="str">
            <v>车位799</v>
          </cell>
          <cell r="C804">
            <v>12.72</v>
          </cell>
          <cell r="H804">
            <v>24.67</v>
          </cell>
        </row>
        <row r="805">
          <cell r="B805" t="str">
            <v>车位800</v>
          </cell>
          <cell r="C805">
            <v>12.72</v>
          </cell>
          <cell r="H805">
            <v>24.67</v>
          </cell>
        </row>
        <row r="806">
          <cell r="B806" t="str">
            <v>车位801</v>
          </cell>
          <cell r="C806">
            <v>12.72</v>
          </cell>
          <cell r="H806">
            <v>24.67</v>
          </cell>
        </row>
        <row r="807">
          <cell r="B807" t="str">
            <v>车位802</v>
          </cell>
          <cell r="C807">
            <v>12.72</v>
          </cell>
          <cell r="H807">
            <v>24.67</v>
          </cell>
        </row>
        <row r="808">
          <cell r="B808" t="str">
            <v>车位803</v>
          </cell>
          <cell r="C808">
            <v>12.72</v>
          </cell>
          <cell r="H808">
            <v>24.67</v>
          </cell>
        </row>
        <row r="809">
          <cell r="B809" t="str">
            <v>车位804</v>
          </cell>
          <cell r="C809">
            <v>12.72</v>
          </cell>
          <cell r="H809">
            <v>24.67</v>
          </cell>
        </row>
        <row r="810">
          <cell r="B810" t="str">
            <v>车位805</v>
          </cell>
          <cell r="C810">
            <v>12.72</v>
          </cell>
          <cell r="H810">
            <v>24.67</v>
          </cell>
        </row>
        <row r="811">
          <cell r="B811" t="str">
            <v>车位806</v>
          </cell>
          <cell r="C811">
            <v>12.72</v>
          </cell>
          <cell r="H811">
            <v>24.67</v>
          </cell>
        </row>
        <row r="812">
          <cell r="B812" t="str">
            <v>车位807</v>
          </cell>
          <cell r="C812">
            <v>12.72</v>
          </cell>
          <cell r="H812">
            <v>24.67</v>
          </cell>
        </row>
        <row r="813">
          <cell r="B813" t="str">
            <v>车位808</v>
          </cell>
          <cell r="C813">
            <v>12.72</v>
          </cell>
          <cell r="H813">
            <v>24.67</v>
          </cell>
        </row>
        <row r="814">
          <cell r="B814" t="str">
            <v>车位809</v>
          </cell>
          <cell r="C814">
            <v>12.72</v>
          </cell>
          <cell r="H814">
            <v>24.67</v>
          </cell>
        </row>
        <row r="815">
          <cell r="B815" t="str">
            <v>车位810</v>
          </cell>
          <cell r="C815">
            <v>12.72</v>
          </cell>
          <cell r="H815">
            <v>24.67</v>
          </cell>
        </row>
        <row r="816">
          <cell r="B816" t="str">
            <v>车位811</v>
          </cell>
          <cell r="C816">
            <v>12.72</v>
          </cell>
          <cell r="H816">
            <v>24.67</v>
          </cell>
        </row>
        <row r="817">
          <cell r="B817" t="str">
            <v>车位812</v>
          </cell>
          <cell r="C817">
            <v>12.72</v>
          </cell>
          <cell r="H817">
            <v>24.67</v>
          </cell>
        </row>
        <row r="818">
          <cell r="B818" t="str">
            <v>车位813</v>
          </cell>
          <cell r="C818">
            <v>12.72</v>
          </cell>
          <cell r="H818">
            <v>24.67</v>
          </cell>
        </row>
        <row r="819">
          <cell r="B819" t="str">
            <v>车位814</v>
          </cell>
          <cell r="C819">
            <v>12.72</v>
          </cell>
          <cell r="H819">
            <v>24.67</v>
          </cell>
        </row>
        <row r="820">
          <cell r="B820" t="str">
            <v>车位815</v>
          </cell>
          <cell r="C820">
            <v>12.72</v>
          </cell>
          <cell r="H820">
            <v>24.67</v>
          </cell>
        </row>
        <row r="821">
          <cell r="B821" t="str">
            <v>车位816</v>
          </cell>
          <cell r="C821">
            <v>12.72</v>
          </cell>
          <cell r="H821">
            <v>24.67</v>
          </cell>
        </row>
        <row r="822">
          <cell r="B822" t="str">
            <v>车位817</v>
          </cell>
          <cell r="C822">
            <v>12.72</v>
          </cell>
          <cell r="H822">
            <v>24.67</v>
          </cell>
        </row>
        <row r="823">
          <cell r="B823" t="str">
            <v>车位818</v>
          </cell>
          <cell r="C823">
            <v>12.72</v>
          </cell>
          <cell r="H823">
            <v>24.67</v>
          </cell>
        </row>
        <row r="824">
          <cell r="B824" t="str">
            <v>车位819</v>
          </cell>
          <cell r="C824">
            <v>12.72</v>
          </cell>
          <cell r="H824">
            <v>24.67</v>
          </cell>
        </row>
        <row r="825">
          <cell r="B825" t="str">
            <v>车位820</v>
          </cell>
          <cell r="C825">
            <v>12.72</v>
          </cell>
          <cell r="H825">
            <v>24.67</v>
          </cell>
        </row>
        <row r="826">
          <cell r="B826" t="str">
            <v>车位821</v>
          </cell>
          <cell r="C826">
            <v>12.72</v>
          </cell>
          <cell r="H826">
            <v>24.67</v>
          </cell>
        </row>
        <row r="827">
          <cell r="B827" t="str">
            <v>车位822</v>
          </cell>
          <cell r="C827">
            <v>12.72</v>
          </cell>
          <cell r="H827">
            <v>24.67</v>
          </cell>
        </row>
        <row r="828">
          <cell r="B828" t="str">
            <v>车位823</v>
          </cell>
          <cell r="C828">
            <v>12.72</v>
          </cell>
          <cell r="H828">
            <v>24.67</v>
          </cell>
        </row>
        <row r="829">
          <cell r="B829" t="str">
            <v>车位824</v>
          </cell>
          <cell r="C829">
            <v>12.72</v>
          </cell>
          <cell r="H829">
            <v>24.67</v>
          </cell>
        </row>
        <row r="830">
          <cell r="B830" t="str">
            <v>车位825</v>
          </cell>
          <cell r="C830">
            <v>12.72</v>
          </cell>
          <cell r="H830">
            <v>24.67</v>
          </cell>
        </row>
        <row r="831">
          <cell r="B831" t="str">
            <v>车位826</v>
          </cell>
          <cell r="C831">
            <v>12.72</v>
          </cell>
          <cell r="H831">
            <v>24.67</v>
          </cell>
        </row>
        <row r="832">
          <cell r="B832" t="str">
            <v>2A#01工具间</v>
          </cell>
          <cell r="C832">
            <v>114.94</v>
          </cell>
          <cell r="H832">
            <v>0.62</v>
          </cell>
        </row>
        <row r="833">
          <cell r="B833" t="str">
            <v>2A#02工具间</v>
          </cell>
          <cell r="C833">
            <v>79.56</v>
          </cell>
          <cell r="H833">
            <v>0.43</v>
          </cell>
        </row>
        <row r="834">
          <cell r="B834" t="str">
            <v>2A#03工具间</v>
          </cell>
          <cell r="C834">
            <v>79.56</v>
          </cell>
          <cell r="H834">
            <v>0.43</v>
          </cell>
        </row>
        <row r="835">
          <cell r="B835" t="str">
            <v>2A#05工具间</v>
          </cell>
          <cell r="C835">
            <v>79.56</v>
          </cell>
          <cell r="H835">
            <v>0.43</v>
          </cell>
        </row>
        <row r="836">
          <cell r="B836" t="str">
            <v>2A#06工具间</v>
          </cell>
          <cell r="C836">
            <v>79.56</v>
          </cell>
          <cell r="H836">
            <v>0.43</v>
          </cell>
        </row>
        <row r="837">
          <cell r="B837" t="str">
            <v>2A#07工具间</v>
          </cell>
          <cell r="C837">
            <v>79.56</v>
          </cell>
          <cell r="H837">
            <v>0.43</v>
          </cell>
        </row>
        <row r="838">
          <cell r="B838" t="str">
            <v>2A#08工具间</v>
          </cell>
          <cell r="C838">
            <v>115.37</v>
          </cell>
          <cell r="H838">
            <v>0.62</v>
          </cell>
        </row>
        <row r="839">
          <cell r="B839" t="str">
            <v>2B#01工具间</v>
          </cell>
          <cell r="C839">
            <v>114.94</v>
          </cell>
          <cell r="H839">
            <v>0.62</v>
          </cell>
        </row>
        <row r="840">
          <cell r="B840" t="str">
            <v>2B#02工具间</v>
          </cell>
          <cell r="C840">
            <v>79.56</v>
          </cell>
          <cell r="H840">
            <v>0.43</v>
          </cell>
        </row>
        <row r="841">
          <cell r="B841" t="str">
            <v>2B#03工具间</v>
          </cell>
          <cell r="C841">
            <v>79.56</v>
          </cell>
          <cell r="H841">
            <v>0.43</v>
          </cell>
        </row>
        <row r="842">
          <cell r="B842" t="str">
            <v>2B#05工具间</v>
          </cell>
          <cell r="C842">
            <v>79.56</v>
          </cell>
          <cell r="H842">
            <v>0.43</v>
          </cell>
        </row>
        <row r="843">
          <cell r="B843" t="str">
            <v>2B#06工具间</v>
          </cell>
          <cell r="C843">
            <v>79.56</v>
          </cell>
          <cell r="H843">
            <v>0.43</v>
          </cell>
        </row>
        <row r="844">
          <cell r="B844" t="str">
            <v>2B#07工具间</v>
          </cell>
          <cell r="C844">
            <v>79.56</v>
          </cell>
          <cell r="H844">
            <v>0.43</v>
          </cell>
        </row>
        <row r="845">
          <cell r="B845" t="str">
            <v>2B#08工具间</v>
          </cell>
          <cell r="C845">
            <v>114.94</v>
          </cell>
          <cell r="H845">
            <v>0.62</v>
          </cell>
        </row>
        <row r="846">
          <cell r="B846" t="str">
            <v>2C#01工具间</v>
          </cell>
          <cell r="C846">
            <v>115.37</v>
          </cell>
          <cell r="H846">
            <v>0.62</v>
          </cell>
        </row>
        <row r="847">
          <cell r="B847" t="str">
            <v>2C#02工具间</v>
          </cell>
          <cell r="C847">
            <v>79.56</v>
          </cell>
          <cell r="H847">
            <v>0.43</v>
          </cell>
        </row>
        <row r="848">
          <cell r="B848" t="str">
            <v>2C#03工具间</v>
          </cell>
          <cell r="C848">
            <v>79.56</v>
          </cell>
          <cell r="H848">
            <v>0.43</v>
          </cell>
        </row>
        <row r="849">
          <cell r="B849" t="str">
            <v>2C#05工具间</v>
          </cell>
          <cell r="C849">
            <v>79.56</v>
          </cell>
          <cell r="H849">
            <v>0.43</v>
          </cell>
        </row>
        <row r="850">
          <cell r="B850" t="str">
            <v>2C#06工具间</v>
          </cell>
          <cell r="C850">
            <v>114.94</v>
          </cell>
          <cell r="H850">
            <v>0.62</v>
          </cell>
        </row>
        <row r="851">
          <cell r="B851" t="str">
            <v>2D#01工具间</v>
          </cell>
          <cell r="C851">
            <v>118.92</v>
          </cell>
          <cell r="H851">
            <v>0.64</v>
          </cell>
        </row>
        <row r="852">
          <cell r="B852" t="str">
            <v>2D#02工具间</v>
          </cell>
          <cell r="C852">
            <v>79.56</v>
          </cell>
          <cell r="H852">
            <v>0.43</v>
          </cell>
        </row>
        <row r="853">
          <cell r="B853" t="str">
            <v>2D#03工具间</v>
          </cell>
          <cell r="C853">
            <v>79.56</v>
          </cell>
          <cell r="H853">
            <v>0.43</v>
          </cell>
        </row>
        <row r="854">
          <cell r="B854" t="str">
            <v>2D#05工具间</v>
          </cell>
          <cell r="C854">
            <v>79.56</v>
          </cell>
          <cell r="H854">
            <v>0.43</v>
          </cell>
        </row>
        <row r="855">
          <cell r="B855" t="str">
            <v>2D#06工具间</v>
          </cell>
          <cell r="C855">
            <v>118.44</v>
          </cell>
          <cell r="H855">
            <v>0.63</v>
          </cell>
        </row>
        <row r="856">
          <cell r="B856" t="str">
            <v>2E#01工具间</v>
          </cell>
          <cell r="C856">
            <v>118.44</v>
          </cell>
          <cell r="H856">
            <v>0.63</v>
          </cell>
        </row>
        <row r="857">
          <cell r="B857" t="str">
            <v>2E#02工具间</v>
          </cell>
          <cell r="C857">
            <v>79.56</v>
          </cell>
          <cell r="H857">
            <v>0.43</v>
          </cell>
        </row>
        <row r="858">
          <cell r="B858" t="str">
            <v>2E#03工具间</v>
          </cell>
          <cell r="C858">
            <v>79.56</v>
          </cell>
          <cell r="H858">
            <v>0.43</v>
          </cell>
        </row>
        <row r="859">
          <cell r="B859" t="str">
            <v>2E#05工具间</v>
          </cell>
          <cell r="C859">
            <v>79.56</v>
          </cell>
          <cell r="H859">
            <v>0.43</v>
          </cell>
        </row>
        <row r="860">
          <cell r="B860" t="str">
            <v>2E#06工具间</v>
          </cell>
          <cell r="C860">
            <v>118.44</v>
          </cell>
          <cell r="H860">
            <v>0.63</v>
          </cell>
        </row>
        <row r="861">
          <cell r="B861" t="str">
            <v>2F#01工具间</v>
          </cell>
          <cell r="C861">
            <v>114.6</v>
          </cell>
          <cell r="H861">
            <v>0.61</v>
          </cell>
        </row>
        <row r="862">
          <cell r="B862" t="str">
            <v>2F#02工具间</v>
          </cell>
          <cell r="C862">
            <v>79.56</v>
          </cell>
          <cell r="H862">
            <v>0.43</v>
          </cell>
        </row>
        <row r="863">
          <cell r="B863" t="str">
            <v>2F#03工具间</v>
          </cell>
          <cell r="C863">
            <v>79.56</v>
          </cell>
          <cell r="H863">
            <v>0.43</v>
          </cell>
        </row>
        <row r="864">
          <cell r="B864" t="str">
            <v>2F#05工具间</v>
          </cell>
          <cell r="C864">
            <v>79.56</v>
          </cell>
          <cell r="H864">
            <v>0.43</v>
          </cell>
        </row>
        <row r="865">
          <cell r="B865" t="str">
            <v>2F#06工具间</v>
          </cell>
          <cell r="C865">
            <v>118.44</v>
          </cell>
          <cell r="H865">
            <v>0.63</v>
          </cell>
        </row>
        <row r="866">
          <cell r="B866" t="str">
            <v>2G#01工具间</v>
          </cell>
          <cell r="C866">
            <v>118.44</v>
          </cell>
          <cell r="H866">
            <v>0.63</v>
          </cell>
        </row>
        <row r="867">
          <cell r="B867" t="str">
            <v>2G#02工具间</v>
          </cell>
          <cell r="C867">
            <v>79.56</v>
          </cell>
          <cell r="H867">
            <v>0.43</v>
          </cell>
        </row>
        <row r="868">
          <cell r="B868" t="str">
            <v>2G#03工具间</v>
          </cell>
          <cell r="C868">
            <v>79.56</v>
          </cell>
          <cell r="H868">
            <v>0.43</v>
          </cell>
        </row>
        <row r="869">
          <cell r="B869" t="str">
            <v>2G#05工具间</v>
          </cell>
          <cell r="C869">
            <v>79.56</v>
          </cell>
          <cell r="H869">
            <v>0.43</v>
          </cell>
        </row>
        <row r="870">
          <cell r="B870" t="str">
            <v>2G#06工具间</v>
          </cell>
          <cell r="C870">
            <v>118.44</v>
          </cell>
          <cell r="H870">
            <v>0.63</v>
          </cell>
        </row>
        <row r="871">
          <cell r="B871" t="str">
            <v>2H#01工具间</v>
          </cell>
          <cell r="C871">
            <v>118.44</v>
          </cell>
          <cell r="H871">
            <v>0.63</v>
          </cell>
        </row>
        <row r="872">
          <cell r="B872" t="str">
            <v>2H#02工具间</v>
          </cell>
          <cell r="C872">
            <v>79.56</v>
          </cell>
          <cell r="H872">
            <v>0.43</v>
          </cell>
        </row>
        <row r="873">
          <cell r="B873" t="str">
            <v>2H#03工具间</v>
          </cell>
          <cell r="C873">
            <v>79.56</v>
          </cell>
          <cell r="H873">
            <v>0.43</v>
          </cell>
        </row>
        <row r="874">
          <cell r="B874" t="str">
            <v>2H#05工具间</v>
          </cell>
          <cell r="C874">
            <v>118.92</v>
          </cell>
          <cell r="H874">
            <v>0.64</v>
          </cell>
        </row>
        <row r="875">
          <cell r="B875" t="str">
            <v>3#01工具间</v>
          </cell>
          <cell r="C875">
            <v>129.52000000000001</v>
          </cell>
          <cell r="H875">
            <v>0.69</v>
          </cell>
        </row>
        <row r="876">
          <cell r="B876" t="str">
            <v>3#02工具间</v>
          </cell>
          <cell r="C876">
            <v>129.52000000000001</v>
          </cell>
          <cell r="H876">
            <v>0.69</v>
          </cell>
        </row>
        <row r="877">
          <cell r="B877" t="str">
            <v>5#01工具间</v>
          </cell>
          <cell r="C877">
            <v>129.52000000000001</v>
          </cell>
          <cell r="H877">
            <v>0.69</v>
          </cell>
        </row>
        <row r="878">
          <cell r="B878" t="str">
            <v>5#02工具间</v>
          </cell>
          <cell r="C878">
            <v>129.52000000000001</v>
          </cell>
          <cell r="H878">
            <v>0.69</v>
          </cell>
        </row>
        <row r="879">
          <cell r="B879" t="str">
            <v>6#01工具间</v>
          </cell>
          <cell r="C879">
            <v>129.52000000000001</v>
          </cell>
          <cell r="H879">
            <v>0.69</v>
          </cell>
        </row>
        <row r="880">
          <cell r="B880" t="str">
            <v>6#02工具间</v>
          </cell>
          <cell r="C880">
            <v>129.52000000000001</v>
          </cell>
          <cell r="H880">
            <v>0.69</v>
          </cell>
        </row>
        <row r="881">
          <cell r="B881" t="str">
            <v>7#01工具间</v>
          </cell>
          <cell r="C881">
            <v>129.52000000000001</v>
          </cell>
          <cell r="H881">
            <v>0.69</v>
          </cell>
        </row>
        <row r="882">
          <cell r="B882" t="str">
            <v>7#02工具间</v>
          </cell>
          <cell r="C882">
            <v>129.52000000000001</v>
          </cell>
          <cell r="H882">
            <v>0.69</v>
          </cell>
        </row>
        <row r="883">
          <cell r="B883" t="str">
            <v>8#01工具间</v>
          </cell>
          <cell r="C883">
            <v>129.52000000000001</v>
          </cell>
          <cell r="H883">
            <v>0.69</v>
          </cell>
        </row>
        <row r="884">
          <cell r="B884" t="str">
            <v>8#02工具间</v>
          </cell>
          <cell r="C884">
            <v>127.76</v>
          </cell>
          <cell r="H884">
            <v>0.68</v>
          </cell>
        </row>
        <row r="885">
          <cell r="B885" t="str">
            <v>9#01工具间</v>
          </cell>
          <cell r="C885">
            <v>129.52000000000001</v>
          </cell>
          <cell r="H885">
            <v>0.69</v>
          </cell>
        </row>
        <row r="886">
          <cell r="B886" t="str">
            <v>9#02工具间</v>
          </cell>
          <cell r="C886">
            <v>129.52000000000001</v>
          </cell>
          <cell r="H886">
            <v>0.69</v>
          </cell>
        </row>
        <row r="887">
          <cell r="B887" t="str">
            <v>10#01工具间</v>
          </cell>
          <cell r="C887">
            <v>129.52000000000001</v>
          </cell>
          <cell r="H887">
            <v>0.69</v>
          </cell>
        </row>
        <row r="888">
          <cell r="B888" t="str">
            <v>10#02工具间</v>
          </cell>
          <cell r="C888">
            <v>129.52000000000001</v>
          </cell>
          <cell r="H888">
            <v>0.69</v>
          </cell>
        </row>
        <row r="889">
          <cell r="B889" t="str">
            <v>11#01工具间</v>
          </cell>
          <cell r="C889">
            <v>131.74</v>
          </cell>
          <cell r="H889">
            <v>0.71</v>
          </cell>
        </row>
        <row r="890">
          <cell r="B890" t="str">
            <v>11#02工具间</v>
          </cell>
          <cell r="C890">
            <v>131.74</v>
          </cell>
          <cell r="H890">
            <v>0.71</v>
          </cell>
        </row>
        <row r="891">
          <cell r="B891" t="str">
            <v>12#01工具间</v>
          </cell>
          <cell r="C891">
            <v>131.74</v>
          </cell>
          <cell r="H891">
            <v>0.71</v>
          </cell>
        </row>
        <row r="892">
          <cell r="B892" t="str">
            <v>12#02工具间</v>
          </cell>
          <cell r="C892">
            <v>131.74</v>
          </cell>
          <cell r="H892">
            <v>0.71</v>
          </cell>
        </row>
        <row r="893">
          <cell r="B893" t="str">
            <v>13#01工具间</v>
          </cell>
          <cell r="C893">
            <v>131.74</v>
          </cell>
          <cell r="H893">
            <v>0.71</v>
          </cell>
        </row>
        <row r="894">
          <cell r="B894" t="str">
            <v>13#02工具间</v>
          </cell>
          <cell r="C894">
            <v>131.74</v>
          </cell>
          <cell r="H894">
            <v>0.71</v>
          </cell>
        </row>
        <row r="895">
          <cell r="B895" t="str">
            <v>15#01工具间</v>
          </cell>
          <cell r="C895">
            <v>131.74</v>
          </cell>
          <cell r="H895">
            <v>0.71</v>
          </cell>
        </row>
        <row r="896">
          <cell r="B896" t="str">
            <v>15#02工具间</v>
          </cell>
          <cell r="C896">
            <v>129.86000000000001</v>
          </cell>
          <cell r="H896">
            <v>0.7</v>
          </cell>
        </row>
        <row r="897">
          <cell r="B897" t="str">
            <v>16#01工具间</v>
          </cell>
          <cell r="C897">
            <v>131.74</v>
          </cell>
          <cell r="H897">
            <v>0.71</v>
          </cell>
        </row>
        <row r="898">
          <cell r="B898" t="str">
            <v>16#02工具间</v>
          </cell>
          <cell r="C898">
            <v>131.74</v>
          </cell>
          <cell r="H898">
            <v>0.71</v>
          </cell>
        </row>
        <row r="899">
          <cell r="B899" t="str">
            <v>17#01工具间</v>
          </cell>
          <cell r="C899">
            <v>131.74</v>
          </cell>
          <cell r="H899">
            <v>0.71</v>
          </cell>
        </row>
        <row r="900">
          <cell r="B900" t="str">
            <v>17#02工具间</v>
          </cell>
          <cell r="C900">
            <v>131.74</v>
          </cell>
          <cell r="H900">
            <v>0.71</v>
          </cell>
        </row>
        <row r="901">
          <cell r="B901" t="str">
            <v>18#01工具间</v>
          </cell>
          <cell r="C901">
            <v>131.74</v>
          </cell>
          <cell r="H901">
            <v>0.71</v>
          </cell>
        </row>
        <row r="902">
          <cell r="B902" t="str">
            <v>18#02工具间</v>
          </cell>
          <cell r="C902">
            <v>131.74</v>
          </cell>
          <cell r="H902">
            <v>0.71</v>
          </cell>
        </row>
        <row r="903">
          <cell r="B903" t="str">
            <v>19#01工具间</v>
          </cell>
          <cell r="C903">
            <v>131.74</v>
          </cell>
          <cell r="H903">
            <v>0.71</v>
          </cell>
        </row>
        <row r="904">
          <cell r="B904" t="str">
            <v>19#02工具间</v>
          </cell>
          <cell r="C904">
            <v>131.74</v>
          </cell>
          <cell r="H904">
            <v>0.71</v>
          </cell>
        </row>
        <row r="905">
          <cell r="B905" t="str">
            <v>20#01工具间</v>
          </cell>
          <cell r="C905">
            <v>129.52000000000001</v>
          </cell>
          <cell r="H905">
            <v>0.69</v>
          </cell>
        </row>
        <row r="906">
          <cell r="B906" t="str">
            <v>20#02工具间</v>
          </cell>
          <cell r="C906">
            <v>129.52000000000001</v>
          </cell>
          <cell r="H906">
            <v>0.69</v>
          </cell>
        </row>
        <row r="907">
          <cell r="B907" t="str">
            <v>21#01工具间</v>
          </cell>
          <cell r="C907">
            <v>129.52000000000001</v>
          </cell>
          <cell r="H907">
            <v>0.69</v>
          </cell>
        </row>
        <row r="908">
          <cell r="B908" t="str">
            <v>21#02工具间</v>
          </cell>
          <cell r="C908">
            <v>129.52000000000001</v>
          </cell>
          <cell r="H908">
            <v>0.69</v>
          </cell>
        </row>
        <row r="909">
          <cell r="B909" t="str">
            <v>22#01工具间</v>
          </cell>
          <cell r="C909">
            <v>129.52000000000001</v>
          </cell>
          <cell r="H909">
            <v>0.69</v>
          </cell>
        </row>
        <row r="910">
          <cell r="B910" t="str">
            <v>22#02工具间</v>
          </cell>
          <cell r="C910">
            <v>129.52000000000001</v>
          </cell>
          <cell r="H910">
            <v>0.69</v>
          </cell>
        </row>
        <row r="911">
          <cell r="B911" t="str">
            <v>23#01工具间</v>
          </cell>
          <cell r="C911">
            <v>129.52000000000001</v>
          </cell>
          <cell r="H911">
            <v>0.69</v>
          </cell>
        </row>
        <row r="912">
          <cell r="B912" t="str">
            <v>23#02工具间</v>
          </cell>
          <cell r="C912">
            <v>129.52000000000001</v>
          </cell>
          <cell r="H912">
            <v>0.69</v>
          </cell>
        </row>
        <row r="913">
          <cell r="B913" t="str">
            <v>25#01工具间</v>
          </cell>
          <cell r="C913">
            <v>129.52000000000001</v>
          </cell>
          <cell r="H913">
            <v>0.69</v>
          </cell>
        </row>
        <row r="914">
          <cell r="B914" t="str">
            <v>25#02工具间</v>
          </cell>
          <cell r="C914">
            <v>127.76</v>
          </cell>
          <cell r="H914">
            <v>0.68</v>
          </cell>
        </row>
        <row r="915">
          <cell r="B915" t="str">
            <v>26#01工具间</v>
          </cell>
          <cell r="C915">
            <v>129.52000000000001</v>
          </cell>
          <cell r="H915">
            <v>0.69</v>
          </cell>
        </row>
        <row r="916">
          <cell r="B916" t="str">
            <v>26#02工具间</v>
          </cell>
          <cell r="C916">
            <v>129.52000000000001</v>
          </cell>
          <cell r="H916">
            <v>0.69</v>
          </cell>
        </row>
        <row r="917">
          <cell r="B917" t="str">
            <v>27#01工具间</v>
          </cell>
          <cell r="C917">
            <v>129.52000000000001</v>
          </cell>
          <cell r="H917">
            <v>0.69</v>
          </cell>
        </row>
        <row r="918">
          <cell r="B918" t="str">
            <v>27#02工具间</v>
          </cell>
          <cell r="C918">
            <v>129.52000000000001</v>
          </cell>
          <cell r="H918">
            <v>0.69</v>
          </cell>
        </row>
        <row r="919">
          <cell r="B919" t="str">
            <v>28#01工具间</v>
          </cell>
          <cell r="C919">
            <v>129.52000000000001</v>
          </cell>
          <cell r="H919">
            <v>0.69</v>
          </cell>
        </row>
        <row r="920">
          <cell r="B920" t="str">
            <v>28#02工具间</v>
          </cell>
          <cell r="C920">
            <v>129.52000000000001</v>
          </cell>
          <cell r="H920">
            <v>0.69</v>
          </cell>
        </row>
        <row r="921">
          <cell r="B921" t="str">
            <v>29#01工具间</v>
          </cell>
          <cell r="C921">
            <v>131.74</v>
          </cell>
          <cell r="H921">
            <v>0.71</v>
          </cell>
        </row>
        <row r="922">
          <cell r="B922" t="str">
            <v>29#02工具间</v>
          </cell>
          <cell r="C922">
            <v>131.74</v>
          </cell>
          <cell r="H922">
            <v>0.71</v>
          </cell>
        </row>
        <row r="923">
          <cell r="B923" t="str">
            <v>30#01工具间</v>
          </cell>
          <cell r="C923">
            <v>131.74</v>
          </cell>
          <cell r="H923">
            <v>0.71</v>
          </cell>
        </row>
        <row r="924">
          <cell r="B924" t="str">
            <v>30#02工具间</v>
          </cell>
          <cell r="C924">
            <v>131.74</v>
          </cell>
          <cell r="H924">
            <v>0.71</v>
          </cell>
        </row>
        <row r="925">
          <cell r="B925" t="str">
            <v>31#01工具间</v>
          </cell>
          <cell r="C925">
            <v>131.74</v>
          </cell>
          <cell r="H925">
            <v>0.71</v>
          </cell>
        </row>
        <row r="926">
          <cell r="B926" t="str">
            <v>31#02工具间</v>
          </cell>
          <cell r="C926">
            <v>131.74</v>
          </cell>
          <cell r="H926">
            <v>0.71</v>
          </cell>
        </row>
        <row r="927">
          <cell r="B927" t="str">
            <v>32#01工具间</v>
          </cell>
          <cell r="C927">
            <v>131.74</v>
          </cell>
          <cell r="H927">
            <v>0.71</v>
          </cell>
        </row>
        <row r="928">
          <cell r="B928" t="str">
            <v>32#02工具间</v>
          </cell>
          <cell r="C928">
            <v>145.84</v>
          </cell>
          <cell r="H928">
            <v>0.78</v>
          </cell>
        </row>
        <row r="929">
          <cell r="B929" t="str">
            <v>33#01工具间</v>
          </cell>
          <cell r="C929">
            <v>141.13999999999999</v>
          </cell>
          <cell r="H929">
            <v>0.76</v>
          </cell>
        </row>
        <row r="930">
          <cell r="B930" t="str">
            <v>33#02工具间</v>
          </cell>
          <cell r="C930">
            <v>131.74</v>
          </cell>
          <cell r="H930">
            <v>0.71</v>
          </cell>
        </row>
        <row r="931">
          <cell r="B931" t="str">
            <v>35#01工具间</v>
          </cell>
          <cell r="C931">
            <v>131.74</v>
          </cell>
          <cell r="H931">
            <v>0.71</v>
          </cell>
        </row>
        <row r="932">
          <cell r="B932" t="str">
            <v>35#02工具间</v>
          </cell>
          <cell r="C932">
            <v>131.74</v>
          </cell>
          <cell r="H932">
            <v>0.71</v>
          </cell>
        </row>
        <row r="933">
          <cell r="B933" t="str">
            <v>36#01工具间</v>
          </cell>
          <cell r="C933">
            <v>131.74</v>
          </cell>
          <cell r="H933">
            <v>0.71</v>
          </cell>
        </row>
        <row r="934">
          <cell r="B934" t="str">
            <v>36#02工具间</v>
          </cell>
          <cell r="C934">
            <v>131.74</v>
          </cell>
          <cell r="H934">
            <v>0.71</v>
          </cell>
        </row>
        <row r="935">
          <cell r="B935" t="str">
            <v>37#01工具间</v>
          </cell>
          <cell r="C935">
            <v>131.74</v>
          </cell>
          <cell r="H935">
            <v>0.71</v>
          </cell>
        </row>
        <row r="936">
          <cell r="B936" t="str">
            <v>37#02工具间</v>
          </cell>
          <cell r="C936">
            <v>131.74</v>
          </cell>
          <cell r="H936">
            <v>0.71</v>
          </cell>
        </row>
        <row r="937">
          <cell r="B937" t="str">
            <v>38#01工具间</v>
          </cell>
          <cell r="C937">
            <v>129.52000000000001</v>
          </cell>
          <cell r="H937">
            <v>0.69</v>
          </cell>
        </row>
        <row r="938">
          <cell r="B938" t="str">
            <v>38#02工具间</v>
          </cell>
          <cell r="C938">
            <v>129.52000000000001</v>
          </cell>
          <cell r="H938">
            <v>0.69</v>
          </cell>
        </row>
        <row r="939">
          <cell r="B939" t="str">
            <v>39#01工具间</v>
          </cell>
          <cell r="C939">
            <v>129.52000000000001</v>
          </cell>
          <cell r="H939">
            <v>0.69</v>
          </cell>
        </row>
        <row r="940">
          <cell r="B940" t="str">
            <v>39#02工具间</v>
          </cell>
          <cell r="C940">
            <v>129.52000000000001</v>
          </cell>
          <cell r="H940">
            <v>0.69</v>
          </cell>
        </row>
        <row r="941">
          <cell r="B941" t="str">
            <v>50#01工具间</v>
          </cell>
          <cell r="C941">
            <v>129.52000000000001</v>
          </cell>
          <cell r="H941">
            <v>0.69</v>
          </cell>
        </row>
        <row r="942">
          <cell r="B942" t="str">
            <v>50#02工具间</v>
          </cell>
          <cell r="C942">
            <v>129.52000000000001</v>
          </cell>
          <cell r="H942">
            <v>0.69</v>
          </cell>
        </row>
        <row r="943">
          <cell r="B943" t="str">
            <v>51#01工具间</v>
          </cell>
          <cell r="C943">
            <v>138.32</v>
          </cell>
          <cell r="H943">
            <v>0.74</v>
          </cell>
        </row>
        <row r="944">
          <cell r="B944" t="str">
            <v>51#02工具间</v>
          </cell>
          <cell r="C944">
            <v>129.52000000000001</v>
          </cell>
          <cell r="H944">
            <v>0.69</v>
          </cell>
        </row>
        <row r="945">
          <cell r="B945" t="str">
            <v>52#01工具间</v>
          </cell>
          <cell r="C945">
            <v>129.52000000000001</v>
          </cell>
          <cell r="H945">
            <v>0.69</v>
          </cell>
        </row>
        <row r="946">
          <cell r="B946" t="str">
            <v>52#02工具间</v>
          </cell>
          <cell r="C946">
            <v>133.04</v>
          </cell>
          <cell r="H946">
            <v>0.71</v>
          </cell>
        </row>
        <row r="947">
          <cell r="B947" t="str">
            <v>53#01工具间</v>
          </cell>
          <cell r="C947">
            <v>129.52000000000001</v>
          </cell>
          <cell r="H947">
            <v>0.69</v>
          </cell>
        </row>
        <row r="948">
          <cell r="B948" t="str">
            <v>53#02工具间</v>
          </cell>
          <cell r="C948">
            <v>129.52000000000001</v>
          </cell>
          <cell r="H948">
            <v>0.69</v>
          </cell>
        </row>
        <row r="949">
          <cell r="B949" t="str">
            <v>55#01工具间</v>
          </cell>
          <cell r="C949">
            <v>129.52000000000001</v>
          </cell>
          <cell r="H949">
            <v>0.69</v>
          </cell>
        </row>
        <row r="950">
          <cell r="B950" t="str">
            <v>55#02工具间</v>
          </cell>
          <cell r="C950">
            <v>129.52000000000001</v>
          </cell>
          <cell r="H950">
            <v>0.69</v>
          </cell>
        </row>
        <row r="951">
          <cell r="B951" t="str">
            <v>56#01工具间</v>
          </cell>
          <cell r="C951">
            <v>129.52000000000001</v>
          </cell>
          <cell r="H951">
            <v>0.69</v>
          </cell>
        </row>
        <row r="952">
          <cell r="B952" t="str">
            <v>56#02工具间</v>
          </cell>
          <cell r="C952">
            <v>129.52000000000001</v>
          </cell>
          <cell r="H952">
            <v>0.69</v>
          </cell>
        </row>
        <row r="953">
          <cell r="B953" t="str">
            <v>57#01工具间</v>
          </cell>
          <cell r="C953">
            <v>131.74</v>
          </cell>
          <cell r="H953">
            <v>0.71</v>
          </cell>
        </row>
        <row r="954">
          <cell r="B954" t="str">
            <v>57#02工具间</v>
          </cell>
          <cell r="C954">
            <v>131.74</v>
          </cell>
          <cell r="H954">
            <v>0.71</v>
          </cell>
        </row>
        <row r="955">
          <cell r="B955" t="str">
            <v>58#01工具间</v>
          </cell>
          <cell r="C955">
            <v>131.74</v>
          </cell>
          <cell r="H955">
            <v>0.71</v>
          </cell>
        </row>
        <row r="956">
          <cell r="B956" t="str">
            <v>58#02工具间</v>
          </cell>
          <cell r="C956">
            <v>131.74</v>
          </cell>
          <cell r="H956">
            <v>0.71</v>
          </cell>
        </row>
        <row r="957">
          <cell r="B957" t="str">
            <v>59#01工具间</v>
          </cell>
          <cell r="C957">
            <v>131.74</v>
          </cell>
          <cell r="H957">
            <v>0.71</v>
          </cell>
        </row>
        <row r="958">
          <cell r="B958" t="str">
            <v>59#02工具间</v>
          </cell>
          <cell r="C958">
            <v>131.74</v>
          </cell>
          <cell r="H958">
            <v>0.71</v>
          </cell>
        </row>
        <row r="959">
          <cell r="B959" t="str">
            <v>60#01工具间</v>
          </cell>
          <cell r="C959">
            <v>131.74</v>
          </cell>
          <cell r="H959">
            <v>0.71</v>
          </cell>
        </row>
        <row r="960">
          <cell r="B960" t="str">
            <v>60#02工具间</v>
          </cell>
          <cell r="C960">
            <v>135.5</v>
          </cell>
          <cell r="H960">
            <v>0.73</v>
          </cell>
        </row>
        <row r="961">
          <cell r="B961" t="str">
            <v>61#01工具间</v>
          </cell>
          <cell r="C961">
            <v>141.13999999999999</v>
          </cell>
          <cell r="H961">
            <v>0.76</v>
          </cell>
        </row>
        <row r="962">
          <cell r="B962" t="str">
            <v>61#02工具间</v>
          </cell>
          <cell r="C962">
            <v>131.74</v>
          </cell>
          <cell r="H962">
            <v>0.71</v>
          </cell>
        </row>
        <row r="963">
          <cell r="B963" t="str">
            <v>62#01工具间</v>
          </cell>
          <cell r="C963">
            <v>131.74</v>
          </cell>
          <cell r="H963">
            <v>0.71</v>
          </cell>
        </row>
        <row r="964">
          <cell r="B964" t="str">
            <v>62#02工具间</v>
          </cell>
          <cell r="C964">
            <v>131.74</v>
          </cell>
          <cell r="H964">
            <v>0.71</v>
          </cell>
        </row>
        <row r="965">
          <cell r="B965" t="str">
            <v>63#01工具间</v>
          </cell>
          <cell r="C965">
            <v>131.74</v>
          </cell>
          <cell r="H965">
            <v>0.71</v>
          </cell>
        </row>
        <row r="966">
          <cell r="B966" t="str">
            <v>63#02工具间</v>
          </cell>
          <cell r="C966">
            <v>131.74</v>
          </cell>
          <cell r="H966">
            <v>0.71</v>
          </cell>
        </row>
        <row r="967">
          <cell r="B967" t="str">
            <v>65#01工具间</v>
          </cell>
          <cell r="C967">
            <v>131.74</v>
          </cell>
          <cell r="H967">
            <v>0.71</v>
          </cell>
        </row>
        <row r="968">
          <cell r="B968" t="str">
            <v>65#02工具间</v>
          </cell>
          <cell r="C968">
            <v>131.74</v>
          </cell>
          <cell r="H968">
            <v>0.71</v>
          </cell>
        </row>
        <row r="969">
          <cell r="B969" t="str">
            <v>66#01工具间</v>
          </cell>
          <cell r="C969">
            <v>260.86</v>
          </cell>
          <cell r="H969">
            <v>1.4</v>
          </cell>
        </row>
        <row r="970">
          <cell r="B970" t="str">
            <v>66#02工具间</v>
          </cell>
          <cell r="C970">
            <v>179.49</v>
          </cell>
          <cell r="H970">
            <v>0.96</v>
          </cell>
        </row>
        <row r="971">
          <cell r="B971" t="str">
            <v>67#01工具间</v>
          </cell>
          <cell r="C971">
            <v>129.52000000000001</v>
          </cell>
          <cell r="H971">
            <v>0.69</v>
          </cell>
        </row>
        <row r="972">
          <cell r="B972" t="str">
            <v>67#02工具间</v>
          </cell>
          <cell r="C972">
            <v>129.52000000000001</v>
          </cell>
          <cell r="H972">
            <v>0.69</v>
          </cell>
        </row>
        <row r="973">
          <cell r="B973" t="str">
            <v>68#01工具间</v>
          </cell>
          <cell r="C973">
            <v>129.52000000000001</v>
          </cell>
          <cell r="H973">
            <v>0.69</v>
          </cell>
        </row>
        <row r="974">
          <cell r="B974" t="str">
            <v>68#02工具间</v>
          </cell>
          <cell r="C974">
            <v>129.52000000000001</v>
          </cell>
          <cell r="H974">
            <v>0.69</v>
          </cell>
        </row>
        <row r="975">
          <cell r="B975" t="str">
            <v>69#01工具间</v>
          </cell>
          <cell r="C975">
            <v>129.52000000000001</v>
          </cell>
          <cell r="H975">
            <v>0.69</v>
          </cell>
        </row>
        <row r="976">
          <cell r="B976" t="str">
            <v>69#02工具间</v>
          </cell>
          <cell r="C976">
            <v>129.52000000000001</v>
          </cell>
          <cell r="H976">
            <v>0.69</v>
          </cell>
        </row>
        <row r="977">
          <cell r="B977" t="str">
            <v>70#01工具间</v>
          </cell>
          <cell r="C977">
            <v>129.52000000000001</v>
          </cell>
          <cell r="H977">
            <v>0.69</v>
          </cell>
        </row>
        <row r="978">
          <cell r="B978" t="str">
            <v>70#02工具间</v>
          </cell>
          <cell r="C978">
            <v>138.32</v>
          </cell>
          <cell r="H978">
            <v>0.74</v>
          </cell>
        </row>
        <row r="979">
          <cell r="B979" t="str">
            <v>71#01工具间</v>
          </cell>
          <cell r="C979">
            <v>129.52000000000001</v>
          </cell>
          <cell r="H979">
            <v>0.69</v>
          </cell>
        </row>
        <row r="980">
          <cell r="B980" t="str">
            <v>71#02工具间</v>
          </cell>
          <cell r="C980">
            <v>129.52000000000001</v>
          </cell>
          <cell r="H980">
            <v>0.69</v>
          </cell>
        </row>
        <row r="981">
          <cell r="B981" t="str">
            <v>72#01工具间</v>
          </cell>
          <cell r="C981">
            <v>129.52000000000001</v>
          </cell>
          <cell r="H981">
            <v>0.69</v>
          </cell>
        </row>
        <row r="982">
          <cell r="B982" t="str">
            <v>72#02工具间</v>
          </cell>
          <cell r="C982">
            <v>129.52000000000001</v>
          </cell>
          <cell r="H982">
            <v>0.69</v>
          </cell>
        </row>
        <row r="983">
          <cell r="B983" t="str">
            <v>73#01工具间</v>
          </cell>
          <cell r="C983">
            <v>129.52000000000001</v>
          </cell>
          <cell r="H983">
            <v>0.69</v>
          </cell>
        </row>
        <row r="984">
          <cell r="B984" t="str">
            <v>73#02工具间</v>
          </cell>
          <cell r="C984">
            <v>129.52000000000001</v>
          </cell>
          <cell r="H984">
            <v>0.69</v>
          </cell>
        </row>
        <row r="985">
          <cell r="B985" t="str">
            <v>75#01工具间</v>
          </cell>
          <cell r="C985">
            <v>129.52000000000001</v>
          </cell>
          <cell r="H985">
            <v>0.69</v>
          </cell>
        </row>
        <row r="986">
          <cell r="B986" t="str">
            <v>75#02工具间</v>
          </cell>
          <cell r="C986">
            <v>129.52000000000001</v>
          </cell>
          <cell r="H986">
            <v>0.69</v>
          </cell>
        </row>
        <row r="987">
          <cell r="B987" t="str">
            <v>76#01工具间</v>
          </cell>
          <cell r="C987">
            <v>153.12</v>
          </cell>
          <cell r="H987">
            <v>0.82</v>
          </cell>
        </row>
        <row r="988">
          <cell r="B988" t="str">
            <v>76#02工具间</v>
          </cell>
          <cell r="C988">
            <v>128.81</v>
          </cell>
          <cell r="H988">
            <v>0.69</v>
          </cell>
        </row>
        <row r="989">
          <cell r="B989" t="str">
            <v>76#03工具间</v>
          </cell>
          <cell r="C989">
            <v>128.81</v>
          </cell>
          <cell r="H989">
            <v>0.69</v>
          </cell>
        </row>
        <row r="990">
          <cell r="B990" t="str">
            <v>76#05工具间</v>
          </cell>
          <cell r="C990">
            <v>128.81</v>
          </cell>
          <cell r="H990">
            <v>0.69</v>
          </cell>
        </row>
        <row r="991">
          <cell r="B991" t="str">
            <v>76#06工具间</v>
          </cell>
          <cell r="C991">
            <v>193.07</v>
          </cell>
          <cell r="H991">
            <v>1.03</v>
          </cell>
        </row>
        <row r="992">
          <cell r="B992" t="str">
            <v>77#01工具间</v>
          </cell>
          <cell r="C992">
            <v>149.08000000000001</v>
          </cell>
          <cell r="H992">
            <v>0.8</v>
          </cell>
        </row>
        <row r="993">
          <cell r="B993" t="str">
            <v>77#02工具间</v>
          </cell>
          <cell r="C993">
            <v>128.81</v>
          </cell>
          <cell r="H993">
            <v>0.69</v>
          </cell>
        </row>
        <row r="994">
          <cell r="B994" t="str">
            <v>77#03工具间</v>
          </cell>
          <cell r="C994">
            <v>128.81</v>
          </cell>
          <cell r="H994">
            <v>0.69</v>
          </cell>
        </row>
        <row r="995">
          <cell r="B995" t="str">
            <v>77#05工具间</v>
          </cell>
          <cell r="C995">
            <v>128.81</v>
          </cell>
          <cell r="H995">
            <v>0.69</v>
          </cell>
        </row>
        <row r="996">
          <cell r="B996" t="str">
            <v>77#06工具间</v>
          </cell>
          <cell r="C996">
            <v>175.9</v>
          </cell>
          <cell r="H996">
            <v>0.94</v>
          </cell>
        </row>
        <row r="997">
          <cell r="B997" t="str">
            <v>78A#01工具间</v>
          </cell>
          <cell r="C997">
            <v>118.92</v>
          </cell>
          <cell r="H997">
            <v>0.64</v>
          </cell>
        </row>
        <row r="998">
          <cell r="B998" t="str">
            <v>78A #02工具间</v>
          </cell>
          <cell r="C998">
            <v>79.56</v>
          </cell>
          <cell r="H998">
            <v>0.43</v>
          </cell>
        </row>
        <row r="999">
          <cell r="B999" t="str">
            <v>78A #03工具间</v>
          </cell>
          <cell r="C999">
            <v>79.56</v>
          </cell>
          <cell r="H999">
            <v>0.43</v>
          </cell>
        </row>
        <row r="1000">
          <cell r="B1000" t="str">
            <v>78A #05工具间</v>
          </cell>
          <cell r="C1000">
            <v>79.56</v>
          </cell>
          <cell r="H1000">
            <v>0.43</v>
          </cell>
        </row>
        <row r="1001">
          <cell r="B1001" t="str">
            <v>78A #06工具间</v>
          </cell>
          <cell r="C1001">
            <v>120.36</v>
          </cell>
          <cell r="H1001">
            <v>0.64</v>
          </cell>
        </row>
        <row r="1002">
          <cell r="B1002" t="str">
            <v>78B#01工具间</v>
          </cell>
          <cell r="C1002">
            <v>115.37</v>
          </cell>
          <cell r="H1002">
            <v>0.62</v>
          </cell>
        </row>
        <row r="1003">
          <cell r="B1003" t="str">
            <v>78B #02工具间</v>
          </cell>
          <cell r="C1003">
            <v>79.56</v>
          </cell>
          <cell r="H1003">
            <v>0.43</v>
          </cell>
        </row>
        <row r="1004">
          <cell r="B1004" t="str">
            <v>78B #03工具间</v>
          </cell>
          <cell r="C1004">
            <v>79.56</v>
          </cell>
          <cell r="H1004">
            <v>0.43</v>
          </cell>
        </row>
        <row r="1005">
          <cell r="B1005" t="str">
            <v>78B #05工具间</v>
          </cell>
          <cell r="C1005">
            <v>79.56</v>
          </cell>
          <cell r="H1005">
            <v>0.43</v>
          </cell>
        </row>
        <row r="1006">
          <cell r="B1006" t="str">
            <v>78B #06工具间</v>
          </cell>
          <cell r="C1006">
            <v>116.66</v>
          </cell>
          <cell r="H1006">
            <v>0.63</v>
          </cell>
        </row>
        <row r="1007">
          <cell r="B1007" t="str">
            <v>78C#01工具间</v>
          </cell>
          <cell r="C1007">
            <v>118.92</v>
          </cell>
          <cell r="H1007">
            <v>0.64</v>
          </cell>
        </row>
        <row r="1008">
          <cell r="B1008" t="str">
            <v>78C #02工具间</v>
          </cell>
          <cell r="C1008">
            <v>79.56</v>
          </cell>
          <cell r="H1008">
            <v>0.43</v>
          </cell>
        </row>
        <row r="1009">
          <cell r="B1009" t="str">
            <v>78C #03工具间</v>
          </cell>
          <cell r="C1009">
            <v>79.56</v>
          </cell>
          <cell r="H1009">
            <v>0.43</v>
          </cell>
        </row>
        <row r="1010">
          <cell r="B1010" t="str">
            <v>78C #05工具间</v>
          </cell>
          <cell r="C1010">
            <v>79.56</v>
          </cell>
          <cell r="H1010">
            <v>0.43</v>
          </cell>
        </row>
        <row r="1011">
          <cell r="B1011" t="str">
            <v>78C #06工具间</v>
          </cell>
          <cell r="C1011">
            <v>120.36</v>
          </cell>
          <cell r="H1011">
            <v>0.64</v>
          </cell>
        </row>
        <row r="1012">
          <cell r="B1012" t="str">
            <v>78D#01工具间</v>
          </cell>
          <cell r="C1012">
            <v>126.98</v>
          </cell>
          <cell r="H1012">
            <v>0.68</v>
          </cell>
        </row>
        <row r="1013">
          <cell r="B1013" t="str">
            <v>78D #02工具间</v>
          </cell>
          <cell r="C1013">
            <v>79.56</v>
          </cell>
          <cell r="H1013">
            <v>0.43</v>
          </cell>
        </row>
        <row r="1014">
          <cell r="B1014" t="str">
            <v>78D #03工具间</v>
          </cell>
          <cell r="C1014">
            <v>79.56</v>
          </cell>
          <cell r="H1014">
            <v>0.43</v>
          </cell>
        </row>
        <row r="1015">
          <cell r="B1015" t="str">
            <v>78D #05工具间</v>
          </cell>
          <cell r="C1015">
            <v>79.56</v>
          </cell>
          <cell r="H1015">
            <v>0.43</v>
          </cell>
        </row>
        <row r="1016">
          <cell r="B1016" t="str">
            <v>78D #06工具间</v>
          </cell>
          <cell r="C1016">
            <v>79.56</v>
          </cell>
          <cell r="H1016">
            <v>0.43</v>
          </cell>
        </row>
        <row r="1017">
          <cell r="B1017" t="str">
            <v>78D #07工具间</v>
          </cell>
          <cell r="C1017">
            <v>79.56</v>
          </cell>
          <cell r="H1017">
            <v>0.43</v>
          </cell>
        </row>
        <row r="1018">
          <cell r="B1018" t="str">
            <v>78D #08工具间</v>
          </cell>
          <cell r="C1018">
            <v>116.66</v>
          </cell>
          <cell r="H1018">
            <v>0.63</v>
          </cell>
        </row>
        <row r="1019">
          <cell r="B1019" t="str">
            <v>78E#01工具间</v>
          </cell>
          <cell r="C1019">
            <v>118.92</v>
          </cell>
          <cell r="H1019">
            <v>0.64</v>
          </cell>
        </row>
        <row r="1020">
          <cell r="B1020" t="str">
            <v>78E #02工具间</v>
          </cell>
          <cell r="C1020">
            <v>79.56</v>
          </cell>
          <cell r="H1020">
            <v>0.43</v>
          </cell>
        </row>
        <row r="1021">
          <cell r="B1021" t="str">
            <v>78E #03工具间</v>
          </cell>
          <cell r="C1021">
            <v>79.56</v>
          </cell>
          <cell r="H1021">
            <v>0.43</v>
          </cell>
        </row>
        <row r="1022">
          <cell r="B1022" t="str">
            <v>78E #05工具间</v>
          </cell>
          <cell r="C1022">
            <v>79.56</v>
          </cell>
          <cell r="H1022">
            <v>0.43</v>
          </cell>
        </row>
        <row r="1023">
          <cell r="B1023" t="str">
            <v>78E #06工具间</v>
          </cell>
          <cell r="C1023">
            <v>79.56</v>
          </cell>
          <cell r="H1023">
            <v>0.43</v>
          </cell>
        </row>
        <row r="1024">
          <cell r="B1024" t="str">
            <v>78E #07工具间</v>
          </cell>
          <cell r="C1024">
            <v>79.56</v>
          </cell>
          <cell r="H1024">
            <v>0.43</v>
          </cell>
        </row>
        <row r="1025">
          <cell r="B1025" t="str">
            <v>78E #08工具间</v>
          </cell>
          <cell r="C1025">
            <v>120.36</v>
          </cell>
          <cell r="H1025">
            <v>0.64</v>
          </cell>
        </row>
        <row r="1026">
          <cell r="B1026" t="str">
            <v>78F#01工具间</v>
          </cell>
          <cell r="C1026">
            <v>115.37</v>
          </cell>
          <cell r="H1026">
            <v>0.62</v>
          </cell>
        </row>
        <row r="1027">
          <cell r="B1027" t="str">
            <v>78F #02工具间</v>
          </cell>
          <cell r="C1027">
            <v>79.56</v>
          </cell>
          <cell r="H1027">
            <v>0.43</v>
          </cell>
        </row>
        <row r="1028">
          <cell r="B1028" t="str">
            <v>78F #03工具间</v>
          </cell>
          <cell r="C1028">
            <v>79.56</v>
          </cell>
          <cell r="H1028">
            <v>0.43</v>
          </cell>
        </row>
        <row r="1029">
          <cell r="B1029" t="str">
            <v>78F #05工具间</v>
          </cell>
          <cell r="C1029">
            <v>114.94</v>
          </cell>
          <cell r="H1029">
            <v>0.62</v>
          </cell>
        </row>
        <row r="1030">
          <cell r="B1030" t="str">
            <v>78G#01工具间</v>
          </cell>
          <cell r="C1030">
            <v>114.94</v>
          </cell>
          <cell r="H1030">
            <v>0.62</v>
          </cell>
        </row>
        <row r="1031">
          <cell r="B1031" t="str">
            <v>78G#02工具间</v>
          </cell>
          <cell r="C1031">
            <v>79.56</v>
          </cell>
          <cell r="H1031">
            <v>0.43</v>
          </cell>
        </row>
        <row r="1032">
          <cell r="B1032" t="str">
            <v>78G#03工具间</v>
          </cell>
          <cell r="C1032">
            <v>79.56</v>
          </cell>
          <cell r="H1032">
            <v>0.43</v>
          </cell>
        </row>
        <row r="1033">
          <cell r="B1033" t="str">
            <v>78G#05工具间</v>
          </cell>
          <cell r="C1033">
            <v>79.56</v>
          </cell>
          <cell r="H1033">
            <v>0.43</v>
          </cell>
        </row>
        <row r="1034">
          <cell r="B1034" t="str">
            <v>78G#06工具间</v>
          </cell>
          <cell r="C1034">
            <v>117.4</v>
          </cell>
          <cell r="H1034">
            <v>0.63</v>
          </cell>
        </row>
        <row r="1035">
          <cell r="B1035" t="str">
            <v>79A#01工具间</v>
          </cell>
          <cell r="C1035">
            <v>116.66</v>
          </cell>
          <cell r="H1035">
            <v>0.63</v>
          </cell>
        </row>
        <row r="1036">
          <cell r="B1036" t="str">
            <v>79A #02工具间</v>
          </cell>
          <cell r="C1036">
            <v>79.56</v>
          </cell>
          <cell r="H1036">
            <v>0.43</v>
          </cell>
        </row>
        <row r="1037">
          <cell r="B1037" t="str">
            <v>79A #03工具间</v>
          </cell>
          <cell r="C1037">
            <v>79.56</v>
          </cell>
          <cell r="H1037">
            <v>0.43</v>
          </cell>
        </row>
        <row r="1038">
          <cell r="B1038" t="str">
            <v>79A #05工具间</v>
          </cell>
          <cell r="C1038">
            <v>79.56</v>
          </cell>
          <cell r="H1038">
            <v>0.43</v>
          </cell>
        </row>
        <row r="1039">
          <cell r="B1039" t="str">
            <v>79A #06工具间</v>
          </cell>
          <cell r="C1039">
            <v>79.56</v>
          </cell>
          <cell r="H1039">
            <v>0.43</v>
          </cell>
        </row>
        <row r="1040">
          <cell r="B1040" t="str">
            <v>79A #07工具间</v>
          </cell>
          <cell r="C1040">
            <v>116.66</v>
          </cell>
          <cell r="H1040">
            <v>0.63</v>
          </cell>
        </row>
        <row r="1041">
          <cell r="B1041" t="str">
            <v>79B#01工具间</v>
          </cell>
          <cell r="C1041">
            <v>120.36</v>
          </cell>
          <cell r="H1041">
            <v>0.64</v>
          </cell>
        </row>
        <row r="1042">
          <cell r="B1042" t="str">
            <v>79B #02工具间</v>
          </cell>
          <cell r="C1042">
            <v>79.56</v>
          </cell>
          <cell r="H1042">
            <v>0.43</v>
          </cell>
        </row>
        <row r="1043">
          <cell r="B1043" t="str">
            <v>79B#03工具间</v>
          </cell>
          <cell r="C1043">
            <v>79.56</v>
          </cell>
          <cell r="H1043">
            <v>0.43</v>
          </cell>
        </row>
        <row r="1044">
          <cell r="B1044" t="str">
            <v>79B #05工具间</v>
          </cell>
          <cell r="C1044">
            <v>79.56</v>
          </cell>
          <cell r="H1044">
            <v>0.43</v>
          </cell>
        </row>
        <row r="1045">
          <cell r="B1045" t="str">
            <v>79B #06工具间</v>
          </cell>
          <cell r="C1045">
            <v>79.56</v>
          </cell>
          <cell r="H1045">
            <v>0.43</v>
          </cell>
        </row>
        <row r="1046">
          <cell r="B1046" t="str">
            <v>79B #07工具间</v>
          </cell>
          <cell r="C1046">
            <v>120.36</v>
          </cell>
          <cell r="H1046">
            <v>0.64</v>
          </cell>
        </row>
        <row r="1047">
          <cell r="B1047" t="str">
            <v>79C#01工具间</v>
          </cell>
          <cell r="C1047">
            <v>117.4</v>
          </cell>
          <cell r="H1047">
            <v>0.63</v>
          </cell>
        </row>
        <row r="1048">
          <cell r="B1048" t="str">
            <v>79C #02工具间</v>
          </cell>
          <cell r="C1048">
            <v>79.56</v>
          </cell>
          <cell r="H1048">
            <v>0.43</v>
          </cell>
        </row>
        <row r="1049">
          <cell r="B1049" t="str">
            <v>79C#03工具间</v>
          </cell>
          <cell r="C1049">
            <v>79.56</v>
          </cell>
          <cell r="H1049">
            <v>0.43</v>
          </cell>
        </row>
        <row r="1050">
          <cell r="B1050" t="str">
            <v>79C #05工具间</v>
          </cell>
          <cell r="C1050">
            <v>79.56</v>
          </cell>
          <cell r="H1050">
            <v>0.43</v>
          </cell>
        </row>
        <row r="1051">
          <cell r="B1051" t="str">
            <v>79C #06工具间</v>
          </cell>
          <cell r="C1051">
            <v>79.56</v>
          </cell>
          <cell r="H1051">
            <v>0.43</v>
          </cell>
        </row>
        <row r="1052">
          <cell r="B1052" t="str">
            <v>79C #07工具间</v>
          </cell>
          <cell r="C1052">
            <v>116.66</v>
          </cell>
          <cell r="H1052">
            <v>0.63</v>
          </cell>
        </row>
        <row r="1053">
          <cell r="B1053" t="str">
            <v>79D#01工具间</v>
          </cell>
          <cell r="C1053">
            <v>120.36</v>
          </cell>
          <cell r="H1053">
            <v>0.64</v>
          </cell>
        </row>
        <row r="1054">
          <cell r="B1054" t="str">
            <v>79D #02工具间</v>
          </cell>
          <cell r="C1054">
            <v>79.56</v>
          </cell>
          <cell r="H1054">
            <v>0.43</v>
          </cell>
        </row>
        <row r="1055">
          <cell r="B1055" t="str">
            <v>79D#03工具间</v>
          </cell>
          <cell r="C1055">
            <v>79.56</v>
          </cell>
          <cell r="H1055">
            <v>0.43</v>
          </cell>
        </row>
        <row r="1056">
          <cell r="B1056" t="str">
            <v>79D #05工具间</v>
          </cell>
          <cell r="C1056">
            <v>79.56</v>
          </cell>
          <cell r="H1056">
            <v>0.43</v>
          </cell>
        </row>
        <row r="1057">
          <cell r="B1057" t="str">
            <v>79D #06工具间</v>
          </cell>
          <cell r="C1057">
            <v>79.56</v>
          </cell>
          <cell r="H1057">
            <v>0.43</v>
          </cell>
        </row>
        <row r="1058">
          <cell r="B1058" t="str">
            <v>79D #07工具间</v>
          </cell>
          <cell r="C1058">
            <v>120.36</v>
          </cell>
          <cell r="H1058">
            <v>0.64</v>
          </cell>
        </row>
        <row r="1059">
          <cell r="B1059" t="str">
            <v>79E#01工具间</v>
          </cell>
          <cell r="C1059">
            <v>116.66</v>
          </cell>
          <cell r="H1059">
            <v>0.63</v>
          </cell>
        </row>
        <row r="1060">
          <cell r="B1060" t="str">
            <v>79E #02工具间</v>
          </cell>
          <cell r="C1060">
            <v>79.56</v>
          </cell>
          <cell r="H1060">
            <v>0.43</v>
          </cell>
        </row>
        <row r="1061">
          <cell r="B1061" t="str">
            <v>79E#03工具间</v>
          </cell>
          <cell r="C1061">
            <v>79.56</v>
          </cell>
          <cell r="H1061">
            <v>0.43</v>
          </cell>
        </row>
        <row r="1062">
          <cell r="B1062" t="str">
            <v>79E #05工具间</v>
          </cell>
          <cell r="C1062">
            <v>79.56</v>
          </cell>
          <cell r="H1062">
            <v>0.43</v>
          </cell>
        </row>
        <row r="1063">
          <cell r="B1063" t="str">
            <v>79E #06工具间</v>
          </cell>
          <cell r="C1063">
            <v>79.56</v>
          </cell>
          <cell r="H1063">
            <v>0.43</v>
          </cell>
        </row>
        <row r="1064">
          <cell r="B1064" t="str">
            <v>79E #07工具间</v>
          </cell>
          <cell r="C1064">
            <v>116.66</v>
          </cell>
          <cell r="H1064">
            <v>0.63</v>
          </cell>
        </row>
        <row r="1065">
          <cell r="B1065" t="str">
            <v>79F#01工具间</v>
          </cell>
          <cell r="C1065">
            <v>120.36</v>
          </cell>
          <cell r="H1065">
            <v>0.64</v>
          </cell>
        </row>
        <row r="1066">
          <cell r="B1066" t="str">
            <v>79F #02工具间</v>
          </cell>
          <cell r="C1066">
            <v>79.56</v>
          </cell>
          <cell r="H1066">
            <v>0.43</v>
          </cell>
        </row>
        <row r="1067">
          <cell r="B1067" t="str">
            <v>79F#03工具间</v>
          </cell>
          <cell r="C1067">
            <v>79.56</v>
          </cell>
          <cell r="H1067">
            <v>0.43</v>
          </cell>
        </row>
        <row r="1068">
          <cell r="B1068" t="str">
            <v>79F #05工具间</v>
          </cell>
          <cell r="C1068">
            <v>79.56</v>
          </cell>
          <cell r="H1068">
            <v>0.43</v>
          </cell>
        </row>
        <row r="1069">
          <cell r="B1069" t="str">
            <v>79F #06工具间</v>
          </cell>
          <cell r="C1069">
            <v>79.56</v>
          </cell>
          <cell r="H1069">
            <v>0.43</v>
          </cell>
        </row>
        <row r="1070">
          <cell r="B1070" t="str">
            <v>79F #07工具间</v>
          </cell>
          <cell r="C1070">
            <v>120.36</v>
          </cell>
          <cell r="H1070">
            <v>0.64</v>
          </cell>
        </row>
        <row r="1071">
          <cell r="B1071" t="str">
            <v>80A#01工具间</v>
          </cell>
          <cell r="C1071">
            <v>116.66</v>
          </cell>
          <cell r="H1071">
            <v>0.63</v>
          </cell>
        </row>
        <row r="1072">
          <cell r="B1072" t="str">
            <v>80A#02工具间</v>
          </cell>
          <cell r="C1072">
            <v>79.56</v>
          </cell>
          <cell r="H1072">
            <v>0.43</v>
          </cell>
        </row>
        <row r="1073">
          <cell r="B1073" t="str">
            <v>80A#03工具间</v>
          </cell>
          <cell r="C1073">
            <v>79.56</v>
          </cell>
          <cell r="H1073">
            <v>0.43</v>
          </cell>
        </row>
        <row r="1074">
          <cell r="B1074" t="str">
            <v>80A#05工具间</v>
          </cell>
          <cell r="C1074">
            <v>79.56</v>
          </cell>
          <cell r="H1074">
            <v>0.43</v>
          </cell>
        </row>
        <row r="1075">
          <cell r="B1075" t="str">
            <v>80A#06工具间</v>
          </cell>
          <cell r="C1075">
            <v>79.56</v>
          </cell>
          <cell r="H1075">
            <v>0.43</v>
          </cell>
        </row>
        <row r="1076">
          <cell r="B1076" t="str">
            <v>80A#07工具间</v>
          </cell>
          <cell r="C1076">
            <v>116.66</v>
          </cell>
          <cell r="H1076">
            <v>0.63</v>
          </cell>
        </row>
        <row r="1077">
          <cell r="B1077" t="str">
            <v>80B#01工具间</v>
          </cell>
          <cell r="C1077">
            <v>118.44</v>
          </cell>
          <cell r="H1077">
            <v>0.63</v>
          </cell>
        </row>
        <row r="1078">
          <cell r="B1078" t="str">
            <v>80B#02工具间</v>
          </cell>
          <cell r="C1078">
            <v>79.56</v>
          </cell>
          <cell r="H1078">
            <v>0.43</v>
          </cell>
        </row>
        <row r="1079">
          <cell r="B1079" t="str">
            <v>80B#03工具间</v>
          </cell>
          <cell r="C1079">
            <v>79.56</v>
          </cell>
          <cell r="H1079">
            <v>0.43</v>
          </cell>
        </row>
        <row r="1080">
          <cell r="B1080" t="str">
            <v>80B#05工具间</v>
          </cell>
          <cell r="C1080">
            <v>79.56</v>
          </cell>
          <cell r="H1080">
            <v>0.43</v>
          </cell>
        </row>
        <row r="1081">
          <cell r="B1081" t="str">
            <v>80B#06工具间</v>
          </cell>
          <cell r="C1081">
            <v>79.56</v>
          </cell>
          <cell r="H1081">
            <v>0.43</v>
          </cell>
        </row>
        <row r="1082">
          <cell r="B1082" t="str">
            <v>80B#07工具间</v>
          </cell>
          <cell r="C1082">
            <v>121.32</v>
          </cell>
          <cell r="H1082">
            <v>0.65</v>
          </cell>
        </row>
        <row r="1083">
          <cell r="B1083" t="str">
            <v>80C#01工具间</v>
          </cell>
          <cell r="C1083">
            <v>118.44</v>
          </cell>
          <cell r="H1083">
            <v>0.63</v>
          </cell>
        </row>
        <row r="1084">
          <cell r="B1084" t="str">
            <v>80C#02工具间</v>
          </cell>
          <cell r="C1084">
            <v>79.56</v>
          </cell>
          <cell r="H1084">
            <v>0.43</v>
          </cell>
        </row>
        <row r="1085">
          <cell r="B1085" t="str">
            <v>80C#03工具间</v>
          </cell>
          <cell r="C1085">
            <v>79.56</v>
          </cell>
          <cell r="H1085">
            <v>0.43</v>
          </cell>
        </row>
        <row r="1086">
          <cell r="B1086" t="str">
            <v>80C#05工具间</v>
          </cell>
          <cell r="C1086">
            <v>79.56</v>
          </cell>
          <cell r="H1086">
            <v>0.43</v>
          </cell>
        </row>
        <row r="1087">
          <cell r="B1087" t="str">
            <v>80C#06工具间</v>
          </cell>
          <cell r="C1087">
            <v>79.56</v>
          </cell>
          <cell r="H1087">
            <v>0.43</v>
          </cell>
        </row>
        <row r="1088">
          <cell r="B1088" t="str">
            <v>80C#07工具间</v>
          </cell>
          <cell r="C1088">
            <v>118.44</v>
          </cell>
          <cell r="H1088">
            <v>0.63</v>
          </cell>
        </row>
        <row r="1089">
          <cell r="B1089" t="str">
            <v>80D#01工具间</v>
          </cell>
          <cell r="C1089">
            <v>121.32</v>
          </cell>
          <cell r="H1089">
            <v>0.65</v>
          </cell>
        </row>
        <row r="1090">
          <cell r="B1090" t="str">
            <v>80D#02工具间</v>
          </cell>
          <cell r="C1090">
            <v>79.56</v>
          </cell>
          <cell r="H1090">
            <v>0.43</v>
          </cell>
        </row>
        <row r="1091">
          <cell r="B1091" t="str">
            <v>80D#03工具间</v>
          </cell>
          <cell r="C1091">
            <v>79.56</v>
          </cell>
          <cell r="H1091">
            <v>0.43</v>
          </cell>
        </row>
        <row r="1092">
          <cell r="B1092" t="str">
            <v>80D#05工具间</v>
          </cell>
          <cell r="C1092">
            <v>79.56</v>
          </cell>
          <cell r="H1092">
            <v>0.43</v>
          </cell>
        </row>
        <row r="1093">
          <cell r="B1093" t="str">
            <v>80D#06工具间</v>
          </cell>
          <cell r="C1093">
            <v>79.56</v>
          </cell>
          <cell r="H1093">
            <v>0.43</v>
          </cell>
        </row>
        <row r="1094">
          <cell r="B1094" t="str">
            <v>80D#07工具间</v>
          </cell>
          <cell r="C1094">
            <v>118.44</v>
          </cell>
          <cell r="H1094">
            <v>0.63</v>
          </cell>
        </row>
        <row r="1095">
          <cell r="B1095" t="str">
            <v>80E#01工具间</v>
          </cell>
          <cell r="C1095">
            <v>118.44</v>
          </cell>
          <cell r="H1095">
            <v>0.63</v>
          </cell>
        </row>
        <row r="1096">
          <cell r="B1096" t="str">
            <v>80E#02工具间</v>
          </cell>
          <cell r="C1096">
            <v>79.56</v>
          </cell>
          <cell r="H1096">
            <v>0.43</v>
          </cell>
        </row>
        <row r="1097">
          <cell r="B1097" t="str">
            <v>80E#03工具间</v>
          </cell>
          <cell r="C1097">
            <v>79.56</v>
          </cell>
          <cell r="H1097">
            <v>0.43</v>
          </cell>
        </row>
        <row r="1098">
          <cell r="B1098" t="str">
            <v>80E#05工具间</v>
          </cell>
          <cell r="C1098">
            <v>79.56</v>
          </cell>
          <cell r="H1098">
            <v>0.43</v>
          </cell>
        </row>
        <row r="1099">
          <cell r="B1099" t="str">
            <v>80E#06工具间</v>
          </cell>
          <cell r="C1099">
            <v>79.56</v>
          </cell>
          <cell r="H1099">
            <v>0.43</v>
          </cell>
        </row>
        <row r="1100">
          <cell r="B1100" t="str">
            <v>80E#07工具间</v>
          </cell>
          <cell r="C1100">
            <v>118.44</v>
          </cell>
          <cell r="H1100">
            <v>0.63</v>
          </cell>
        </row>
        <row r="1101">
          <cell r="B1101" t="str">
            <v>80F#01工具间</v>
          </cell>
          <cell r="C1101">
            <v>118.44</v>
          </cell>
          <cell r="H1101">
            <v>0.63</v>
          </cell>
        </row>
        <row r="1102">
          <cell r="B1102" t="str">
            <v>80F#02工具间</v>
          </cell>
          <cell r="C1102">
            <v>79.56</v>
          </cell>
          <cell r="H1102">
            <v>0.43</v>
          </cell>
        </row>
        <row r="1103">
          <cell r="B1103" t="str">
            <v>80F#03工具间</v>
          </cell>
          <cell r="C1103">
            <v>79.56</v>
          </cell>
          <cell r="H1103">
            <v>0.43</v>
          </cell>
        </row>
        <row r="1104">
          <cell r="B1104" t="str">
            <v>80F#05工具间</v>
          </cell>
          <cell r="C1104">
            <v>118.44</v>
          </cell>
          <cell r="H1104">
            <v>0.63</v>
          </cell>
        </row>
        <row r="1105">
          <cell r="B1105" t="str">
            <v>80G#01工具间</v>
          </cell>
          <cell r="C1105">
            <v>123.72</v>
          </cell>
          <cell r="H1105">
            <v>0.66</v>
          </cell>
        </row>
        <row r="1106">
          <cell r="B1106" t="str">
            <v>80G#02工具间</v>
          </cell>
          <cell r="C1106">
            <v>79.56</v>
          </cell>
          <cell r="H1106">
            <v>0.43</v>
          </cell>
        </row>
        <row r="1107">
          <cell r="B1107" t="str">
            <v>80G#03工具间</v>
          </cell>
          <cell r="C1107">
            <v>79.56</v>
          </cell>
          <cell r="H1107">
            <v>0.43</v>
          </cell>
        </row>
        <row r="1108">
          <cell r="B1108" t="str">
            <v>80G#05工具间</v>
          </cell>
          <cell r="C1108">
            <v>79.56</v>
          </cell>
          <cell r="H1108">
            <v>0.43</v>
          </cell>
        </row>
        <row r="1109">
          <cell r="B1109" t="str">
            <v>80G#06工具间</v>
          </cell>
          <cell r="C1109">
            <v>79.56</v>
          </cell>
          <cell r="H1109">
            <v>0.43</v>
          </cell>
        </row>
        <row r="1110">
          <cell r="B1110" t="str">
            <v>80G#07工具间</v>
          </cell>
          <cell r="C1110">
            <v>118.44</v>
          </cell>
          <cell r="H1110">
            <v>0.63</v>
          </cell>
        </row>
        <row r="1111">
          <cell r="B1111" t="str">
            <v>80H#01工具间</v>
          </cell>
          <cell r="C1111">
            <v>115.63</v>
          </cell>
          <cell r="H1111">
            <v>0.62</v>
          </cell>
        </row>
        <row r="1112">
          <cell r="B1112" t="str">
            <v>80H#02工具间</v>
          </cell>
          <cell r="C1112">
            <v>79.56</v>
          </cell>
          <cell r="H1112">
            <v>0.43</v>
          </cell>
        </row>
        <row r="1113">
          <cell r="B1113" t="str">
            <v>80H#03工具间</v>
          </cell>
          <cell r="C1113">
            <v>79.56</v>
          </cell>
          <cell r="H1113">
            <v>0.43</v>
          </cell>
        </row>
        <row r="1114">
          <cell r="B1114" t="str">
            <v>80H#05工具间</v>
          </cell>
          <cell r="C1114">
            <v>116.66</v>
          </cell>
          <cell r="H1114">
            <v>0.63</v>
          </cell>
        </row>
        <row r="1115">
          <cell r="B1115" t="str">
            <v>81A#01工具间</v>
          </cell>
          <cell r="C1115">
            <v>114.94</v>
          </cell>
          <cell r="H1115">
            <v>0.62</v>
          </cell>
        </row>
        <row r="1116">
          <cell r="B1116" t="str">
            <v>81A#02工具间</v>
          </cell>
          <cell r="C1116">
            <v>79.56</v>
          </cell>
          <cell r="H1116">
            <v>0.43</v>
          </cell>
        </row>
        <row r="1117">
          <cell r="B1117" t="str">
            <v>81A#03工具间</v>
          </cell>
          <cell r="C1117">
            <v>79.56</v>
          </cell>
          <cell r="H1117">
            <v>0.43</v>
          </cell>
        </row>
        <row r="1118">
          <cell r="B1118" t="str">
            <v>81A#05工具间</v>
          </cell>
          <cell r="C1118">
            <v>79.56</v>
          </cell>
          <cell r="H1118">
            <v>0.43</v>
          </cell>
        </row>
        <row r="1119">
          <cell r="B1119" t="str">
            <v>81A#06工具间</v>
          </cell>
          <cell r="C1119">
            <v>79.56</v>
          </cell>
          <cell r="H1119">
            <v>0.43</v>
          </cell>
        </row>
        <row r="1120">
          <cell r="B1120" t="str">
            <v>81A#07工具间</v>
          </cell>
          <cell r="C1120">
            <v>114.94</v>
          </cell>
          <cell r="H1120">
            <v>0.62</v>
          </cell>
        </row>
        <row r="1121">
          <cell r="B1121" t="str">
            <v>81B#01工具间</v>
          </cell>
          <cell r="C1121">
            <v>114.94</v>
          </cell>
          <cell r="H1121">
            <v>0.62</v>
          </cell>
        </row>
        <row r="1122">
          <cell r="B1122" t="str">
            <v>81B#02工具间</v>
          </cell>
          <cell r="C1122">
            <v>79.56</v>
          </cell>
          <cell r="H1122">
            <v>0.43</v>
          </cell>
        </row>
        <row r="1123">
          <cell r="B1123" t="str">
            <v>81B#03工具间</v>
          </cell>
          <cell r="C1123">
            <v>79.56</v>
          </cell>
          <cell r="H1123">
            <v>0.43</v>
          </cell>
        </row>
        <row r="1124">
          <cell r="B1124" t="str">
            <v>81B#05工具间</v>
          </cell>
          <cell r="C1124">
            <v>114.94</v>
          </cell>
          <cell r="H1124">
            <v>0.62</v>
          </cell>
        </row>
        <row r="1125">
          <cell r="B1125" t="str">
            <v>81C#01工具间</v>
          </cell>
          <cell r="C1125">
            <v>115.37</v>
          </cell>
          <cell r="H1125">
            <v>0.62</v>
          </cell>
        </row>
        <row r="1126">
          <cell r="B1126" t="str">
            <v>81C#02工具间</v>
          </cell>
          <cell r="C1126">
            <v>79.56</v>
          </cell>
          <cell r="H1126">
            <v>0.43</v>
          </cell>
        </row>
        <row r="1127">
          <cell r="B1127" t="str">
            <v>81C#03工具间</v>
          </cell>
          <cell r="C1127">
            <v>79.56</v>
          </cell>
          <cell r="H1127">
            <v>0.43</v>
          </cell>
        </row>
        <row r="1128">
          <cell r="B1128" t="str">
            <v>81C#05工具间</v>
          </cell>
          <cell r="C1128">
            <v>79.56</v>
          </cell>
          <cell r="H1128">
            <v>0.43</v>
          </cell>
        </row>
        <row r="1129">
          <cell r="B1129" t="str">
            <v>81C#06工具间</v>
          </cell>
          <cell r="C1129">
            <v>114.94</v>
          </cell>
          <cell r="H1129">
            <v>0.62</v>
          </cell>
        </row>
        <row r="1130">
          <cell r="B1130" t="str">
            <v>81D#01工具间</v>
          </cell>
          <cell r="C1130">
            <v>120.1</v>
          </cell>
          <cell r="H1130">
            <v>0.64</v>
          </cell>
        </row>
        <row r="1131">
          <cell r="B1131" t="str">
            <v>81D#02工具间</v>
          </cell>
          <cell r="C1131">
            <v>79.56</v>
          </cell>
          <cell r="H1131">
            <v>0.43</v>
          </cell>
        </row>
        <row r="1132">
          <cell r="B1132" t="str">
            <v>81D#03工具间</v>
          </cell>
          <cell r="C1132">
            <v>79.56</v>
          </cell>
          <cell r="H1132">
            <v>0.43</v>
          </cell>
        </row>
        <row r="1133">
          <cell r="B1133" t="str">
            <v>81D#05工具间</v>
          </cell>
          <cell r="C1133">
            <v>118.44</v>
          </cell>
          <cell r="H1133">
            <v>0.63</v>
          </cell>
        </row>
        <row r="1134">
          <cell r="B1134" t="str">
            <v>81E#01工具间</v>
          </cell>
          <cell r="C1134">
            <v>118.44</v>
          </cell>
          <cell r="H1134">
            <v>0.63</v>
          </cell>
        </row>
        <row r="1135">
          <cell r="B1135" t="str">
            <v>81E#02工具间</v>
          </cell>
          <cell r="C1135">
            <v>79.56</v>
          </cell>
          <cell r="H1135">
            <v>0.43</v>
          </cell>
        </row>
        <row r="1136">
          <cell r="B1136" t="str">
            <v>81E#03工具间</v>
          </cell>
          <cell r="C1136">
            <v>79.56</v>
          </cell>
          <cell r="H1136">
            <v>0.43</v>
          </cell>
        </row>
        <row r="1137">
          <cell r="B1137" t="str">
            <v>81E#05工具间</v>
          </cell>
          <cell r="C1137">
            <v>118.44</v>
          </cell>
          <cell r="H1137">
            <v>0.63</v>
          </cell>
        </row>
        <row r="1138">
          <cell r="B1138" t="str">
            <v>81F#01工具间</v>
          </cell>
          <cell r="C1138">
            <v>118.44</v>
          </cell>
          <cell r="H1138">
            <v>0.63</v>
          </cell>
        </row>
        <row r="1139">
          <cell r="B1139" t="str">
            <v>81F#02工具间</v>
          </cell>
          <cell r="C1139">
            <v>79.56</v>
          </cell>
          <cell r="H1139">
            <v>0.43</v>
          </cell>
        </row>
        <row r="1140">
          <cell r="B1140" t="str">
            <v>81F#03工具间</v>
          </cell>
          <cell r="C1140">
            <v>79.56</v>
          </cell>
          <cell r="H1140">
            <v>0.43</v>
          </cell>
        </row>
        <row r="1141">
          <cell r="B1141" t="str">
            <v>81F#05工具间</v>
          </cell>
          <cell r="C1141">
            <v>79.56</v>
          </cell>
          <cell r="H1141">
            <v>0.43</v>
          </cell>
        </row>
        <row r="1142">
          <cell r="B1142" t="str">
            <v>81F#06工具间</v>
          </cell>
          <cell r="C1142">
            <v>79.56</v>
          </cell>
          <cell r="H1142">
            <v>0.43</v>
          </cell>
        </row>
        <row r="1143">
          <cell r="B1143" t="str">
            <v>81F#07工具间</v>
          </cell>
          <cell r="C1143">
            <v>118.44</v>
          </cell>
          <cell r="H1143">
            <v>0.63</v>
          </cell>
        </row>
        <row r="1144">
          <cell r="B1144" t="str">
            <v>82#01工具间</v>
          </cell>
          <cell r="C1144">
            <v>148.46</v>
          </cell>
          <cell r="H1144">
            <v>0.8</v>
          </cell>
        </row>
        <row r="1145">
          <cell r="B1145" t="str">
            <v>82#02工具间</v>
          </cell>
          <cell r="C1145">
            <v>130.91</v>
          </cell>
          <cell r="H1145">
            <v>0.7</v>
          </cell>
        </row>
        <row r="1146">
          <cell r="B1146" t="str">
            <v>82#03工具间</v>
          </cell>
          <cell r="C1146">
            <v>130.91</v>
          </cell>
          <cell r="H1146">
            <v>0.7</v>
          </cell>
        </row>
        <row r="1147">
          <cell r="B1147" t="str">
            <v>82#05工具间</v>
          </cell>
          <cell r="C1147">
            <v>130.91</v>
          </cell>
          <cell r="H1147">
            <v>0.7</v>
          </cell>
        </row>
        <row r="1148">
          <cell r="B1148" t="str">
            <v>82#06工具间</v>
          </cell>
          <cell r="C1148">
            <v>180.54</v>
          </cell>
          <cell r="H1148">
            <v>0.97</v>
          </cell>
        </row>
        <row r="1149">
          <cell r="B1149" t="str">
            <v>83#01工具间</v>
          </cell>
          <cell r="C1149">
            <v>155.24</v>
          </cell>
          <cell r="H1149">
            <v>0.83</v>
          </cell>
        </row>
        <row r="1150">
          <cell r="B1150" t="str">
            <v>83#02工具间</v>
          </cell>
          <cell r="C1150">
            <v>130.91</v>
          </cell>
          <cell r="H1150">
            <v>0.7</v>
          </cell>
        </row>
        <row r="1151">
          <cell r="B1151" t="str">
            <v>83#03工具间</v>
          </cell>
          <cell r="C1151">
            <v>130.91</v>
          </cell>
          <cell r="H1151">
            <v>0.7</v>
          </cell>
        </row>
        <row r="1152">
          <cell r="B1152" t="str">
            <v>83#05工具间</v>
          </cell>
          <cell r="C1152">
            <v>130.91</v>
          </cell>
          <cell r="H1152">
            <v>0.7</v>
          </cell>
        </row>
        <row r="1153">
          <cell r="B1153" t="str">
            <v>83#06工具间</v>
          </cell>
          <cell r="C1153">
            <v>199.75</v>
          </cell>
          <cell r="H1153">
            <v>1.07</v>
          </cell>
        </row>
        <row r="1154">
          <cell r="B1154" t="str">
            <v>85#01工具间</v>
          </cell>
          <cell r="C1154">
            <v>180.1</v>
          </cell>
          <cell r="H1154">
            <v>0.96</v>
          </cell>
        </row>
        <row r="1155">
          <cell r="B1155" t="str">
            <v>85#02工具间</v>
          </cell>
          <cell r="C1155">
            <v>130.91</v>
          </cell>
          <cell r="H1155">
            <v>0.7</v>
          </cell>
        </row>
        <row r="1156">
          <cell r="B1156" t="str">
            <v>85#03工具间</v>
          </cell>
          <cell r="C1156">
            <v>186.19</v>
          </cell>
          <cell r="H1156">
            <v>1</v>
          </cell>
        </row>
        <row r="1157">
          <cell r="B1157" t="str">
            <v>86#01工具间</v>
          </cell>
          <cell r="C1157">
            <v>156.9</v>
          </cell>
          <cell r="H1157">
            <v>0.84</v>
          </cell>
        </row>
        <row r="1158">
          <cell r="B1158" t="str">
            <v>86#02工具间</v>
          </cell>
          <cell r="C1158">
            <v>94.96</v>
          </cell>
          <cell r="H1158">
            <v>0.51</v>
          </cell>
        </row>
        <row r="1159">
          <cell r="B1159" t="str">
            <v>86#03工具间</v>
          </cell>
          <cell r="C1159">
            <v>94.96</v>
          </cell>
          <cell r="H1159">
            <v>0.51</v>
          </cell>
        </row>
        <row r="1160">
          <cell r="B1160" t="str">
            <v>86#05工具间</v>
          </cell>
          <cell r="C1160">
            <v>143.77000000000001</v>
          </cell>
          <cell r="H1160">
            <v>0.77</v>
          </cell>
        </row>
        <row r="1161">
          <cell r="B1161" t="str">
            <v>87#01工具间</v>
          </cell>
          <cell r="C1161">
            <v>143.77000000000001</v>
          </cell>
          <cell r="H1161">
            <v>0.77</v>
          </cell>
        </row>
        <row r="1162">
          <cell r="B1162" t="str">
            <v>87#02工具间</v>
          </cell>
          <cell r="C1162">
            <v>94.96</v>
          </cell>
          <cell r="H1162">
            <v>0.51</v>
          </cell>
        </row>
        <row r="1163">
          <cell r="B1163" t="str">
            <v>87#03工具间</v>
          </cell>
          <cell r="C1163">
            <v>94.96</v>
          </cell>
          <cell r="H1163">
            <v>0.51</v>
          </cell>
        </row>
        <row r="1164">
          <cell r="B1164" t="str">
            <v>87#05工具间</v>
          </cell>
          <cell r="C1164">
            <v>94.96</v>
          </cell>
          <cell r="H1164">
            <v>0.51</v>
          </cell>
        </row>
        <row r="1165">
          <cell r="B1165" t="str">
            <v>87#06工具间</v>
          </cell>
          <cell r="C1165">
            <v>94.96</v>
          </cell>
          <cell r="H1165">
            <v>0.51</v>
          </cell>
        </row>
        <row r="1166">
          <cell r="B1166" t="str">
            <v>87#07工具间</v>
          </cell>
          <cell r="C1166">
            <v>156.9</v>
          </cell>
          <cell r="H1166">
            <v>0.84</v>
          </cell>
        </row>
        <row r="1167">
          <cell r="B1167" t="str">
            <v>88#01工具间</v>
          </cell>
          <cell r="C1167">
            <v>138.72</v>
          </cell>
          <cell r="H1167">
            <v>0.74</v>
          </cell>
        </row>
        <row r="1168">
          <cell r="B1168" t="str">
            <v>88#02工具间</v>
          </cell>
          <cell r="C1168">
            <v>94.96</v>
          </cell>
          <cell r="H1168">
            <v>0.51</v>
          </cell>
        </row>
        <row r="1169">
          <cell r="B1169" t="str">
            <v>88#03工具间</v>
          </cell>
          <cell r="C1169">
            <v>94.96</v>
          </cell>
          <cell r="H1169">
            <v>0.51</v>
          </cell>
        </row>
        <row r="1170">
          <cell r="B1170" t="str">
            <v>88#05工具间</v>
          </cell>
          <cell r="C1170">
            <v>94.96</v>
          </cell>
          <cell r="H1170">
            <v>0.51</v>
          </cell>
        </row>
        <row r="1171">
          <cell r="B1171" t="str">
            <v>88#06工具间</v>
          </cell>
          <cell r="C1171">
            <v>94.96</v>
          </cell>
          <cell r="H1171">
            <v>0.51</v>
          </cell>
        </row>
        <row r="1172">
          <cell r="B1172" t="str">
            <v>88#07工具间</v>
          </cell>
          <cell r="C1172">
            <v>143.77000000000001</v>
          </cell>
          <cell r="H1172">
            <v>0.77</v>
          </cell>
        </row>
        <row r="1173">
          <cell r="B1173" t="str">
            <v>89#01工具间</v>
          </cell>
          <cell r="C1173">
            <v>143.77000000000001</v>
          </cell>
          <cell r="H1173">
            <v>0.77</v>
          </cell>
        </row>
        <row r="1174">
          <cell r="B1174" t="str">
            <v>89#02工具间</v>
          </cell>
          <cell r="C1174">
            <v>94.96</v>
          </cell>
          <cell r="H1174">
            <v>0.51</v>
          </cell>
        </row>
        <row r="1175">
          <cell r="B1175" t="str">
            <v>89#03工具间</v>
          </cell>
          <cell r="C1175">
            <v>94.96</v>
          </cell>
          <cell r="H1175">
            <v>0.51</v>
          </cell>
        </row>
        <row r="1176">
          <cell r="B1176" t="str">
            <v>89#05工具间</v>
          </cell>
          <cell r="C1176">
            <v>94.96</v>
          </cell>
          <cell r="H1176">
            <v>0.51</v>
          </cell>
        </row>
        <row r="1177">
          <cell r="B1177" t="str">
            <v>89#06工具间</v>
          </cell>
          <cell r="C1177">
            <v>94.96</v>
          </cell>
          <cell r="H1177">
            <v>0.51</v>
          </cell>
        </row>
        <row r="1178">
          <cell r="B1178" t="str">
            <v>89#07工具间</v>
          </cell>
          <cell r="C1178">
            <v>94.96</v>
          </cell>
          <cell r="H1178">
            <v>0.51</v>
          </cell>
        </row>
        <row r="1179">
          <cell r="B1179" t="str">
            <v>89#08工具间</v>
          </cell>
          <cell r="C1179">
            <v>94.96</v>
          </cell>
          <cell r="H1179">
            <v>0.51</v>
          </cell>
        </row>
        <row r="1180">
          <cell r="B1180" t="str">
            <v>89#09工具间</v>
          </cell>
          <cell r="C1180">
            <v>143.77000000000001</v>
          </cell>
          <cell r="H1180">
            <v>0.77</v>
          </cell>
        </row>
        <row r="1181">
          <cell r="B1181" t="str">
            <v>90#01工具间</v>
          </cell>
          <cell r="C1181">
            <v>143.77000000000001</v>
          </cell>
          <cell r="H1181">
            <v>0.77</v>
          </cell>
        </row>
        <row r="1182">
          <cell r="B1182" t="str">
            <v>90#02工具间</v>
          </cell>
          <cell r="C1182">
            <v>94.96</v>
          </cell>
          <cell r="H1182">
            <v>0.51</v>
          </cell>
        </row>
        <row r="1183">
          <cell r="B1183" t="str">
            <v>90#03工具间</v>
          </cell>
          <cell r="C1183">
            <v>94.96</v>
          </cell>
          <cell r="H1183">
            <v>0.51</v>
          </cell>
        </row>
        <row r="1184">
          <cell r="B1184" t="str">
            <v>90#05工具间</v>
          </cell>
          <cell r="C1184">
            <v>94.96</v>
          </cell>
          <cell r="H1184">
            <v>0.51</v>
          </cell>
        </row>
        <row r="1185">
          <cell r="B1185" t="str">
            <v>90#06工具间</v>
          </cell>
          <cell r="C1185">
            <v>94.96</v>
          </cell>
          <cell r="H1185">
            <v>0.51</v>
          </cell>
        </row>
        <row r="1186">
          <cell r="B1186" t="str">
            <v>90#07工具间</v>
          </cell>
          <cell r="C1186">
            <v>143.77000000000001</v>
          </cell>
          <cell r="H1186">
            <v>0.77</v>
          </cell>
        </row>
        <row r="1187">
          <cell r="B1187" t="str">
            <v>91#01工具间</v>
          </cell>
          <cell r="C1187">
            <v>150.78</v>
          </cell>
          <cell r="H1187">
            <v>0.81</v>
          </cell>
        </row>
        <row r="1188">
          <cell r="B1188" t="str">
            <v>91#02工具间</v>
          </cell>
          <cell r="C1188">
            <v>101.56</v>
          </cell>
          <cell r="H1188">
            <v>0.54</v>
          </cell>
        </row>
        <row r="1189">
          <cell r="B1189" t="str">
            <v>91#03工具间</v>
          </cell>
          <cell r="C1189">
            <v>101.56</v>
          </cell>
          <cell r="H1189">
            <v>0.54</v>
          </cell>
        </row>
        <row r="1190">
          <cell r="B1190" t="str">
            <v>91#05工具间</v>
          </cell>
          <cell r="C1190">
            <v>101.56</v>
          </cell>
          <cell r="H1190">
            <v>0.54</v>
          </cell>
        </row>
        <row r="1191">
          <cell r="B1191" t="str">
            <v>91#06工具间</v>
          </cell>
          <cell r="C1191">
            <v>101.56</v>
          </cell>
          <cell r="H1191">
            <v>0.54</v>
          </cell>
        </row>
        <row r="1192">
          <cell r="B1192" t="str">
            <v>91#07工具间</v>
          </cell>
          <cell r="C1192">
            <v>150.78</v>
          </cell>
          <cell r="H1192">
            <v>0.81</v>
          </cell>
        </row>
        <row r="1193">
          <cell r="B1193" t="str">
            <v>92#01工具间</v>
          </cell>
          <cell r="C1193">
            <v>150.78</v>
          </cell>
          <cell r="H1193">
            <v>0.81</v>
          </cell>
        </row>
        <row r="1194">
          <cell r="B1194" t="str">
            <v>92#02工具间</v>
          </cell>
          <cell r="C1194">
            <v>101.56</v>
          </cell>
          <cell r="H1194">
            <v>0.54</v>
          </cell>
        </row>
        <row r="1195">
          <cell r="B1195" t="str">
            <v>92#03工具间</v>
          </cell>
          <cell r="C1195">
            <v>101.56</v>
          </cell>
          <cell r="H1195">
            <v>0.54</v>
          </cell>
        </row>
        <row r="1196">
          <cell r="B1196" t="str">
            <v>92#05工具间</v>
          </cell>
          <cell r="C1196">
            <v>101.56</v>
          </cell>
          <cell r="H1196">
            <v>0.54</v>
          </cell>
        </row>
        <row r="1197">
          <cell r="B1197" t="str">
            <v>92#06工具间</v>
          </cell>
          <cell r="C1197">
            <v>101.56</v>
          </cell>
          <cell r="H1197">
            <v>0.54</v>
          </cell>
        </row>
        <row r="1198">
          <cell r="B1198" t="str">
            <v>92#07工具间</v>
          </cell>
          <cell r="C1198">
            <v>132.08000000000001</v>
          </cell>
          <cell r="H1198">
            <v>0.71</v>
          </cell>
        </row>
        <row r="1199">
          <cell r="B1199" t="str">
            <v>93#01工具间</v>
          </cell>
          <cell r="C1199">
            <v>132.63</v>
          </cell>
          <cell r="H1199">
            <v>0.71</v>
          </cell>
        </row>
        <row r="1200">
          <cell r="B1200" t="str">
            <v>93#02工具间</v>
          </cell>
          <cell r="C1200">
            <v>101.56</v>
          </cell>
          <cell r="H1200">
            <v>0.54</v>
          </cell>
        </row>
        <row r="1201">
          <cell r="B1201" t="str">
            <v>93#03工具间</v>
          </cell>
          <cell r="C1201">
            <v>101.56</v>
          </cell>
          <cell r="H1201">
            <v>0.54</v>
          </cell>
        </row>
        <row r="1202">
          <cell r="B1202" t="str">
            <v>93#05工具间</v>
          </cell>
          <cell r="C1202">
            <v>150.78</v>
          </cell>
          <cell r="H1202">
            <v>0.81</v>
          </cell>
        </row>
        <row r="1203">
          <cell r="B1203" t="str">
            <v>95#01工具间</v>
          </cell>
          <cell r="C1203">
            <v>150.78</v>
          </cell>
          <cell r="H1203">
            <v>0.81</v>
          </cell>
        </row>
        <row r="1204">
          <cell r="B1204" t="str">
            <v>95#02工具间</v>
          </cell>
          <cell r="C1204">
            <v>101.56</v>
          </cell>
          <cell r="H1204">
            <v>0.54</v>
          </cell>
        </row>
        <row r="1205">
          <cell r="B1205" t="str">
            <v>95#03工具间</v>
          </cell>
          <cell r="C1205">
            <v>101.56</v>
          </cell>
          <cell r="H1205">
            <v>0.54</v>
          </cell>
        </row>
        <row r="1206">
          <cell r="B1206" t="str">
            <v>95#05工具间</v>
          </cell>
          <cell r="C1206">
            <v>101.56</v>
          </cell>
          <cell r="H1206">
            <v>0.54</v>
          </cell>
        </row>
        <row r="1207">
          <cell r="B1207" t="str">
            <v>95#06工具间</v>
          </cell>
          <cell r="C1207">
            <v>150.78</v>
          </cell>
          <cell r="H1207">
            <v>0.81</v>
          </cell>
        </row>
        <row r="1208">
          <cell r="B1208" t="str">
            <v>96#01工具间</v>
          </cell>
          <cell r="C1208">
            <v>150.78</v>
          </cell>
          <cell r="H1208">
            <v>0.81</v>
          </cell>
        </row>
        <row r="1209">
          <cell r="B1209" t="str">
            <v>96#02工具间</v>
          </cell>
          <cell r="C1209">
            <v>101.56</v>
          </cell>
          <cell r="H1209">
            <v>0.54</v>
          </cell>
        </row>
        <row r="1210">
          <cell r="B1210" t="str">
            <v>96#03工具间</v>
          </cell>
          <cell r="C1210">
            <v>101.56</v>
          </cell>
          <cell r="H1210">
            <v>0.54</v>
          </cell>
        </row>
        <row r="1211">
          <cell r="B1211" t="str">
            <v>96#05工具间</v>
          </cell>
          <cell r="C1211">
            <v>101.56</v>
          </cell>
          <cell r="H1211">
            <v>0.54</v>
          </cell>
        </row>
        <row r="1212">
          <cell r="B1212" t="str">
            <v>96#06工具间</v>
          </cell>
          <cell r="C1212">
            <v>165.08</v>
          </cell>
          <cell r="H1212">
            <v>0.88</v>
          </cell>
        </row>
        <row r="1213">
          <cell r="B1213" t="str">
            <v>97#01工具间</v>
          </cell>
          <cell r="C1213">
            <v>165.08</v>
          </cell>
          <cell r="H1213">
            <v>0.88</v>
          </cell>
        </row>
        <row r="1214">
          <cell r="B1214" t="str">
            <v>97#02工具间</v>
          </cell>
          <cell r="C1214">
            <v>101.56</v>
          </cell>
          <cell r="H1214">
            <v>0.54</v>
          </cell>
        </row>
        <row r="1215">
          <cell r="B1215" t="str">
            <v>97#03工具间</v>
          </cell>
          <cell r="C1215">
            <v>101.56</v>
          </cell>
          <cell r="H1215">
            <v>0.54</v>
          </cell>
        </row>
        <row r="1216">
          <cell r="B1216" t="str">
            <v>97#05工具间</v>
          </cell>
          <cell r="C1216">
            <v>150.78</v>
          </cell>
          <cell r="H1216">
            <v>0.81</v>
          </cell>
        </row>
        <row r="1217">
          <cell r="B1217" t="str">
            <v>电信间1</v>
          </cell>
          <cell r="C1217">
            <v>11.7</v>
          </cell>
          <cell r="H1217">
            <v>22.68</v>
          </cell>
        </row>
        <row r="1218">
          <cell r="B1218" t="str">
            <v>电信间2</v>
          </cell>
          <cell r="C1218">
            <v>11.7</v>
          </cell>
          <cell r="H1218">
            <v>22.68</v>
          </cell>
        </row>
        <row r="1219">
          <cell r="B1219" t="str">
            <v>电信间3</v>
          </cell>
          <cell r="C1219">
            <v>11.7</v>
          </cell>
          <cell r="H1219">
            <v>22.68</v>
          </cell>
        </row>
        <row r="1220">
          <cell r="B1220" t="str">
            <v>电信间4</v>
          </cell>
          <cell r="C1220">
            <v>11.7</v>
          </cell>
          <cell r="H1220">
            <v>22.68</v>
          </cell>
        </row>
        <row r="1221">
          <cell r="B1221" t="str">
            <v>电信间5</v>
          </cell>
          <cell r="C1221">
            <v>17.21</v>
          </cell>
          <cell r="H1221">
            <v>33.369999999999997</v>
          </cell>
        </row>
        <row r="1222">
          <cell r="B1222" t="str">
            <v>电信间6</v>
          </cell>
          <cell r="C1222">
            <v>5.88</v>
          </cell>
          <cell r="H1222">
            <v>11.4</v>
          </cell>
        </row>
        <row r="1223">
          <cell r="B1223" t="str">
            <v>电信间7</v>
          </cell>
          <cell r="C1223">
            <v>5.75</v>
          </cell>
          <cell r="H1223">
            <v>11.15</v>
          </cell>
        </row>
        <row r="1224">
          <cell r="B1224" t="str">
            <v>水泵房1</v>
          </cell>
          <cell r="C1224">
            <v>31.2</v>
          </cell>
          <cell r="H1224">
            <v>60.5</v>
          </cell>
        </row>
        <row r="1225">
          <cell r="B1225" t="str">
            <v>水泵房2</v>
          </cell>
          <cell r="C1225">
            <v>19.2</v>
          </cell>
          <cell r="H1225">
            <v>37.229999999999997</v>
          </cell>
        </row>
        <row r="1226">
          <cell r="B1226" t="str">
            <v>报警阀间</v>
          </cell>
          <cell r="C1226">
            <v>11.48</v>
          </cell>
          <cell r="H1226">
            <v>22.26</v>
          </cell>
        </row>
        <row r="1227">
          <cell r="B1227" t="str">
            <v>斜坡道1</v>
          </cell>
          <cell r="C1227">
            <v>144.63</v>
          </cell>
          <cell r="H1227">
            <v>0.77</v>
          </cell>
        </row>
        <row r="1228">
          <cell r="B1228" t="str">
            <v>斜坡道2</v>
          </cell>
          <cell r="C1228">
            <v>80.55</v>
          </cell>
          <cell r="H1228">
            <v>0.43</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福建省福州市闽侯县南屿镇晓岐村、元峰村“南屿滨江城”项目出让国有建设用地使用权及在建建筑物房地产抵押价值预评估</v>
      </c>
    </row>
    <row r="3" spans="1:2" s="1589" customFormat="1">
      <c r="A3" s="1587" t="s">
        <v>1217</v>
      </c>
      <c r="B3" s="1588" t="str">
        <f>'预评函-封皮'!B40</f>
        <v>浙商金汇信托股份有限公司</v>
      </c>
    </row>
    <row r="4" spans="1:2" s="1589" customFormat="1">
      <c r="A4" s="1587" t="s">
        <v>1218</v>
      </c>
      <c r="B4" s="1588" t="str">
        <f ca="1">'预评函-封皮'!B46</f>
        <v>王鹏（注册号：1120050019)、郑燚（注册号：1120070131)</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受贵公司委托，我公司对福建省福州市闽侯县南屿镇晓岐村、元峰村“南屿滨江城”项目出让国有建设用地使用权及在建建筑物房地产抵押价值进行了预评估。</v>
      </c>
    </row>
    <row r="7" spans="1:2" s="1589" customFormat="1">
      <c r="A7" s="1587" t="s">
        <v>1260</v>
      </c>
      <c r="B7" s="1588" t="str">
        <f>'预评函-1'!A7</f>
        <v>估价对象为福建省福州市闽侯县南屿镇晓岐村、元峰村“南屿滨江城”项目出让国有建设用地使用权及在建建筑物房地产，为福建宏辉房地产开发有限公司所有。根据，估价对象（分摊）出让国有建设用地使用权面积为37123.45平方米，建筑面积为83517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福建省福州市闽侯县南屿镇晓岐村、元峰村“南屿滨江城”项目出让国有建设用地使用权及在建建筑物房地产,属福建宏辉房地产开发有限公司开发建设的，该项目尚在开发建设中。根据，估价对象（分摊）出让国有建设用地使用权面积为37123.45平方米，规划建筑面积为83517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福建宏辉房地产开发有限公司拟使用福建省福州市闽侯县南屿镇晓岐村、元峰村“南屿滨江城”项目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2019年6月13日（评估专业人员实地查勘之日）</v>
      </c>
    </row>
    <row r="13" spans="1:2" s="1589" customFormat="1">
      <c r="A13" s="1587" t="s">
        <v>1223</v>
      </c>
      <c r="B13" s="1588"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本次评估采用的主估价方法为成本法和假设开发法。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40101</v>
      </c>
    </row>
    <row r="21" spans="1:2" s="1589" customFormat="1">
      <c r="A21" s="1587" t="s">
        <v>1231</v>
      </c>
      <c r="B21" s="1588">
        <f ca="1">'预评函-2'!D7</f>
        <v>4802</v>
      </c>
    </row>
    <row r="22" spans="1:2" s="1589" customFormat="1">
      <c r="A22" s="1587" t="s">
        <v>1232</v>
      </c>
      <c r="B22" s="1588" t="str">
        <f ca="1">'预评函-2'!D6</f>
        <v>肆亿零壹佰零壹万元整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40101</v>
      </c>
    </row>
    <row r="31" spans="1:2" s="1589" customFormat="1">
      <c r="A31" s="1587" t="s">
        <v>1270</v>
      </c>
      <c r="B31" s="1588">
        <f ca="1">'预评函-2'!D15</f>
        <v>4802</v>
      </c>
    </row>
    <row r="32" spans="1:2" s="1589" customFormat="1">
      <c r="A32" s="1587" t="s">
        <v>1237</v>
      </c>
      <c r="B32" s="1588" t="str">
        <f ca="1">'预评函-2'!D14</f>
        <v>肆亿零壹佰零壹万元整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4.抵押净值</v>
      </c>
    </row>
    <row r="38" spans="1:2" s="1589" customFormat="1">
      <c r="A38" s="1587" t="s">
        <v>1291</v>
      </c>
      <c r="B38" s="1588">
        <f ca="1">'预评函-2'!D19</f>
        <v>27369</v>
      </c>
    </row>
    <row r="39" spans="1:2" s="1589" customFormat="1">
      <c r="A39" s="1587" t="s">
        <v>1239</v>
      </c>
      <c r="B39" s="1588">
        <f ca="1">'预评函-2'!D21</f>
        <v>3277</v>
      </c>
    </row>
    <row r="40" spans="1:2" s="1589" customFormat="1">
      <c r="A40" s="1587" t="s">
        <v>1240</v>
      </c>
      <c r="B40" s="1588" t="str">
        <f ca="1">'预评函-2'!D20</f>
        <v>贰亿柒仟叁佰陆拾玖万元整</v>
      </c>
    </row>
    <row r="41" spans="1:2" s="1589" customFormat="1">
      <c r="A41" s="1587" t="s">
        <v>1286</v>
      </c>
      <c r="B41" s="1588" t="str">
        <f>'预评函-3'!A4</f>
        <v>福建省福州市闽侯县南屿镇晓岐村、元峰村“南屿滨江城”项目出让国有建设用地使用权及在建建筑物房地产</v>
      </c>
    </row>
    <row r="42" spans="1:2" s="1589" customFormat="1" ht="31.2">
      <c r="A42" s="1587" t="s">
        <v>1284</v>
      </c>
      <c r="B42" s="1588" t="str">
        <f>'预评函-3'!B2</f>
        <v>建筑面积</v>
      </c>
    </row>
    <row r="43" spans="1:2" s="1589" customFormat="1">
      <c r="A43" s="1587" t="s">
        <v>1285</v>
      </c>
      <c r="B43" s="1588">
        <f>'预评函-3'!B4</f>
        <v>83517</v>
      </c>
    </row>
    <row r="44" spans="1:2" s="1589" customFormat="1" ht="31.2">
      <c r="A44" s="1587" t="s">
        <v>1269</v>
      </c>
      <c r="B44" s="1588" t="str">
        <f>'预评函-3'!C2</f>
        <v>(分摊)土地面积</v>
      </c>
    </row>
    <row r="45" spans="1:2" s="1589" customFormat="1">
      <c r="A45" s="1587" t="s">
        <v>1241</v>
      </c>
      <c r="B45" s="1588">
        <f>'预评函-3'!C4</f>
        <v>37123.449999999997</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抵押净值</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6.2" thickBot="1">
      <c r="A73" s="1590" t="s">
        <v>1259</v>
      </c>
      <c r="B73" s="1591">
        <f ca="1">'预评函-4'!B5</f>
        <v>1120070131</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3190</v>
      </c>
      <c r="C19" s="2011"/>
    </row>
    <row r="20" spans="1:3">
      <c r="A20" s="2010" t="s">
        <v>1765</v>
      </c>
      <c r="B20" s="2010" t="s">
        <v>3192</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建宏辉房地产开发有限公司拟使用福建省福州市闽侯县南屿镇晓岐村、元峰村“南屿滨江城”项目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13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2018" t="s">
        <v>861</v>
      </c>
      <c r="C54" s="2015" t="s">
        <v>1277</v>
      </c>
    </row>
    <row r="55" spans="1:4">
      <c r="A55" s="3134"/>
      <c r="B55" s="2018" t="s">
        <v>862</v>
      </c>
      <c r="C55" s="2015" t="s">
        <v>1278</v>
      </c>
    </row>
    <row r="56" spans="1:4">
      <c r="A56" s="3134"/>
      <c r="B56" s="2018" t="s">
        <v>863</v>
      </c>
      <c r="C56" s="2015" t="s">
        <v>1282</v>
      </c>
    </row>
    <row r="57" spans="1:4">
      <c r="A57" s="313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1772</v>
      </c>
      <c r="B1" s="3135" t="str">
        <f>IF(B10="北京市","北京市",C10)&amp;F10&amp;IF(结果表!G1="在建","出让国有建设用地使用权及在建建筑物",IF(结果表!G1="土地","出让国有建设用地使用权",))&amp;B9&amp;"预评估"</f>
        <v>福建省福州市闽侯县南屿镇晓岐村、元峰村“南屿滨江城”项目出让国有建设用地使用权及在建建筑物房地产抵押价值预评估</v>
      </c>
      <c r="C1" s="3136"/>
      <c r="D1" s="3136"/>
      <c r="E1" s="3136"/>
      <c r="F1" s="3136"/>
      <c r="G1" s="3136"/>
      <c r="H1" s="3136"/>
      <c r="I1" s="313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福建省福州市闽侯县南屿镇晓岐村、元峰村“南屿滨江城”项目出让国有建设用地使用权及在建建筑物房地产抵押价值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福建省福州市闽侯县南屿镇晓岐村、元峰村“南屿滨江城”项目出让国有建设用地使用权及在建建筑物房地产</v>
      </c>
    </row>
    <row r="3" spans="1:19" ht="18" customHeight="1">
      <c r="A3" s="2031" t="s">
        <v>1774</v>
      </c>
      <c r="B3" s="2032">
        <v>43629</v>
      </c>
      <c r="C3" s="2033" t="s">
        <v>1775</v>
      </c>
      <c r="D3" s="2032">
        <f>B3</f>
        <v>43629</v>
      </c>
      <c r="E3" s="2022"/>
      <c r="F3" s="2022"/>
      <c r="G3" s="2022"/>
      <c r="H3" s="2022"/>
      <c r="I3" s="2022"/>
      <c r="J3" s="2022"/>
      <c r="K3" s="2023"/>
      <c r="L3" s="2024"/>
      <c r="M3" s="2024"/>
      <c r="N3" s="2025"/>
      <c r="O3" s="2026"/>
      <c r="P3" s="2025"/>
      <c r="Q3" s="2025"/>
      <c r="R3" s="2025"/>
      <c r="S3" s="2027"/>
    </row>
    <row r="4" spans="1:19" ht="18" customHeight="1" thickBot="1">
      <c r="A4" s="2034" t="s">
        <v>1776</v>
      </c>
      <c r="B4" s="2035" t="s">
        <v>3052</v>
      </c>
      <c r="C4" s="1034">
        <f ca="1">SUMIF(注册房地产估价师,B4,估价师及机构信息!B3:B24)</f>
        <v>1120050019</v>
      </c>
      <c r="D4" s="2035" t="s">
        <v>3053</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1777</v>
      </c>
      <c r="B5" s="2951" t="s">
        <v>3054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52" t="s">
        <v>3054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953" t="s">
        <v>3057</v>
      </c>
      <c r="C7" s="2044"/>
      <c r="D7" s="2045"/>
      <c r="E7" s="2030"/>
      <c r="F7" s="2038"/>
      <c r="G7" s="2038"/>
      <c r="H7" s="2038"/>
      <c r="I7" s="2038"/>
      <c r="J7" s="2038"/>
      <c r="K7" s="2047"/>
      <c r="L7" s="2024"/>
      <c r="M7" s="2024"/>
      <c r="N7" s="2025"/>
      <c r="O7" s="2026"/>
      <c r="P7" s="2025"/>
      <c r="Q7" s="2025"/>
      <c r="R7" s="2025"/>
    </row>
    <row r="8" spans="1:19" ht="18" customHeight="1">
      <c r="A8" s="2043" t="s">
        <v>1780</v>
      </c>
      <c r="B8" s="2048" t="s">
        <v>3055</v>
      </c>
      <c r="C8" s="2049"/>
      <c r="D8" s="3138" t="s">
        <v>1781</v>
      </c>
      <c r="E8" s="2050" t="s">
        <v>3056</v>
      </c>
      <c r="F8" s="2051"/>
      <c r="G8" s="2022"/>
      <c r="H8" s="2022"/>
      <c r="I8" s="2022"/>
      <c r="J8" s="2038"/>
      <c r="K8" s="2039"/>
      <c r="L8" s="2024"/>
      <c r="M8" s="2024"/>
      <c r="N8" s="2025"/>
      <c r="O8" s="2026"/>
      <c r="P8" s="2025"/>
      <c r="Q8" s="2025"/>
      <c r="R8" s="2025"/>
    </row>
    <row r="9" spans="1:19" ht="18" customHeight="1" thickBot="1">
      <c r="A9" s="2036" t="s">
        <v>1782</v>
      </c>
      <c r="B9" s="2052" t="s">
        <v>3056</v>
      </c>
      <c r="C9" s="2053"/>
      <c r="D9" s="3139"/>
      <c r="E9" s="2052" t="s">
        <v>1281</v>
      </c>
      <c r="F9" s="2054"/>
      <c r="G9" s="2055"/>
      <c r="H9" s="2055"/>
      <c r="I9" s="2055"/>
      <c r="J9" s="2038"/>
      <c r="K9" s="2047"/>
      <c r="L9" s="2024"/>
      <c r="M9" s="2024"/>
      <c r="N9" s="2025"/>
      <c r="O9" s="2026"/>
      <c r="P9" s="2025"/>
      <c r="Q9" s="2025"/>
      <c r="R9" s="2025"/>
    </row>
    <row r="10" spans="1:19" ht="18" customHeight="1" thickTop="1">
      <c r="A10" s="2056" t="s">
        <v>1783</v>
      </c>
      <c r="B10" s="2057" t="s">
        <v>3058</v>
      </c>
      <c r="C10" s="2955" t="s">
        <v>3060</v>
      </c>
      <c r="D10" s="2042"/>
      <c r="E10" s="2058" t="s">
        <v>1784</v>
      </c>
      <c r="F10" s="2941" t="s">
        <v>3061</v>
      </c>
      <c r="G10" s="2059"/>
      <c r="H10" s="2060"/>
      <c r="I10" s="2042"/>
      <c r="J10" s="2038"/>
      <c r="K10" s="2047"/>
      <c r="L10" s="2024"/>
      <c r="M10" s="2024"/>
      <c r="N10" s="2025"/>
      <c r="O10" s="2026"/>
      <c r="P10" s="2025"/>
      <c r="Q10" s="2025"/>
      <c r="R10" s="2025"/>
    </row>
    <row r="11" spans="1:19" ht="18" customHeight="1">
      <c r="A11" s="2061" t="s">
        <v>1785</v>
      </c>
      <c r="B11" s="2062" t="s">
        <v>3059</v>
      </c>
      <c r="C11" s="2954" t="s">
        <v>3057</v>
      </c>
      <c r="D11" s="2063"/>
      <c r="E11" s="2038"/>
      <c r="F11" s="2038"/>
      <c r="G11" s="2038"/>
      <c r="H11" s="2038"/>
      <c r="I11" s="2038"/>
      <c r="J11" s="2038"/>
      <c r="K11" s="2047"/>
      <c r="L11" s="2024"/>
      <c r="M11" s="2024"/>
      <c r="N11" s="2025"/>
      <c r="O11" s="2026"/>
      <c r="P11" s="2025"/>
      <c r="Q11" s="2025"/>
      <c r="R11" s="2025"/>
    </row>
    <row r="12" spans="1:19" ht="18" customHeight="1">
      <c r="A12" s="2064" t="s">
        <v>1786</v>
      </c>
      <c r="B12" s="2062" t="s">
        <v>3062</v>
      </c>
      <c r="C12" s="2065" t="s">
        <v>1787</v>
      </c>
      <c r="D12" s="2066" t="s">
        <v>1788</v>
      </c>
      <c r="E12" s="2066" t="s">
        <v>1789</v>
      </c>
      <c r="F12" s="2066" t="s">
        <v>1790</v>
      </c>
      <c r="G12" s="2066" t="s">
        <v>1791</v>
      </c>
      <c r="H12" s="2066" t="s">
        <v>1792</v>
      </c>
      <c r="I12" s="2066" t="s">
        <v>1793</v>
      </c>
      <c r="J12" s="2038"/>
      <c r="K12" s="2047"/>
      <c r="L12" s="2024"/>
      <c r="M12" s="2024"/>
      <c r="N12" s="2025"/>
      <c r="O12" s="2026"/>
      <c r="P12" s="2025"/>
      <c r="Q12" s="2025"/>
      <c r="R12" s="2025"/>
    </row>
    <row r="13" spans="1:19" ht="18" customHeight="1">
      <c r="A13" s="2067"/>
      <c r="B13" s="2068"/>
      <c r="C13" s="2069" t="s">
        <v>1794</v>
      </c>
      <c r="D13" s="2070">
        <v>65652</v>
      </c>
      <c r="E13" s="2070">
        <v>54695</v>
      </c>
      <c r="F13" s="2070"/>
      <c r="G13" s="2070">
        <v>58347</v>
      </c>
      <c r="H13" s="2070"/>
      <c r="I13" s="1044"/>
      <c r="J13" s="2038"/>
      <c r="K13" s="2047"/>
      <c r="L13" s="2024"/>
      <c r="M13" s="2024"/>
      <c r="N13" s="2025"/>
      <c r="O13" s="2026"/>
      <c r="P13" s="2025"/>
      <c r="Q13" s="2025"/>
      <c r="R13" s="2025"/>
    </row>
    <row r="14" spans="1:19" ht="18" customHeight="1">
      <c r="A14" s="2067"/>
      <c r="B14" s="2068"/>
      <c r="C14" s="2069" t="s">
        <v>1795</v>
      </c>
      <c r="D14" s="1047">
        <v>70</v>
      </c>
      <c r="E14" s="1047">
        <v>40</v>
      </c>
      <c r="F14" s="1047"/>
      <c r="G14" s="1047">
        <v>50</v>
      </c>
      <c r="H14" s="1047"/>
      <c r="I14" s="1047"/>
      <c r="J14" s="2038"/>
      <c r="K14" s="2071"/>
      <c r="L14" s="2024"/>
      <c r="M14" s="2024"/>
      <c r="N14" s="2025"/>
      <c r="O14" s="2026"/>
      <c r="P14" s="2025"/>
      <c r="Q14" s="2025"/>
      <c r="R14" s="2025"/>
    </row>
    <row r="15" spans="1:19" ht="18" customHeight="1">
      <c r="A15" s="2056"/>
      <c r="B15" s="2072"/>
      <c r="C15" s="2069" t="s">
        <v>1796</v>
      </c>
      <c r="D15" s="1046">
        <f>IF(B12="出让",IF(D13="","",ROUNDDOWN(MIN((D13-$D$3)/365,D14),2)),D14)</f>
        <v>60.33</v>
      </c>
      <c r="E15" s="1046">
        <f>IF(B12="出让",IF(E13="","",ROUNDDOWN(MIN((E13-$D$3)/365,E14),2)),E14)</f>
        <v>30.31</v>
      </c>
      <c r="F15" s="1046" t="str">
        <f>IF(B12="出让",IF(F13="","",ROUNDDOWN(MIN((F13-$D$3)/365,F14),2)),F14)</f>
        <v/>
      </c>
      <c r="G15" s="1046">
        <f>IF(B12="出让",IF(G13="","",ROUNDDOWN(MIN((G13-$D$3)/365,G14),2)),G14)</f>
        <v>40.32</v>
      </c>
      <c r="H15" s="1046" t="str">
        <f>IF(B12="出让",IF(H13="","",ROUNDDOWN(MIN((H13-$D$3)/365,H14),2)),H14)</f>
        <v/>
      </c>
      <c r="I15" s="1046" t="str">
        <f>IF(B12="出让",IF(I13="","",ROUNDDOWN(MIN((I13-$D$3)/365,I14),2)),I14)</f>
        <v/>
      </c>
      <c r="J15" s="2038"/>
      <c r="K15" s="2073"/>
      <c r="L15" s="2074"/>
      <c r="M15" s="2074"/>
      <c r="N15" s="2075"/>
      <c r="O15" s="2074"/>
      <c r="P15" s="2075"/>
      <c r="Q15" s="2025"/>
      <c r="R15" s="2025"/>
    </row>
    <row r="16" spans="1:19" ht="30.75" customHeight="1">
      <c r="A16" s="2058" t="s">
        <v>1797</v>
      </c>
      <c r="B16" s="3145"/>
      <c r="C16" s="3146"/>
      <c r="D16" s="3147"/>
      <c r="E16" s="2076" t="s">
        <v>1798</v>
      </c>
      <c r="F16" s="3148"/>
      <c r="G16" s="3149"/>
      <c r="H16" s="3149"/>
      <c r="I16" s="3150"/>
      <c r="J16" s="2025"/>
      <c r="K16" s="2073"/>
      <c r="L16" s="2074"/>
      <c r="M16" s="2074"/>
      <c r="N16" s="2075"/>
      <c r="O16" s="2074"/>
      <c r="P16" s="2075"/>
      <c r="Q16" s="2025"/>
      <c r="R16" s="2025"/>
    </row>
    <row r="17" spans="1:22" ht="18" customHeight="1">
      <c r="A17" s="2077" t="s">
        <v>1799</v>
      </c>
      <c r="B17" s="2031" t="s">
        <v>1800</v>
      </c>
      <c r="C17" s="1051">
        <f>'数据-汇总表'!E3</f>
        <v>83517</v>
      </c>
      <c r="D17" s="2078" t="s">
        <v>1801</v>
      </c>
      <c r="E17" s="3151"/>
      <c r="F17" s="3152"/>
      <c r="G17" s="3152"/>
      <c r="H17" s="3152"/>
      <c r="I17" s="3153"/>
      <c r="J17" s="2025"/>
      <c r="K17" s="2079"/>
      <c r="L17" s="2074"/>
      <c r="M17" s="2074"/>
      <c r="N17" s="2075"/>
      <c r="O17" s="2074"/>
      <c r="P17" s="2075"/>
      <c r="Q17" s="2025"/>
      <c r="R17" s="2025"/>
      <c r="S17" s="2025"/>
      <c r="T17" s="2025"/>
      <c r="U17" s="2025"/>
      <c r="V17" s="2025"/>
    </row>
    <row r="18" spans="1:22" ht="36" customHeight="1" thickBot="1">
      <c r="A18" s="2080" t="s">
        <v>1802</v>
      </c>
      <c r="B18" s="2034" t="s">
        <v>1803</v>
      </c>
      <c r="C18" s="1441">
        <f>'数据-汇总表'!D3</f>
        <v>37123.449999999997</v>
      </c>
      <c r="D18" s="2081" t="s">
        <v>1801</v>
      </c>
      <c r="E18" s="3154"/>
      <c r="F18" s="3155"/>
      <c r="G18" s="3155"/>
      <c r="H18" s="3155"/>
      <c r="I18" s="3156"/>
      <c r="J18" s="2025"/>
      <c r="K18" s="2079"/>
      <c r="L18" s="2074"/>
      <c r="M18" s="2074"/>
      <c r="N18" s="2075"/>
      <c r="O18" s="2074"/>
      <c r="P18" s="2075"/>
      <c r="Q18" s="2025"/>
      <c r="R18" s="2025"/>
      <c r="S18" s="2025"/>
      <c r="T18" s="2025"/>
      <c r="U18" s="2025"/>
      <c r="V18" s="2025"/>
    </row>
    <row r="19" spans="1:22" ht="37.5" customHeight="1" thickTop="1" thickBot="1">
      <c r="A19" s="373" t="s">
        <v>1804</v>
      </c>
      <c r="B19" s="352" t="s">
        <v>1805</v>
      </c>
      <c r="C19" s="2082"/>
      <c r="D19" s="2083" t="s">
        <v>1806</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1807</v>
      </c>
      <c r="B20" s="3141" t="s">
        <v>1808</v>
      </c>
      <c r="C20" s="3142"/>
      <c r="D20" s="3143" t="s">
        <v>1809</v>
      </c>
      <c r="E20" s="3144"/>
      <c r="F20" s="2088" t="s">
        <v>1810</v>
      </c>
      <c r="G20" s="2038"/>
      <c r="H20" s="2038"/>
      <c r="I20" s="2038"/>
      <c r="J20" s="2038"/>
      <c r="K20" s="314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1812</v>
      </c>
      <c r="C21" s="2090" t="s">
        <v>1813</v>
      </c>
      <c r="D21" s="2091" t="s">
        <v>1814</v>
      </c>
      <c r="E21" s="2092" t="s">
        <v>1813</v>
      </c>
      <c r="F21" s="2093"/>
      <c r="G21" s="2038"/>
      <c r="H21" s="2038"/>
      <c r="I21" s="2038"/>
      <c r="J21" s="2038"/>
      <c r="K21" s="31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1815</v>
      </c>
      <c r="C22" s="2090" t="s">
        <v>1816</v>
      </c>
      <c r="D22" s="2022"/>
      <c r="E22" s="2022"/>
      <c r="F22" s="2095"/>
      <c r="G22" s="2038"/>
      <c r="H22" s="2038"/>
      <c r="I22" s="2038"/>
      <c r="J22" s="2038"/>
      <c r="K22" s="31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1817</v>
      </c>
      <c r="B23" s="183" t="s">
        <v>1818</v>
      </c>
      <c r="C23" s="2097"/>
      <c r="D23" s="2098" t="s">
        <v>1818</v>
      </c>
      <c r="E23" s="2099"/>
      <c r="F23" s="2095"/>
      <c r="G23" s="2038"/>
      <c r="H23" s="2038"/>
      <c r="I23" s="2038"/>
      <c r="J23" s="2038"/>
      <c r="K23" s="2100"/>
      <c r="L23" s="748"/>
      <c r="M23" s="2024"/>
      <c r="N23" s="2075"/>
      <c r="O23" s="2074"/>
      <c r="P23" s="2075"/>
      <c r="Q23" s="2025"/>
      <c r="R23" s="2025"/>
      <c r="S23" s="2025"/>
      <c r="T23" s="2025"/>
      <c r="U23" s="2025"/>
      <c r="V23" s="2025"/>
    </row>
    <row r="24" spans="1:22" ht="18" customHeight="1">
      <c r="A24" s="2101"/>
      <c r="B24" s="183" t="s">
        <v>1819</v>
      </c>
      <c r="C24" s="2102"/>
      <c r="D24" s="2096" t="s">
        <v>1819</v>
      </c>
      <c r="E24" s="2103"/>
      <c r="F24" s="2095"/>
      <c r="G24" s="2038"/>
      <c r="H24" s="2038"/>
      <c r="I24" s="2038"/>
      <c r="J24" s="2038"/>
      <c r="K24" s="2100"/>
      <c r="L24" s="748"/>
      <c r="M24" s="2024"/>
      <c r="N24" s="2075"/>
      <c r="O24" s="2074"/>
      <c r="P24" s="2075"/>
      <c r="Q24" s="2025"/>
      <c r="R24" s="2025"/>
      <c r="S24" s="2025"/>
      <c r="T24" s="2025"/>
      <c r="U24" s="2025"/>
      <c r="V24" s="2025"/>
    </row>
    <row r="25" spans="1:22" ht="18" customHeight="1">
      <c r="A25" s="2101"/>
      <c r="B25" s="183" t="s">
        <v>1820</v>
      </c>
      <c r="C25" s="2102"/>
      <c r="D25" s="2096" t="s">
        <v>1820</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1821</v>
      </c>
      <c r="C26" s="2106"/>
      <c r="D26" s="2107" t="s">
        <v>1822</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158" t="s">
        <v>1823</v>
      </c>
      <c r="B27" s="2056" t="s">
        <v>1824</v>
      </c>
      <c r="C27" s="2110"/>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158"/>
      <c r="B28" s="2031" t="s">
        <v>1825</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58"/>
      <c r="B29" s="2031" t="s">
        <v>1826</v>
      </c>
      <c r="C29" s="2115"/>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59"/>
      <c r="B30" s="2031" t="s">
        <v>1827</v>
      </c>
      <c r="C30" s="3160"/>
      <c r="D30" s="3161"/>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62" t="s">
        <v>1828</v>
      </c>
      <c r="B31" s="2117"/>
      <c r="C31" s="2118" t="str">
        <f>IF(B31="现房","成新及维护状况正常否",IF(B31="在建","工程状态是否正常",IF(B31="土地","是否闲置","-")))</f>
        <v>-</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63"/>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63"/>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1829</v>
      </c>
      <c r="B34" s="2124"/>
      <c r="C34" s="2124"/>
      <c r="D34" s="2124"/>
      <c r="E34" s="2124"/>
      <c r="F34" s="2124"/>
      <c r="G34" s="2124"/>
      <c r="H34" s="2124"/>
      <c r="I34" s="2038"/>
      <c r="J34" s="2038"/>
      <c r="K34" s="1791">
        <f>COUNTIF(B34:H34,"——")</f>
        <v>0</v>
      </c>
      <c r="L34" s="2065" t="s">
        <v>1830</v>
      </c>
      <c r="M34" s="2065" t="s">
        <v>1831</v>
      </c>
      <c r="N34" s="2065" t="s">
        <v>1832</v>
      </c>
      <c r="O34" s="2065" t="s">
        <v>1833</v>
      </c>
      <c r="P34" s="2065" t="s">
        <v>1834</v>
      </c>
      <c r="Q34" s="2065" t="s">
        <v>1835</v>
      </c>
      <c r="R34" s="2065" t="s">
        <v>1836</v>
      </c>
      <c r="S34" s="3157" t="s">
        <v>1837</v>
      </c>
      <c r="T34" s="2125" t="str">
        <f>NUMBERSTRING(7-K34,1)&amp;"通"</f>
        <v>七通</v>
      </c>
      <c r="U34" s="2025"/>
      <c r="V34" s="2025"/>
    </row>
    <row r="35" spans="1:22" ht="18" customHeight="1">
      <c r="A35" s="2126"/>
      <c r="B35" s="3164" t="s">
        <v>1838</v>
      </c>
      <c r="C35" s="3164"/>
      <c r="D35" s="3164"/>
      <c r="E35" s="3164"/>
      <c r="F35" s="2127" t="str">
        <f>C10</f>
        <v>福建省福州市</v>
      </c>
      <c r="G35" s="2038"/>
      <c r="H35" s="2038"/>
      <c r="I35" s="2038"/>
      <c r="J35" s="2038"/>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57"/>
      <c r="T35" s="48" t="str">
        <f>IF(T34="一通",L35,IF(T34="二通",M35,IF(T34="三通",N35,IF(T34="四通",O35,IF(T34="五通",P35,IF(T34="六通",Q35,R35))))))</f>
        <v>、、、、、、</v>
      </c>
      <c r="U35" s="2025"/>
      <c r="V35" s="2025"/>
    </row>
    <row r="36" spans="1:22" ht="18" customHeight="1">
      <c r="A36" s="2128"/>
      <c r="B36" s="2127" t="s">
        <v>1839</v>
      </c>
      <c r="C36" s="2127" t="s">
        <v>1840</v>
      </c>
      <c r="D36" s="2127" t="s">
        <v>1841</v>
      </c>
      <c r="E36" s="2127" t="s">
        <v>1842</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1843</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1844</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6"/>
      <c r="L40" s="2074"/>
      <c r="M40" s="2074"/>
      <c r="N40" s="2075"/>
      <c r="O40" s="2074"/>
      <c r="P40" s="2025"/>
      <c r="Q40" s="2025"/>
      <c r="R40" s="2025"/>
      <c r="S40" s="2025"/>
      <c r="T40" s="2025"/>
      <c r="U40" s="2025"/>
      <c r="V40" s="2025"/>
    </row>
    <row r="41" spans="1:22" ht="18" customHeight="1">
      <c r="A41" s="8" t="s">
        <v>1846</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1847</v>
      </c>
      <c r="B42" s="1791" t="s">
        <v>1848</v>
      </c>
      <c r="C42" s="1791" t="s">
        <v>1849</v>
      </c>
      <c r="D42" s="1791" t="s">
        <v>1850</v>
      </c>
      <c r="E42" s="1791" t="s">
        <v>1851</v>
      </c>
      <c r="F42" s="1791" t="s">
        <v>1852</v>
      </c>
      <c r="G42" s="1791" t="s">
        <v>1853</v>
      </c>
      <c r="H42" s="1791" t="s">
        <v>1854</v>
      </c>
      <c r="I42" s="1791" t="s">
        <v>1855</v>
      </c>
      <c r="J42" s="2143" t="s">
        <v>1856</v>
      </c>
      <c r="K42" s="2066" t="s">
        <v>1857</v>
      </c>
      <c r="L42" s="2066" t="s">
        <v>1858</v>
      </c>
      <c r="M42" s="2066" t="s">
        <v>1859</v>
      </c>
      <c r="N42" s="1791" t="s">
        <v>1860</v>
      </c>
      <c r="O42" s="1791" t="s">
        <v>1861</v>
      </c>
      <c r="P42" s="1791" t="s">
        <v>1862</v>
      </c>
      <c r="Q42" s="2065" t="s">
        <v>1863</v>
      </c>
      <c r="R42" s="2065" t="s">
        <v>1864</v>
      </c>
      <c r="S42" s="2025"/>
      <c r="T42" s="2025"/>
      <c r="U42" s="2025"/>
      <c r="V42" s="2025"/>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customWidth="1"/>
    <col min="11" max="11" width="11" style="2150" customWidth="1"/>
    <col min="12" max="14" width="9.44140625" style="2150" customWidth="1"/>
    <col min="15" max="15" width="9.88671875" style="2150" customWidth="1"/>
    <col min="16" max="16" width="9.77734375" style="2150" customWidth="1"/>
    <col min="17" max="17" width="9.33203125" style="2150" hidden="1" customWidth="1"/>
    <col min="18" max="18" width="9.21875" style="2150" hidden="1" customWidth="1"/>
    <col min="19" max="19" width="10.88671875" style="2150" hidden="1" customWidth="1"/>
    <col min="20" max="21" width="10.77734375" style="2150" hidden="1" customWidth="1"/>
    <col min="22" max="22" width="10.88671875" style="2150" hidden="1" customWidth="1"/>
    <col min="23" max="27" width="10.77734375" style="2150" hidden="1" customWidth="1"/>
    <col min="28" max="28" width="10.88671875" style="2150" hidden="1" customWidth="1"/>
    <col min="29" max="29" width="11" style="2150" bestFit="1" customWidth="1"/>
    <col min="30" max="30" width="10" style="2150" hidden="1" customWidth="1"/>
    <col min="31" max="31" width="9.77734375" style="2150" hidden="1" customWidth="1"/>
    <col min="32" max="37" width="9.44140625" style="2150" hidden="1" customWidth="1"/>
    <col min="38"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1870</v>
      </c>
      <c r="AZ2" s="1267"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v>199387</v>
      </c>
      <c r="B3" s="14">
        <f>IF(C3="否",G5-AT5,G5)</f>
        <v>448562.9899999997</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1874</v>
      </c>
      <c r="B5" s="1799"/>
      <c r="C5" s="1799"/>
      <c r="D5" s="1802"/>
      <c r="E5" s="16" t="s">
        <v>1</v>
      </c>
      <c r="F5" s="16">
        <f>SUM(F13:F587)</f>
        <v>0</v>
      </c>
      <c r="G5" s="16">
        <f>SUM(G13:G587)</f>
        <v>448562.9899999997</v>
      </c>
      <c r="H5" s="16">
        <f t="shared" ref="H5:AT5" si="0">SUM(H13:H656)</f>
        <v>431883.47999999969</v>
      </c>
      <c r="I5" s="16">
        <f t="shared" si="0"/>
        <v>302952.44</v>
      </c>
      <c r="J5" s="16">
        <f t="shared" si="0"/>
        <v>0</v>
      </c>
      <c r="K5" s="16">
        <f t="shared" si="0"/>
        <v>12317.76</v>
      </c>
      <c r="L5" s="16">
        <f t="shared" si="0"/>
        <v>0</v>
      </c>
      <c r="M5" s="16">
        <f t="shared" si="0"/>
        <v>2969.42</v>
      </c>
      <c r="N5" s="16">
        <f t="shared" si="0"/>
        <v>0</v>
      </c>
      <c r="O5" s="16">
        <f t="shared" si="0"/>
        <v>113643.85999999969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16679.509999999998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779.58</v>
      </c>
      <c r="AQ5" s="16">
        <f t="shared" si="0"/>
        <v>0</v>
      </c>
      <c r="AR5" s="16">
        <f t="shared" si="0"/>
        <v>15899.93</v>
      </c>
      <c r="AS5" s="16">
        <f t="shared" si="0"/>
        <v>0</v>
      </c>
      <c r="AT5" s="16">
        <f t="shared" si="0"/>
        <v>0</v>
      </c>
      <c r="AU5" s="1798"/>
      <c r="AV5" s="15" t="s">
        <v>1874</v>
      </c>
      <c r="AW5" s="1799"/>
      <c r="AX5" s="1799"/>
      <c r="AY5" s="17" t="s">
        <v>3</v>
      </c>
      <c r="AZ5" s="18">
        <f t="shared" ref="AZ5:BT5" si="1">SUM(AZ13:AZ656)</f>
        <v>83517</v>
      </c>
      <c r="BA5" s="18">
        <f t="shared" si="1"/>
        <v>66837.490000000005</v>
      </c>
      <c r="BB5" s="18">
        <f t="shared" si="1"/>
        <v>15523.33</v>
      </c>
      <c r="BC5" s="18">
        <f t="shared" si="1"/>
        <v>12317.76</v>
      </c>
      <c r="BD5" s="18">
        <f t="shared" si="1"/>
        <v>2969.42</v>
      </c>
      <c r="BE5" s="18">
        <f t="shared" si="1"/>
        <v>36026.980000000003</v>
      </c>
      <c r="BF5" s="18">
        <f t="shared" si="1"/>
        <v>0</v>
      </c>
      <c r="BG5" s="18">
        <f t="shared" si="1"/>
        <v>0</v>
      </c>
      <c r="BH5" s="18">
        <f t="shared" si="1"/>
        <v>0</v>
      </c>
      <c r="BI5" s="18">
        <f t="shared" si="1"/>
        <v>0</v>
      </c>
      <c r="BJ5" s="18">
        <f t="shared" si="1"/>
        <v>0</v>
      </c>
      <c r="BK5" s="18">
        <f t="shared" si="1"/>
        <v>0</v>
      </c>
      <c r="BL5" s="18">
        <f t="shared" si="1"/>
        <v>16679.509999999998</v>
      </c>
      <c r="BM5" s="18">
        <f t="shared" si="1"/>
        <v>0</v>
      </c>
      <c r="BN5" s="18">
        <f t="shared" si="1"/>
        <v>0</v>
      </c>
      <c r="BO5" s="18">
        <f t="shared" si="1"/>
        <v>0</v>
      </c>
      <c r="BP5" s="18">
        <f t="shared" si="1"/>
        <v>0</v>
      </c>
      <c r="BQ5" s="18">
        <f t="shared" si="1"/>
        <v>0</v>
      </c>
      <c r="BR5" s="18">
        <f t="shared" si="1"/>
        <v>0</v>
      </c>
      <c r="BS5" s="18">
        <f t="shared" si="1"/>
        <v>779.58</v>
      </c>
      <c r="BT5" s="19">
        <f t="shared" si="1"/>
        <v>15899.93</v>
      </c>
    </row>
    <row r="6" spans="1:72" s="2168" customFormat="1" ht="13.2">
      <c r="A6" s="15" t="s">
        <v>1875</v>
      </c>
      <c r="B6" s="2165"/>
      <c r="C6" s="2165"/>
      <c r="D6" s="2166"/>
      <c r="E6" s="16">
        <f>H6+AC6+AT6</f>
        <v>199387</v>
      </c>
      <c r="F6" s="16" t="s">
        <v>1</v>
      </c>
      <c r="G6" s="16" t="s">
        <v>2</v>
      </c>
      <c r="H6" s="20">
        <f>SUMIF(I$12:AB$12,"总值",I6:AB6)</f>
        <v>191972.93</v>
      </c>
      <c r="I6" s="16">
        <f t="shared" ref="I6:AB6" si="2">ROUND($A$3*I5/$B$3,2)</f>
        <v>134662.87</v>
      </c>
      <c r="J6" s="16">
        <f t="shared" si="2"/>
        <v>0</v>
      </c>
      <c r="K6" s="16">
        <f t="shared" si="2"/>
        <v>5475.26</v>
      </c>
      <c r="L6" s="16">
        <f t="shared" si="2"/>
        <v>0</v>
      </c>
      <c r="M6" s="16">
        <f t="shared" si="2"/>
        <v>1319.91</v>
      </c>
      <c r="N6" s="16">
        <f t="shared" si="2"/>
        <v>0</v>
      </c>
      <c r="O6" s="16">
        <f t="shared" si="2"/>
        <v>50514.89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7414.07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346.52</v>
      </c>
      <c r="AQ6" s="16">
        <f t="shared" si="3"/>
        <v>0</v>
      </c>
      <c r="AR6" s="16">
        <f t="shared" si="3"/>
        <v>7067.55</v>
      </c>
      <c r="AS6" s="16">
        <f t="shared" si="3"/>
        <v>0</v>
      </c>
      <c r="AT6" s="20">
        <f>IF(C3="是",ROUND($A$3*AT5/$B$3,2),0)</f>
        <v>0</v>
      </c>
      <c r="AU6" s="2167"/>
      <c r="AV6" s="15" t="s">
        <v>1875</v>
      </c>
      <c r="AW6" s="2165"/>
      <c r="AX6" s="2165"/>
      <c r="AY6" s="21">
        <f>IF(AY3&gt;0,AY3,ROUND($A$3*AZ5/$B$3,2))</f>
        <v>37123.449999999997</v>
      </c>
      <c r="AZ6" s="16" t="s">
        <v>3</v>
      </c>
      <c r="BA6" s="16">
        <f>ROUND($AY$6*BA5/$AZ$5,2)</f>
        <v>29709.38</v>
      </c>
      <c r="BB6" s="16">
        <f>ROUND($AY$6*BB5/$AZ$5,2)</f>
        <v>6900.15</v>
      </c>
      <c r="BC6" s="16">
        <f t="shared" ref="BC6:BH6" si="4">ROUND($AY$6*BC5/$AZ$5,2)</f>
        <v>5475.27</v>
      </c>
      <c r="BD6" s="16">
        <f t="shared" si="4"/>
        <v>1319.91</v>
      </c>
      <c r="BE6" s="16">
        <f t="shared" si="4"/>
        <v>16014.05</v>
      </c>
      <c r="BF6" s="16">
        <f t="shared" si="4"/>
        <v>0</v>
      </c>
      <c r="BG6" s="16">
        <f t="shared" si="4"/>
        <v>0</v>
      </c>
      <c r="BH6" s="16">
        <f t="shared" si="4"/>
        <v>0</v>
      </c>
      <c r="BI6" s="16">
        <f t="shared" ref="BI6:BT6" si="5">ROUND($AY$6*BI5/$AZ$5,2)</f>
        <v>0</v>
      </c>
      <c r="BJ6" s="16">
        <f t="shared" si="5"/>
        <v>0</v>
      </c>
      <c r="BK6" s="16">
        <f t="shared" si="5"/>
        <v>0</v>
      </c>
      <c r="BL6" s="16">
        <f t="shared" si="5"/>
        <v>7414.07</v>
      </c>
      <c r="BM6" s="16">
        <f t="shared" si="5"/>
        <v>0</v>
      </c>
      <c r="BN6" s="16">
        <f t="shared" si="5"/>
        <v>0</v>
      </c>
      <c r="BO6" s="16">
        <f t="shared" si="5"/>
        <v>0</v>
      </c>
      <c r="BP6" s="16">
        <f t="shared" si="5"/>
        <v>0</v>
      </c>
      <c r="BQ6" s="16">
        <f t="shared" si="5"/>
        <v>0</v>
      </c>
      <c r="BR6" s="16">
        <f t="shared" si="5"/>
        <v>0</v>
      </c>
      <c r="BS6" s="16">
        <f t="shared" si="5"/>
        <v>346.52</v>
      </c>
      <c r="BT6" s="22">
        <f t="shared" si="5"/>
        <v>7067.55</v>
      </c>
    </row>
    <row r="7" spans="1:72" s="2158" customFormat="1" ht="25.2">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1883</v>
      </c>
      <c r="AV7" s="23" t="s">
        <v>1884</v>
      </c>
      <c r="AW7" s="2157" t="s">
        <v>1885</v>
      </c>
      <c r="AX7" s="23" t="s">
        <v>1878</v>
      </c>
      <c r="AY7" s="1799"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4"/>
      <c r="K8" s="1814"/>
      <c r="L8" s="1814"/>
      <c r="M8" s="1814"/>
      <c r="N8" s="1814"/>
      <c r="O8" s="1814"/>
      <c r="P8" s="1814"/>
      <c r="Q8" s="1814"/>
      <c r="R8" s="1814"/>
      <c r="S8" s="1814"/>
      <c r="T8" s="1814"/>
      <c r="U8" s="1814"/>
      <c r="V8" s="2177"/>
      <c r="W8" s="1814"/>
      <c r="X8" s="1814"/>
      <c r="Y8" s="1814"/>
      <c r="Z8" s="1814"/>
      <c r="AA8" s="2177"/>
      <c r="AB8" s="2178"/>
      <c r="AC8" s="978" t="s">
        <v>1889</v>
      </c>
      <c r="AD8" s="2179"/>
      <c r="AE8" s="2171"/>
      <c r="AF8" s="1814"/>
      <c r="AG8" s="1814"/>
      <c r="AH8" s="1814"/>
      <c r="AI8" s="1814"/>
      <c r="AJ8" s="1814"/>
      <c r="AK8" s="1814"/>
      <c r="AL8" s="1814"/>
      <c r="AM8" s="1814"/>
      <c r="AN8" s="1814"/>
      <c r="AO8" s="1814"/>
      <c r="AP8" s="1814"/>
      <c r="AQ8" s="1814"/>
      <c r="AR8" s="1814"/>
      <c r="AS8" s="1814"/>
      <c r="AT8" s="1289" t="s">
        <v>1890</v>
      </c>
      <c r="AU8" s="2173" t="s">
        <v>1891</v>
      </c>
      <c r="AV8" s="1289"/>
      <c r="AW8" s="2156"/>
      <c r="AX8" s="1289"/>
      <c r="AY8" s="2157"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0" customFormat="1" ht="13.2">
      <c r="A9" s="2173"/>
      <c r="B9" s="2173"/>
      <c r="C9" s="2173"/>
      <c r="D9" s="2173"/>
      <c r="E9" s="2173"/>
      <c r="F9" s="2173"/>
      <c r="G9" s="1289"/>
      <c r="H9" s="2181" t="s">
        <v>1894</v>
      </c>
      <c r="I9" s="2182" t="s">
        <v>3146</v>
      </c>
      <c r="J9" s="978"/>
      <c r="K9" s="2182" t="s">
        <v>3146</v>
      </c>
      <c r="L9" s="978"/>
      <c r="M9" s="2182" t="s">
        <v>3146</v>
      </c>
      <c r="N9" s="978"/>
      <c r="O9" s="2182" t="s">
        <v>3143</v>
      </c>
      <c r="P9" s="978"/>
      <c r="Q9" s="2182"/>
      <c r="R9" s="978"/>
      <c r="S9" s="2182"/>
      <c r="T9" s="978"/>
      <c r="U9" s="2182"/>
      <c r="V9" s="978"/>
      <c r="W9" s="2182"/>
      <c r="X9" s="2183"/>
      <c r="Y9" s="2182"/>
      <c r="Z9" s="978"/>
      <c r="AA9" s="2182"/>
      <c r="AB9" s="978"/>
      <c r="AC9" s="2174"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4"/>
      <c r="AT9" s="2173"/>
      <c r="AU9" s="2173" t="s">
        <v>1897</v>
      </c>
      <c r="AV9" s="1289"/>
      <c r="AW9" s="2156"/>
      <c r="AX9" s="1289"/>
      <c r="AY9" s="28"/>
      <c r="AZ9" s="28" t="s">
        <v>1887</v>
      </c>
      <c r="BA9" s="2185" t="s">
        <v>1898</v>
      </c>
      <c r="BB9" s="2186"/>
      <c r="BC9" s="1335"/>
      <c r="BD9" s="1335"/>
      <c r="BE9" s="1335"/>
      <c r="BF9" s="1335"/>
      <c r="BG9" s="1335"/>
      <c r="BH9" s="1335"/>
      <c r="BI9" s="1335"/>
      <c r="BJ9" s="1335"/>
      <c r="BK9" s="2187"/>
      <c r="BL9" s="15" t="s">
        <v>1899</v>
      </c>
      <c r="BM9" s="1814"/>
      <c r="BN9" s="2176"/>
      <c r="BO9" s="1814"/>
      <c r="BP9" s="1814"/>
      <c r="BQ9" s="1814"/>
      <c r="BR9" s="1814"/>
      <c r="BS9" s="1814"/>
      <c r="BT9" s="26"/>
    </row>
    <row r="10" spans="1:72" s="2180" customFormat="1" ht="13.2">
      <c r="A10" s="2173"/>
      <c r="B10" s="2173"/>
      <c r="C10" s="2173"/>
      <c r="D10" s="2173"/>
      <c r="E10" s="2173"/>
      <c r="F10" s="2173"/>
      <c r="G10" s="1289"/>
      <c r="H10" s="28"/>
      <c r="I10" s="2182" t="s">
        <v>3089</v>
      </c>
      <c r="J10" s="978"/>
      <c r="K10" s="2182" t="s">
        <v>3089</v>
      </c>
      <c r="L10" s="978"/>
      <c r="M10" s="2188" t="s">
        <v>1373</v>
      </c>
      <c r="N10" s="978"/>
      <c r="O10" s="2188" t="s">
        <v>3165</v>
      </c>
      <c r="P10" s="978"/>
      <c r="Q10" s="2188"/>
      <c r="R10" s="978"/>
      <c r="S10" s="2188"/>
      <c r="T10" s="978"/>
      <c r="U10" s="2188"/>
      <c r="V10" s="978"/>
      <c r="W10" s="2188"/>
      <c r="X10" s="978"/>
      <c r="Y10" s="2188"/>
      <c r="Z10" s="978"/>
      <c r="AA10" s="2188"/>
      <c r="AB10" s="978"/>
      <c r="AC10" s="1289"/>
      <c r="AD10" s="15" t="s">
        <v>1900</v>
      </c>
      <c r="AE10" s="2189"/>
      <c r="AF10" s="15" t="s">
        <v>1900</v>
      </c>
      <c r="AG10" s="2189"/>
      <c r="AH10" s="15" t="s">
        <v>1901</v>
      </c>
      <c r="AI10" s="2189"/>
      <c r="AJ10" s="15" t="s">
        <v>1901</v>
      </c>
      <c r="AK10" s="2189"/>
      <c r="AL10" s="15" t="s">
        <v>1902</v>
      </c>
      <c r="AM10" s="1295"/>
      <c r="AN10" s="15" t="s">
        <v>1902</v>
      </c>
      <c r="AO10" s="1295"/>
      <c r="AP10" s="15" t="s">
        <v>1903</v>
      </c>
      <c r="AQ10" s="1295"/>
      <c r="AR10" s="15" t="s">
        <v>1903</v>
      </c>
      <c r="AS10" s="1295"/>
      <c r="AT10" s="2173"/>
      <c r="AU10" s="2173"/>
      <c r="AV10" s="1289"/>
      <c r="AW10" s="2156"/>
      <c r="AX10" s="1289"/>
      <c r="AY10" s="28"/>
      <c r="AZ10" s="28"/>
      <c r="BA10" s="2190" t="s">
        <v>1894</v>
      </c>
      <c r="BB10" s="2191"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2" t="str">
        <f>AR9</f>
        <v>地下</v>
      </c>
    </row>
    <row r="11" spans="1:72" s="2180" customFormat="1" ht="13.2">
      <c r="A11" s="2173"/>
      <c r="B11" s="2173"/>
      <c r="C11" s="2173"/>
      <c r="D11" s="2173"/>
      <c r="E11" s="2173"/>
      <c r="F11" s="2173"/>
      <c r="G11" s="1289"/>
      <c r="H11" s="2190"/>
      <c r="I11" s="2193" t="s">
        <v>3147</v>
      </c>
      <c r="J11" s="2194"/>
      <c r="K11" s="2193" t="s">
        <v>3148</v>
      </c>
      <c r="L11" s="2194"/>
      <c r="M11" s="2193"/>
      <c r="N11" s="2194"/>
      <c r="O11" s="2193"/>
      <c r="P11" s="2194"/>
      <c r="Q11" s="2193"/>
      <c r="R11" s="2194"/>
      <c r="S11" s="2193"/>
      <c r="T11" s="2194"/>
      <c r="U11" s="2193"/>
      <c r="V11" s="2194"/>
      <c r="W11" s="2193"/>
      <c r="X11" s="2194"/>
      <c r="Y11" s="2193"/>
      <c r="Z11" s="2194"/>
      <c r="AA11" s="2193"/>
      <c r="AB11" s="2194"/>
      <c r="AC11" s="1289"/>
      <c r="AD11" s="2195" t="s">
        <v>1904</v>
      </c>
      <c r="AE11" s="1815"/>
      <c r="AF11" s="2195" t="s">
        <v>1904</v>
      </c>
      <c r="AG11" s="1815"/>
      <c r="AH11" s="2195" t="s">
        <v>1905</v>
      </c>
      <c r="AI11" s="2196"/>
      <c r="AJ11" s="2195" t="s">
        <v>1905</v>
      </c>
      <c r="AK11" s="1815"/>
      <c r="AL11" s="1813"/>
      <c r="AM11" s="1815"/>
      <c r="AN11" s="1813"/>
      <c r="AO11" s="1815"/>
      <c r="AP11" s="1813"/>
      <c r="AQ11" s="1815"/>
      <c r="AR11" s="1813"/>
      <c r="AS11" s="1815"/>
      <c r="AT11" s="2156"/>
      <c r="AU11" s="2173"/>
      <c r="AV11" s="1289"/>
      <c r="AW11" s="2156"/>
      <c r="AX11" s="1289"/>
      <c r="AY11" s="28"/>
      <c r="AZ11" s="28"/>
      <c r="BA11" s="28"/>
      <c r="BB11" s="2178" t="str">
        <f>I10</f>
        <v>住宅</v>
      </c>
      <c r="BC11" s="2178" t="str">
        <f>K10</f>
        <v>住宅</v>
      </c>
      <c r="BD11" s="2178" t="str">
        <f>M10</f>
        <v>商业</v>
      </c>
      <c r="BE11" s="2178" t="str">
        <f>O10</f>
        <v>车库</v>
      </c>
      <c r="BF11" s="2178">
        <f>Q10</f>
        <v>0</v>
      </c>
      <c r="BG11" s="2178">
        <f>S10</f>
        <v>0</v>
      </c>
      <c r="BH11" s="2178">
        <f>U10</f>
        <v>0</v>
      </c>
      <c r="BI11" s="2178">
        <f>W10</f>
        <v>0</v>
      </c>
      <c r="BJ11" s="2178">
        <f>Y10</f>
        <v>0</v>
      </c>
      <c r="BK11" s="2178">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0"/>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联排</v>
      </c>
      <c r="BC12" s="2203" t="str">
        <f>K11</f>
        <v>双拼</v>
      </c>
      <c r="BD12" s="2203">
        <f>M11</f>
        <v>0</v>
      </c>
      <c r="BE12" s="2178">
        <f>O11</f>
        <v>0</v>
      </c>
      <c r="BF12" s="2178">
        <f>Q11</f>
        <v>0</v>
      </c>
      <c r="BG12" s="2178">
        <f>S11</f>
        <v>0</v>
      </c>
      <c r="BH12" s="2178">
        <f>U11</f>
        <v>0</v>
      </c>
      <c r="BI12" s="2178">
        <f>W11</f>
        <v>0</v>
      </c>
      <c r="BJ12" s="2178">
        <f>Y11</f>
        <v>0</v>
      </c>
      <c r="BK12" s="2178">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7">
        <f>AR11</f>
        <v>0</v>
      </c>
    </row>
    <row r="13" spans="1:72" s="2158" customFormat="1" ht="66">
      <c r="A13" s="1269"/>
      <c r="B13" s="3046" t="s">
        <v>3166</v>
      </c>
      <c r="C13" s="3046" t="s">
        <v>3175</v>
      </c>
      <c r="D13" s="2204" t="s">
        <v>3167</v>
      </c>
      <c r="E13" s="16">
        <f>IF($C$3="是",ROUND($A$3*G13/$B$3,2),ROUND($A$3*(G13-AT13)/$B$3,2))</f>
        <v>18196.23</v>
      </c>
      <c r="F13" s="32"/>
      <c r="G13" s="33">
        <f>H13+AC13+AT13</f>
        <v>40936.240000000005</v>
      </c>
      <c r="H13" s="20">
        <f>SUMIF(I$12:AB$12,"总值",I13:AB13)</f>
        <v>38770.810000000005</v>
      </c>
      <c r="I13" s="2205">
        <f>ROUND(面积表!L35+面积表!L36,2)</f>
        <v>2230.59</v>
      </c>
      <c r="J13" s="2205"/>
      <c r="K13" s="2205">
        <f>ROUND(面积表!L26,2)</f>
        <v>513.24</v>
      </c>
      <c r="L13" s="2205"/>
      <c r="M13" s="2205"/>
      <c r="N13" s="2205"/>
      <c r="O13" s="2205">
        <f>ROUND(面积表!L44,2)</f>
        <v>36026.980000000003</v>
      </c>
      <c r="P13" s="2205"/>
      <c r="Q13" s="2205"/>
      <c r="R13" s="2205"/>
      <c r="S13" s="2205"/>
      <c r="T13" s="2205"/>
      <c r="U13" s="2205"/>
      <c r="V13" s="2205"/>
      <c r="W13" s="2205"/>
      <c r="X13" s="2205"/>
      <c r="Y13" s="2205"/>
      <c r="Z13" s="2205"/>
      <c r="AA13" s="2205"/>
      <c r="AB13" s="2205"/>
      <c r="AC13" s="16">
        <f>SUMIF(AD$12:AS$12,"总值",AD13:AS13)</f>
        <v>2165.4299999999998</v>
      </c>
      <c r="AD13" s="2206"/>
      <c r="AE13" s="2206"/>
      <c r="AF13" s="2206"/>
      <c r="AG13" s="2206"/>
      <c r="AH13" s="2206"/>
      <c r="AI13" s="2206"/>
      <c r="AJ13" s="2206"/>
      <c r="AK13" s="2206"/>
      <c r="AL13" s="2206"/>
      <c r="AM13" s="2206"/>
      <c r="AN13" s="2206"/>
      <c r="AO13" s="2206"/>
      <c r="AP13" s="2206">
        <f>ROUND(面积表!AB43,2)</f>
        <v>779.58</v>
      </c>
      <c r="AQ13" s="2206"/>
      <c r="AR13" s="2206">
        <f>ROUND(面积表!Y26+面积表!Y35+面积表!Y36,2)</f>
        <v>1385.85</v>
      </c>
      <c r="AS13" s="2206"/>
      <c r="AT13" s="2207"/>
      <c r="AU13" s="2208"/>
      <c r="AV13" s="11">
        <f t="shared" ref="AV13:AX17" si="6">A13</f>
        <v>0</v>
      </c>
      <c r="AW13" s="11" t="str">
        <f t="shared" si="6"/>
        <v>面积表-可售面积（同测绘）/地下-测绘</v>
      </c>
      <c r="AX13" s="11" t="str">
        <f t="shared" si="6"/>
        <v>已建部分</v>
      </c>
      <c r="AY13" s="1802">
        <f>ROUND($AY$6*AZ13/$AZ$5,2)</f>
        <v>18196.23</v>
      </c>
      <c r="AZ13" s="16">
        <f>BA13+BL13</f>
        <v>40936.240000000005</v>
      </c>
      <c r="BA13" s="16">
        <f>SUM(BB13:BK13)</f>
        <v>38770.810000000005</v>
      </c>
      <c r="BB13" s="16">
        <f>IF($D13="是",I13-J13,0)</f>
        <v>2230.59</v>
      </c>
      <c r="BC13" s="16">
        <f>IF($D13="是",K13-L13,0)</f>
        <v>513.24</v>
      </c>
      <c r="BD13" s="16">
        <f>IF($D13="是",M13-N13,0)</f>
        <v>0</v>
      </c>
      <c r="BE13" s="16">
        <f>IF($D13="是",O13-P13,0)</f>
        <v>36026.980000000003</v>
      </c>
      <c r="BF13" s="16">
        <f>IF($D13="是",Q13-R13,0)</f>
        <v>0</v>
      </c>
      <c r="BG13" s="16">
        <f>IF($D13="是",S13-T13,0)</f>
        <v>0</v>
      </c>
      <c r="BH13" s="16">
        <f>IF($D13="是",U13-V13,0)</f>
        <v>0</v>
      </c>
      <c r="BI13" s="16">
        <f>IF($D13="是",W13-X13,0)</f>
        <v>0</v>
      </c>
      <c r="BJ13" s="16">
        <f>IF($D13="是",Y13-Z13,0)</f>
        <v>0</v>
      </c>
      <c r="BK13" s="16">
        <f>IF($D13="是",AA13-AB13,0)</f>
        <v>0</v>
      </c>
      <c r="BL13" s="16">
        <f>SUM(BM13:BT13)</f>
        <v>2165.4299999999998</v>
      </c>
      <c r="BM13" s="16">
        <f>IF($D13="是",AD13-AE13,0)</f>
        <v>0</v>
      </c>
      <c r="BN13" s="16">
        <f>IF($D13="是",AF13-AG13,0)</f>
        <v>0</v>
      </c>
      <c r="BO13" s="16">
        <f>IF($D13="是",AH13-AI13,0)</f>
        <v>0</v>
      </c>
      <c r="BP13" s="16">
        <f>IF($D13="是",AJ13-AK13,0)</f>
        <v>0</v>
      </c>
      <c r="BQ13" s="16">
        <f>IF($D13="是",AL13-AM13,0)</f>
        <v>0</v>
      </c>
      <c r="BR13" s="16">
        <f>IF($D13="是",AN13-AO13,0)</f>
        <v>0</v>
      </c>
      <c r="BS13" s="16">
        <f>IF($D13="是",AP13-AQ13,0)</f>
        <v>779.58</v>
      </c>
      <c r="BT13" s="22">
        <f>IF($D13="是",AR13-AS13,0)</f>
        <v>1385.85</v>
      </c>
    </row>
    <row r="14" spans="1:72" s="2158" customFormat="1" ht="13.2">
      <c r="A14" s="1269"/>
      <c r="B14" s="3046"/>
      <c r="C14" s="3046" t="s">
        <v>3176</v>
      </c>
      <c r="D14" s="2204" t="s">
        <v>3167</v>
      </c>
      <c r="E14" s="16">
        <f>IF($C$3="是",ROUND($A$3*G14/$B$3,2),ROUND($A$3*(G14-AT14)/$B$3,2))</f>
        <v>18927.22</v>
      </c>
      <c r="F14" s="32"/>
      <c r="G14" s="33">
        <f>H14+AC14+AT14</f>
        <v>42580.76</v>
      </c>
      <c r="H14" s="20">
        <f>SUMIF(I$12:AB$12,"总值",I14:AB14)</f>
        <v>28066.68</v>
      </c>
      <c r="I14" s="2205">
        <f>ROUND(SUM(面积表!L4:L11)+SUM(面积表!L35:L40)+面积表!L42-I13,2)</f>
        <v>13292.74</v>
      </c>
      <c r="J14" s="2205"/>
      <c r="K14" s="2205">
        <f>ROUND(SUM(面积表!L12:L34)+面积表!L41-K13,2)</f>
        <v>11804.52</v>
      </c>
      <c r="L14" s="2205"/>
      <c r="M14" s="2205">
        <f>ROUND(面积表!Z43+面积表!AA43,2)</f>
        <v>2969.42</v>
      </c>
      <c r="N14" s="2205"/>
      <c r="O14" s="2205"/>
      <c r="P14" s="2205"/>
      <c r="Q14" s="2205"/>
      <c r="R14" s="2205"/>
      <c r="S14" s="2205"/>
      <c r="T14" s="2205"/>
      <c r="U14" s="2205"/>
      <c r="V14" s="2205"/>
      <c r="W14" s="2205"/>
      <c r="X14" s="2205"/>
      <c r="Y14" s="2205"/>
      <c r="Z14" s="2205"/>
      <c r="AA14" s="2205"/>
      <c r="AB14" s="2205"/>
      <c r="AC14" s="16">
        <f>SUMIF(AD$12:AS$12,"总值",AD14:AS14)</f>
        <v>14514.08</v>
      </c>
      <c r="AD14" s="2206"/>
      <c r="AE14" s="2206"/>
      <c r="AF14" s="2206"/>
      <c r="AG14" s="2206"/>
      <c r="AH14" s="2206"/>
      <c r="AI14" s="2206"/>
      <c r="AJ14" s="2206"/>
      <c r="AK14" s="2206"/>
      <c r="AL14" s="2206"/>
      <c r="AM14" s="2206"/>
      <c r="AN14" s="2206"/>
      <c r="AO14" s="2206"/>
      <c r="AP14" s="2206"/>
      <c r="AQ14" s="2206"/>
      <c r="AR14" s="2206">
        <f>ROUND(SUM(面积表!Y4:Y43)-AR13,2)</f>
        <v>14514.08</v>
      </c>
      <c r="AS14" s="2206"/>
      <c r="AT14" s="2207"/>
      <c r="AU14" s="2208"/>
      <c r="AV14" s="11">
        <f t="shared" si="6"/>
        <v>0</v>
      </c>
      <c r="AW14" s="11">
        <f t="shared" si="6"/>
        <v>0</v>
      </c>
      <c r="AX14" s="11" t="str">
        <f t="shared" si="6"/>
        <v>未建部分</v>
      </c>
      <c r="AY14" s="1802">
        <f>ROUND($AY$6*AZ14/$AZ$5,2)</f>
        <v>18927.22</v>
      </c>
      <c r="AZ14" s="16">
        <f>BA14+BL14</f>
        <v>42580.76</v>
      </c>
      <c r="BA14" s="16">
        <f>SUM(BB14:BK14)</f>
        <v>28066.68</v>
      </c>
      <c r="BB14" s="16">
        <f>IF($D14="是",I14-J14,0)</f>
        <v>13292.74</v>
      </c>
      <c r="BC14" s="16">
        <f>IF($D14="是",K14-L14,0)</f>
        <v>11804.52</v>
      </c>
      <c r="BD14" s="16">
        <f>IF($D14="是",M14-N14,0)</f>
        <v>2969.42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14514.08</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14514.08</v>
      </c>
    </row>
    <row r="15" spans="1:72" s="2158" customFormat="1" ht="52.8">
      <c r="A15" s="1269"/>
      <c r="B15" s="2963" t="s">
        <v>3177</v>
      </c>
      <c r="C15" s="2144"/>
      <c r="D15" s="2204" t="s">
        <v>3168</v>
      </c>
      <c r="E15" s="16">
        <f>IF($C$3="是",ROUND($A$3*G15/$B$3,2),ROUND($A$3*(G15-AT15)/$B$3,2))</f>
        <v>162263.54999999999</v>
      </c>
      <c r="F15" s="32"/>
      <c r="G15" s="33">
        <f>H15+AC15+AT15</f>
        <v>365045.9899999997</v>
      </c>
      <c r="H15" s="20">
        <f>SUMIF(I$12:AB$12,"总值",I15:AB15)</f>
        <v>365045.9899999997</v>
      </c>
      <c r="I15" s="2205">
        <f>ROUND(A3*1.6-I13-K13-M13-AP13-I14-K14-M14,2)</f>
        <v>287429.11</v>
      </c>
      <c r="J15" s="2205"/>
      <c r="K15" s="2205"/>
      <c r="L15" s="2205"/>
      <c r="M15" s="2205"/>
      <c r="N15" s="2205"/>
      <c r="O15" s="2205">
        <f>地下室面积!E1227+12616.66+18358.24+18637.44-O13-AR13-AR14</f>
        <v>77616.879999999699</v>
      </c>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t="str">
        <f t="shared" si="6"/>
        <v>地下面积依据测绘全部地下面积</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69"/>
      <c r="B16" s="1269"/>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46.8">
      <c r="A3" s="3165"/>
      <c r="B3" s="3165"/>
      <c r="C3" s="3165"/>
      <c r="D3" s="3166"/>
      <c r="E3" s="316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C55"/>
  <sheetViews>
    <sheetView zoomScaleNormal="100" workbookViewId="0">
      <pane xSplit="3" ySplit="4" topLeftCell="J30" activePane="bottomRight" state="frozen"/>
      <selection activeCell="I43" sqref="I43"/>
      <selection pane="topRight" activeCell="I43" sqref="I43"/>
      <selection pane="bottomLeft" activeCell="I43" sqref="I43"/>
      <selection pane="bottomRight" activeCell="Z43" sqref="Z43:AA43"/>
    </sheetView>
  </sheetViews>
  <sheetFormatPr defaultRowHeight="15.6"/>
  <cols>
    <col min="2" max="2" width="20.109375" customWidth="1"/>
    <col min="3" max="3" width="23.6640625" customWidth="1"/>
    <col min="4" max="4" width="17.6640625" bestFit="1" customWidth="1"/>
    <col min="5" max="5" width="14.33203125" bestFit="1" customWidth="1"/>
    <col min="6" max="6" width="12.88671875" bestFit="1" customWidth="1"/>
    <col min="12" max="12" width="10" bestFit="1" customWidth="1"/>
    <col min="16" max="16" width="7" bestFit="1" customWidth="1"/>
    <col min="25" max="25" width="9" style="3014"/>
    <col min="26" max="27" width="9.44140625" bestFit="1" customWidth="1"/>
    <col min="29" max="29" width="9" style="3014"/>
  </cols>
  <sheetData>
    <row r="1" spans="1:29" ht="18" thickBot="1">
      <c r="A1" s="2956"/>
      <c r="B1" s="3167" t="s">
        <v>3063</v>
      </c>
      <c r="C1" s="3168"/>
      <c r="D1" s="3168"/>
      <c r="E1" s="3168"/>
      <c r="F1" s="3168"/>
      <c r="G1" s="3168"/>
      <c r="H1" s="3168"/>
      <c r="I1" s="3168"/>
      <c r="J1" s="3168"/>
      <c r="K1" s="3168"/>
      <c r="L1" s="3168"/>
      <c r="M1" s="3168"/>
      <c r="N1" s="3168"/>
      <c r="O1" s="3168"/>
      <c r="P1" s="3169"/>
      <c r="Q1" s="2956"/>
      <c r="R1" s="2956"/>
      <c r="S1" s="2956"/>
      <c r="T1" s="2956"/>
      <c r="U1" s="2956"/>
      <c r="V1" s="2956"/>
      <c r="W1" s="2956"/>
    </row>
    <row r="2" spans="1:29" ht="46.8">
      <c r="A2" s="2983" t="s">
        <v>3064</v>
      </c>
      <c r="B2" s="2984" t="s">
        <v>3065</v>
      </c>
      <c r="C2" s="2957" t="s">
        <v>3066</v>
      </c>
      <c r="D2" s="2957" t="s">
        <v>3067</v>
      </c>
      <c r="E2" s="2957" t="s">
        <v>3068</v>
      </c>
      <c r="F2" s="2957" t="s">
        <v>3069</v>
      </c>
      <c r="G2" s="2957" t="s">
        <v>3070</v>
      </c>
      <c r="H2" s="2957" t="s">
        <v>3071</v>
      </c>
      <c r="I2" s="2958" t="s">
        <v>3072</v>
      </c>
      <c r="J2" s="2957" t="s">
        <v>3073</v>
      </c>
      <c r="K2" s="2957" t="s">
        <v>3074</v>
      </c>
      <c r="L2" s="2964" t="s">
        <v>3075</v>
      </c>
      <c r="M2" s="2958" t="s">
        <v>3076</v>
      </c>
      <c r="N2" s="2958" t="s">
        <v>3077</v>
      </c>
      <c r="O2" s="2958" t="s">
        <v>3078</v>
      </c>
      <c r="P2" s="2985" t="s">
        <v>3079</v>
      </c>
      <c r="Q2" s="3170" t="s">
        <v>3080</v>
      </c>
      <c r="R2" s="3170"/>
      <c r="S2" s="3170"/>
      <c r="T2" s="3170"/>
      <c r="U2" s="3170"/>
      <c r="V2" s="3170"/>
      <c r="W2" s="3171"/>
      <c r="X2" s="3172" t="s">
        <v>3161</v>
      </c>
      <c r="Y2" s="3173"/>
      <c r="Z2" s="3173"/>
      <c r="AA2" s="3173"/>
      <c r="AB2" s="3174"/>
      <c r="AC2" s="3040" t="s">
        <v>3164</v>
      </c>
    </row>
    <row r="3" spans="1:29" ht="62.4">
      <c r="A3" s="2959"/>
      <c r="B3" s="2984"/>
      <c r="C3" s="2957"/>
      <c r="D3" s="2957"/>
      <c r="E3" s="2957"/>
      <c r="F3" s="2957"/>
      <c r="G3" s="2957"/>
      <c r="H3" s="2957"/>
      <c r="I3" s="2958"/>
      <c r="J3" s="2957"/>
      <c r="K3" s="2957"/>
      <c r="L3" s="2964"/>
      <c r="M3" s="2958"/>
      <c r="N3" s="2958"/>
      <c r="O3" s="2958"/>
      <c r="P3" s="2985"/>
      <c r="Q3" s="2966" t="s">
        <v>3081</v>
      </c>
      <c r="R3" s="2966" t="s">
        <v>3082</v>
      </c>
      <c r="S3" s="2966" t="s">
        <v>3083</v>
      </c>
      <c r="T3" s="2966" t="s">
        <v>3084</v>
      </c>
      <c r="U3" s="2966" t="s">
        <v>3085</v>
      </c>
      <c r="V3" s="2966" t="s">
        <v>3086</v>
      </c>
      <c r="W3" s="2967" t="s">
        <v>3087</v>
      </c>
      <c r="X3" s="3021" t="s">
        <v>3150</v>
      </c>
      <c r="Y3" s="3037" t="s">
        <v>3149</v>
      </c>
      <c r="Z3" s="3013" t="s">
        <v>3151</v>
      </c>
      <c r="AA3" s="3013" t="s">
        <v>3152</v>
      </c>
      <c r="AB3" s="3022" t="s">
        <v>3153</v>
      </c>
      <c r="AC3" s="3041"/>
    </row>
    <row r="4" spans="1:29">
      <c r="A4" s="2960" t="s">
        <v>3088</v>
      </c>
      <c r="B4" s="2986" t="s">
        <v>3089</v>
      </c>
      <c r="C4" s="2987" t="s">
        <v>3090</v>
      </c>
      <c r="D4" s="2987" t="s">
        <v>3091</v>
      </c>
      <c r="E4" s="2987" t="s">
        <v>3092</v>
      </c>
      <c r="F4" s="2987">
        <v>19300</v>
      </c>
      <c r="G4" s="2988">
        <v>2478.2357999999999</v>
      </c>
      <c r="H4" s="2988" t="s">
        <v>3093</v>
      </c>
      <c r="I4" s="2989">
        <v>1281.33</v>
      </c>
      <c r="J4" s="2989">
        <v>1284.19</v>
      </c>
      <c r="K4" s="2989">
        <v>659.37339999999995</v>
      </c>
      <c r="L4" s="2990">
        <v>1284.06</v>
      </c>
      <c r="M4" s="2991">
        <v>7</v>
      </c>
      <c r="N4" s="2991"/>
      <c r="O4" s="2989">
        <v>0</v>
      </c>
      <c r="P4" s="2992">
        <v>4</v>
      </c>
      <c r="Q4" s="2968">
        <v>1281.33</v>
      </c>
      <c r="R4" s="2968">
        <v>2.86</v>
      </c>
      <c r="S4" s="2969" t="s">
        <v>3094</v>
      </c>
      <c r="T4" s="2970"/>
      <c r="U4" s="2970"/>
      <c r="V4" s="2970"/>
      <c r="W4" s="2971"/>
      <c r="X4" s="3023"/>
      <c r="Y4" s="3038">
        <f>SUM(地下室面积!E830:E836)</f>
        <v>631.5</v>
      </c>
      <c r="Z4" s="3025"/>
      <c r="AA4" s="3025"/>
      <c r="AB4" s="3026"/>
      <c r="AC4" s="3041" t="s">
        <v>3162</v>
      </c>
    </row>
    <row r="5" spans="1:29">
      <c r="A5" s="2960" t="s">
        <v>3088</v>
      </c>
      <c r="B5" s="2986" t="s">
        <v>3089</v>
      </c>
      <c r="C5" s="2987" t="s">
        <v>3095</v>
      </c>
      <c r="D5" s="2987" t="s">
        <v>3091</v>
      </c>
      <c r="E5" s="2987" t="s">
        <v>3092</v>
      </c>
      <c r="F5" s="2987">
        <v>19300</v>
      </c>
      <c r="G5" s="2988">
        <v>2478.2357999999999</v>
      </c>
      <c r="H5" s="2988" t="s">
        <v>3093</v>
      </c>
      <c r="I5" s="2989">
        <v>1281.33</v>
      </c>
      <c r="J5" s="2989">
        <v>1284.19</v>
      </c>
      <c r="K5" s="2989">
        <v>659.37339999999995</v>
      </c>
      <c r="L5" s="2990">
        <v>1284.06</v>
      </c>
      <c r="M5" s="2991">
        <v>7</v>
      </c>
      <c r="N5" s="2991"/>
      <c r="O5" s="2989">
        <v>0</v>
      </c>
      <c r="P5" s="2992">
        <v>4</v>
      </c>
      <c r="Q5" s="2968">
        <v>1281.33</v>
      </c>
      <c r="R5" s="2968">
        <v>2.86</v>
      </c>
      <c r="S5" s="2969" t="s">
        <v>3094</v>
      </c>
      <c r="T5" s="2970"/>
      <c r="U5" s="2970"/>
      <c r="V5" s="2970"/>
      <c r="W5" s="2971"/>
      <c r="X5" s="3023"/>
      <c r="Y5" s="3038">
        <f>SUM(地下室面积!E837:E843)</f>
        <v>631.06999999999994</v>
      </c>
      <c r="Z5" s="3025"/>
      <c r="AA5" s="3025"/>
      <c r="AB5" s="3026"/>
      <c r="AC5" s="3041" t="s">
        <v>3162</v>
      </c>
    </row>
    <row r="6" spans="1:29">
      <c r="A6" s="2960" t="s">
        <v>3088</v>
      </c>
      <c r="B6" s="2986" t="s">
        <v>3089</v>
      </c>
      <c r="C6" s="2987" t="s">
        <v>3096</v>
      </c>
      <c r="D6" s="2987" t="s">
        <v>3091</v>
      </c>
      <c r="E6" s="2987" t="s">
        <v>3092</v>
      </c>
      <c r="F6" s="2987">
        <v>19300</v>
      </c>
      <c r="G6" s="2988">
        <v>1805.5593900000001</v>
      </c>
      <c r="H6" s="2988" t="s">
        <v>3093</v>
      </c>
      <c r="I6" s="2989">
        <v>934.45</v>
      </c>
      <c r="J6" s="2989">
        <v>934.45</v>
      </c>
      <c r="K6" s="2989">
        <v>480.86869999999999</v>
      </c>
      <c r="L6" s="2990">
        <v>934.78</v>
      </c>
      <c r="M6" s="2991">
        <v>5</v>
      </c>
      <c r="N6" s="2991"/>
      <c r="O6" s="2989">
        <v>0</v>
      </c>
      <c r="P6" s="2992">
        <v>4</v>
      </c>
      <c r="Q6" s="2968">
        <v>934.45</v>
      </c>
      <c r="R6" s="2968"/>
      <c r="S6" s="2969" t="s">
        <v>3094</v>
      </c>
      <c r="T6" s="2970"/>
      <c r="U6" s="2970"/>
      <c r="V6" s="2970"/>
      <c r="W6" s="2971"/>
      <c r="X6" s="3023"/>
      <c r="Y6" s="3038">
        <f>SUM(地下室面积!E844:E848)</f>
        <v>471.52000000000004</v>
      </c>
      <c r="Z6" s="3025"/>
      <c r="AA6" s="3025"/>
      <c r="AB6" s="3026"/>
      <c r="AC6" s="3041" t="s">
        <v>3162</v>
      </c>
    </row>
    <row r="7" spans="1:29">
      <c r="A7" s="2960" t="s">
        <v>3088</v>
      </c>
      <c r="B7" s="2986" t="s">
        <v>3089</v>
      </c>
      <c r="C7" s="2987" t="s">
        <v>3097</v>
      </c>
      <c r="D7" s="2987" t="s">
        <v>3091</v>
      </c>
      <c r="E7" s="2987" t="s">
        <v>3092</v>
      </c>
      <c r="F7" s="2987">
        <v>19300</v>
      </c>
      <c r="G7" s="2988">
        <v>1826.8028999999999</v>
      </c>
      <c r="H7" s="2988" t="s">
        <v>3093</v>
      </c>
      <c r="I7" s="2989">
        <v>946.54</v>
      </c>
      <c r="J7" s="2989">
        <v>946.54</v>
      </c>
      <c r="K7" s="2989">
        <v>487.09019999999998</v>
      </c>
      <c r="L7" s="2990">
        <v>946.53</v>
      </c>
      <c r="M7" s="2991">
        <v>5</v>
      </c>
      <c r="N7" s="2991"/>
      <c r="O7" s="2989">
        <v>0</v>
      </c>
      <c r="P7" s="2992">
        <v>4</v>
      </c>
      <c r="Q7" s="2968">
        <v>946.54</v>
      </c>
      <c r="R7" s="2968"/>
      <c r="S7" s="2969" t="s">
        <v>3094</v>
      </c>
      <c r="T7" s="2970"/>
      <c r="U7" s="2970"/>
      <c r="V7" s="2970"/>
      <c r="W7" s="2971"/>
      <c r="X7" s="3023"/>
      <c r="Y7" s="3038">
        <f>SUM(地下室面积!E849:E853)</f>
        <v>478.6</v>
      </c>
      <c r="Z7" s="3025"/>
      <c r="AA7" s="3025"/>
      <c r="AB7" s="3026"/>
      <c r="AC7" s="3041" t="s">
        <v>3162</v>
      </c>
    </row>
    <row r="8" spans="1:29">
      <c r="A8" s="2960" t="s">
        <v>3088</v>
      </c>
      <c r="B8" s="2986" t="s">
        <v>3089</v>
      </c>
      <c r="C8" s="2987" t="s">
        <v>3098</v>
      </c>
      <c r="D8" s="2987" t="s">
        <v>3091</v>
      </c>
      <c r="E8" s="2987" t="s">
        <v>3092</v>
      </c>
      <c r="F8" s="2987">
        <v>19300</v>
      </c>
      <c r="G8" s="2988">
        <v>1826.8028999999999</v>
      </c>
      <c r="H8" s="2988" t="s">
        <v>3093</v>
      </c>
      <c r="I8" s="2989">
        <v>946.54</v>
      </c>
      <c r="J8" s="2989">
        <v>946.54</v>
      </c>
      <c r="K8" s="2989">
        <v>487.09019999999998</v>
      </c>
      <c r="L8" s="2990">
        <v>946.53</v>
      </c>
      <c r="M8" s="2991">
        <v>5</v>
      </c>
      <c r="N8" s="2991"/>
      <c r="O8" s="2989">
        <v>0</v>
      </c>
      <c r="P8" s="2992">
        <v>4</v>
      </c>
      <c r="Q8" s="2968">
        <v>946.54</v>
      </c>
      <c r="R8" s="2968"/>
      <c r="S8" s="2969" t="s">
        <v>3094</v>
      </c>
      <c r="T8" s="2970"/>
      <c r="U8" s="2970"/>
      <c r="V8" s="2970"/>
      <c r="W8" s="2971"/>
      <c r="X8" s="3023"/>
      <c r="Y8" s="3038">
        <f>SUM(地下室面积!E854:E858)</f>
        <v>478.11</v>
      </c>
      <c r="Z8" s="3025"/>
      <c r="AA8" s="3025"/>
      <c r="AB8" s="3026"/>
      <c r="AC8" s="3041" t="s">
        <v>3162</v>
      </c>
    </row>
    <row r="9" spans="1:29">
      <c r="A9" s="2960" t="s">
        <v>3088</v>
      </c>
      <c r="B9" s="2986" t="s">
        <v>3089</v>
      </c>
      <c r="C9" s="2987" t="s">
        <v>3099</v>
      </c>
      <c r="D9" s="2987" t="s">
        <v>3091</v>
      </c>
      <c r="E9" s="2987" t="s">
        <v>3092</v>
      </c>
      <c r="F9" s="2987">
        <v>19300</v>
      </c>
      <c r="G9" s="2988">
        <v>1826.8028999999999</v>
      </c>
      <c r="H9" s="2988" t="s">
        <v>3093</v>
      </c>
      <c r="I9" s="2989">
        <v>946.54</v>
      </c>
      <c r="J9" s="2989">
        <v>946.54</v>
      </c>
      <c r="K9" s="2989">
        <v>487.09019999999998</v>
      </c>
      <c r="L9" s="2990">
        <v>946.53</v>
      </c>
      <c r="M9" s="2991">
        <v>5</v>
      </c>
      <c r="N9" s="2991"/>
      <c r="O9" s="2989">
        <v>0</v>
      </c>
      <c r="P9" s="2992">
        <v>4</v>
      </c>
      <c r="Q9" s="2968">
        <v>946.54</v>
      </c>
      <c r="R9" s="2968"/>
      <c r="S9" s="2969" t="s">
        <v>3094</v>
      </c>
      <c r="T9" s="2970"/>
      <c r="U9" s="2970"/>
      <c r="V9" s="2970"/>
      <c r="W9" s="2971"/>
      <c r="X9" s="3023"/>
      <c r="Y9" s="3038">
        <f>SUM(地下室面积!E859:E863)</f>
        <v>474.25</v>
      </c>
      <c r="Z9" s="3025"/>
      <c r="AA9" s="3025"/>
      <c r="AB9" s="3026"/>
      <c r="AC9" s="3041" t="s">
        <v>3162</v>
      </c>
    </row>
    <row r="10" spans="1:29">
      <c r="A10" s="2960" t="s">
        <v>3088</v>
      </c>
      <c r="B10" s="2986" t="s">
        <v>3089</v>
      </c>
      <c r="C10" s="2987" t="s">
        <v>3100</v>
      </c>
      <c r="D10" s="2987" t="s">
        <v>3091</v>
      </c>
      <c r="E10" s="2987" t="s">
        <v>3092</v>
      </c>
      <c r="F10" s="2987">
        <v>19300</v>
      </c>
      <c r="G10" s="2988">
        <v>1826.8028999999999</v>
      </c>
      <c r="H10" s="2988" t="s">
        <v>3093</v>
      </c>
      <c r="I10" s="2989">
        <v>946.54</v>
      </c>
      <c r="J10" s="2989">
        <v>946.54</v>
      </c>
      <c r="K10" s="2989">
        <v>487.09019999999998</v>
      </c>
      <c r="L10" s="2990">
        <v>946.53</v>
      </c>
      <c r="M10" s="2991">
        <v>5</v>
      </c>
      <c r="N10" s="2991"/>
      <c r="O10" s="2989">
        <v>0</v>
      </c>
      <c r="P10" s="2992">
        <v>4</v>
      </c>
      <c r="Q10" s="2968">
        <v>946.54</v>
      </c>
      <c r="R10" s="2968"/>
      <c r="S10" s="2969" t="s">
        <v>3094</v>
      </c>
      <c r="T10" s="2970"/>
      <c r="U10" s="2970"/>
      <c r="V10" s="2970"/>
      <c r="W10" s="2971"/>
      <c r="X10" s="3023"/>
      <c r="Y10" s="3038">
        <f>SUM(地下室面积!E864:E868)</f>
        <v>478.11</v>
      </c>
      <c r="Z10" s="3025"/>
      <c r="AA10" s="3025"/>
      <c r="AB10" s="3026"/>
      <c r="AC10" s="3041" t="s">
        <v>3162</v>
      </c>
    </row>
    <row r="11" spans="1:29">
      <c r="A11" s="2960" t="s">
        <v>3088</v>
      </c>
      <c r="B11" s="2986" t="s">
        <v>3089</v>
      </c>
      <c r="C11" s="2987" t="s">
        <v>3101</v>
      </c>
      <c r="D11" s="2987" t="s">
        <v>3091</v>
      </c>
      <c r="E11" s="2987" t="s">
        <v>3092</v>
      </c>
      <c r="F11" s="2987">
        <v>19300</v>
      </c>
      <c r="G11" s="2988">
        <v>1483.5524</v>
      </c>
      <c r="H11" s="2988" t="s">
        <v>3093</v>
      </c>
      <c r="I11" s="2989">
        <v>768.72</v>
      </c>
      <c r="J11" s="2989">
        <v>768.72</v>
      </c>
      <c r="K11" s="2989">
        <v>395.58390000000003</v>
      </c>
      <c r="L11" s="2990">
        <v>768.68</v>
      </c>
      <c r="M11" s="2991">
        <v>4</v>
      </c>
      <c r="N11" s="2991"/>
      <c r="O11" s="2989">
        <v>0</v>
      </c>
      <c r="P11" s="2992"/>
      <c r="Q11" s="2968">
        <v>768.72</v>
      </c>
      <c r="R11" s="2968"/>
      <c r="S11" s="2969" t="s">
        <v>3094</v>
      </c>
      <c r="T11" s="2970"/>
      <c r="U11" s="2970"/>
      <c r="V11" s="2970"/>
      <c r="W11" s="2971"/>
      <c r="X11" s="3023"/>
      <c r="Y11" s="3038">
        <f>SUM(地下室面积!E869:E872)</f>
        <v>398.61</v>
      </c>
      <c r="Z11" s="3025"/>
      <c r="AA11" s="3025"/>
      <c r="AB11" s="3026"/>
      <c r="AC11" s="3041" t="s">
        <v>3162</v>
      </c>
    </row>
    <row r="12" spans="1:29">
      <c r="A12" s="2960" t="s">
        <v>3102</v>
      </c>
      <c r="B12" s="2986" t="s">
        <v>3089</v>
      </c>
      <c r="C12" s="2987" t="s">
        <v>3103</v>
      </c>
      <c r="D12" s="2987" t="s">
        <v>3104</v>
      </c>
      <c r="E12" s="2987" t="s">
        <v>3092</v>
      </c>
      <c r="F12" s="2987">
        <v>19300</v>
      </c>
      <c r="G12" s="2988">
        <v>990.55320000000006</v>
      </c>
      <c r="H12" s="2988" t="s">
        <v>3093</v>
      </c>
      <c r="I12" s="2989">
        <v>513.4</v>
      </c>
      <c r="J12" s="2989">
        <v>513.4</v>
      </c>
      <c r="K12" s="2989">
        <v>264.19600000000003</v>
      </c>
      <c r="L12" s="2990">
        <v>513.24</v>
      </c>
      <c r="M12" s="2991">
        <v>2</v>
      </c>
      <c r="N12" s="2991"/>
      <c r="O12" s="2989">
        <v>0</v>
      </c>
      <c r="P12" s="2992">
        <v>4</v>
      </c>
      <c r="Q12" s="2968">
        <v>513.4</v>
      </c>
      <c r="R12" s="2968"/>
      <c r="S12" s="2969" t="s">
        <v>3094</v>
      </c>
      <c r="T12" s="2970"/>
      <c r="U12" s="2970"/>
      <c r="V12" s="2970"/>
      <c r="W12" s="2971"/>
      <c r="X12" s="3023"/>
      <c r="Y12" s="3038">
        <f>SUM(地下室面积!E873:E874)</f>
        <v>260.42</v>
      </c>
      <c r="Z12" s="3025"/>
      <c r="AA12" s="3025"/>
      <c r="AB12" s="3026"/>
      <c r="AC12" s="3041" t="s">
        <v>3162</v>
      </c>
    </row>
    <row r="13" spans="1:29">
      <c r="A13" s="2960" t="s">
        <v>3102</v>
      </c>
      <c r="B13" s="2986" t="s">
        <v>3089</v>
      </c>
      <c r="C13" s="2987" t="s">
        <v>3105</v>
      </c>
      <c r="D13" s="2987" t="s">
        <v>3104</v>
      </c>
      <c r="E13" s="2987" t="s">
        <v>3092</v>
      </c>
      <c r="F13" s="2987">
        <v>19300</v>
      </c>
      <c r="G13" s="2988">
        <v>990.55320000000006</v>
      </c>
      <c r="H13" s="2988" t="s">
        <v>3093</v>
      </c>
      <c r="I13" s="2989">
        <v>513.4</v>
      </c>
      <c r="J13" s="2989">
        <v>513.4</v>
      </c>
      <c r="K13" s="2989">
        <v>264.19600000000003</v>
      </c>
      <c r="L13" s="2990">
        <v>513.24</v>
      </c>
      <c r="M13" s="2991">
        <v>2</v>
      </c>
      <c r="N13" s="2991"/>
      <c r="O13" s="2989">
        <v>0</v>
      </c>
      <c r="P13" s="2992">
        <v>4</v>
      </c>
      <c r="Q13" s="2968">
        <v>513.4</v>
      </c>
      <c r="R13" s="2968"/>
      <c r="S13" s="2969" t="s">
        <v>3094</v>
      </c>
      <c r="T13" s="2970"/>
      <c r="U13" s="2970"/>
      <c r="V13" s="2970"/>
      <c r="W13" s="2971"/>
      <c r="X13" s="3023"/>
      <c r="Y13" s="3038">
        <f>SUM(地下室面积!E875:E876)</f>
        <v>260.42</v>
      </c>
      <c r="Z13" s="3025"/>
      <c r="AA13" s="3025"/>
      <c r="AB13" s="3026"/>
      <c r="AC13" s="3041" t="s">
        <v>3162</v>
      </c>
    </row>
    <row r="14" spans="1:29">
      <c r="A14" s="2960" t="s">
        <v>3102</v>
      </c>
      <c r="B14" s="2986" t="s">
        <v>3089</v>
      </c>
      <c r="C14" s="2987" t="s">
        <v>3106</v>
      </c>
      <c r="D14" s="2987" t="s">
        <v>3104</v>
      </c>
      <c r="E14" s="2987" t="s">
        <v>3092</v>
      </c>
      <c r="F14" s="2987">
        <v>19300</v>
      </c>
      <c r="G14" s="2988">
        <v>990.55320000000006</v>
      </c>
      <c r="H14" s="2988" t="s">
        <v>3093</v>
      </c>
      <c r="I14" s="2989">
        <v>513.4</v>
      </c>
      <c r="J14" s="2989">
        <v>513.4</v>
      </c>
      <c r="K14" s="2989">
        <v>264.19600000000003</v>
      </c>
      <c r="L14" s="2990">
        <v>513.24</v>
      </c>
      <c r="M14" s="2991">
        <v>2</v>
      </c>
      <c r="N14" s="2991"/>
      <c r="O14" s="2989">
        <v>0</v>
      </c>
      <c r="P14" s="2992">
        <v>4</v>
      </c>
      <c r="Q14" s="2968">
        <v>513.4</v>
      </c>
      <c r="R14" s="2968"/>
      <c r="S14" s="2969" t="s">
        <v>3094</v>
      </c>
      <c r="T14" s="2970"/>
      <c r="U14" s="2970"/>
      <c r="V14" s="2970"/>
      <c r="W14" s="2971"/>
      <c r="X14" s="3023"/>
      <c r="Y14" s="3038">
        <f>SUM(地下室面积!E877:E878)</f>
        <v>260.42</v>
      </c>
      <c r="Z14" s="3025"/>
      <c r="AA14" s="3025"/>
      <c r="AB14" s="3026"/>
      <c r="AC14" s="3041" t="s">
        <v>3162</v>
      </c>
    </row>
    <row r="15" spans="1:29">
      <c r="A15" s="2960" t="s">
        <v>3102</v>
      </c>
      <c r="B15" s="2986" t="s">
        <v>3089</v>
      </c>
      <c r="C15" s="2987" t="s">
        <v>3107</v>
      </c>
      <c r="D15" s="2987" t="s">
        <v>3104</v>
      </c>
      <c r="E15" s="2987" t="s">
        <v>3092</v>
      </c>
      <c r="F15" s="2987">
        <v>19300</v>
      </c>
      <c r="G15" s="2988">
        <v>990.55320000000006</v>
      </c>
      <c r="H15" s="2988" t="s">
        <v>3093</v>
      </c>
      <c r="I15" s="2989">
        <v>513.4</v>
      </c>
      <c r="J15" s="2989">
        <v>513.4</v>
      </c>
      <c r="K15" s="2989">
        <v>264.19600000000003</v>
      </c>
      <c r="L15" s="2990">
        <v>513.24</v>
      </c>
      <c r="M15" s="2991">
        <v>2</v>
      </c>
      <c r="N15" s="2991"/>
      <c r="O15" s="2989">
        <v>0</v>
      </c>
      <c r="P15" s="2992">
        <v>4</v>
      </c>
      <c r="Q15" s="2968">
        <v>513.4</v>
      </c>
      <c r="R15" s="2968"/>
      <c r="S15" s="2969" t="s">
        <v>3094</v>
      </c>
      <c r="T15" s="2970"/>
      <c r="U15" s="2970"/>
      <c r="V15" s="2970"/>
      <c r="W15" s="2971"/>
      <c r="X15" s="3023"/>
      <c r="Y15" s="3038">
        <f>SUM(地下室面积!E879:E880)</f>
        <v>260.42</v>
      </c>
      <c r="Z15" s="3025"/>
      <c r="AA15" s="3025"/>
      <c r="AB15" s="3026"/>
      <c r="AC15" s="3041" t="s">
        <v>3162</v>
      </c>
    </row>
    <row r="16" spans="1:29">
      <c r="A16" s="2960" t="s">
        <v>3108</v>
      </c>
      <c r="B16" s="2986" t="s">
        <v>3089</v>
      </c>
      <c r="C16" s="2987" t="s">
        <v>3109</v>
      </c>
      <c r="D16" s="2987" t="s">
        <v>3104</v>
      </c>
      <c r="E16" s="2987" t="s">
        <v>3092</v>
      </c>
      <c r="F16" s="2987">
        <v>19300</v>
      </c>
      <c r="G16" s="2988">
        <v>990.55320000000006</v>
      </c>
      <c r="H16" s="2988" t="s">
        <v>3093</v>
      </c>
      <c r="I16" s="2989">
        <v>513.4</v>
      </c>
      <c r="J16" s="2989">
        <v>513.4</v>
      </c>
      <c r="K16" s="2989">
        <v>264.19600000000003</v>
      </c>
      <c r="L16" s="2990">
        <v>513.24</v>
      </c>
      <c r="M16" s="2991">
        <v>2</v>
      </c>
      <c r="N16" s="2991"/>
      <c r="O16" s="2989">
        <v>0</v>
      </c>
      <c r="P16" s="2992">
        <v>4</v>
      </c>
      <c r="Q16" s="2968">
        <v>513.4</v>
      </c>
      <c r="R16" s="2968"/>
      <c r="S16" s="2969" t="s">
        <v>3094</v>
      </c>
      <c r="T16" s="2970"/>
      <c r="U16" s="2970"/>
      <c r="V16" s="2970"/>
      <c r="W16" s="2971"/>
      <c r="X16" s="3023"/>
      <c r="Y16" s="3038">
        <f>SUM(地下室面积!E883:E884)</f>
        <v>260.42</v>
      </c>
      <c r="Z16" s="3025"/>
      <c r="AA16" s="3025"/>
      <c r="AB16" s="3026"/>
      <c r="AC16" s="3041" t="s">
        <v>3162</v>
      </c>
    </row>
    <row r="17" spans="1:29">
      <c r="A17" s="2960" t="s">
        <v>3108</v>
      </c>
      <c r="B17" s="2986" t="s">
        <v>3089</v>
      </c>
      <c r="C17" s="2987" t="s">
        <v>3110</v>
      </c>
      <c r="D17" s="2987" t="s">
        <v>3104</v>
      </c>
      <c r="E17" s="2987" t="s">
        <v>3092</v>
      </c>
      <c r="F17" s="2987">
        <v>19300</v>
      </c>
      <c r="G17" s="2988">
        <v>990.55320000000006</v>
      </c>
      <c r="H17" s="2988" t="s">
        <v>3093</v>
      </c>
      <c r="I17" s="2989">
        <v>513.4</v>
      </c>
      <c r="J17" s="2989">
        <v>513.4</v>
      </c>
      <c r="K17" s="2989">
        <v>264.19600000000003</v>
      </c>
      <c r="L17" s="2990">
        <v>513.24</v>
      </c>
      <c r="M17" s="2991">
        <v>2</v>
      </c>
      <c r="N17" s="2991"/>
      <c r="O17" s="2989">
        <v>0</v>
      </c>
      <c r="P17" s="2992">
        <v>4</v>
      </c>
      <c r="Q17" s="2968">
        <v>513.4</v>
      </c>
      <c r="R17" s="2968"/>
      <c r="S17" s="2969" t="s">
        <v>3094</v>
      </c>
      <c r="T17" s="2970"/>
      <c r="U17" s="2970"/>
      <c r="V17" s="2970"/>
      <c r="W17" s="2971"/>
      <c r="X17" s="3023"/>
      <c r="Y17" s="3038">
        <f>SUM(地下室面积!E885:E886)</f>
        <v>260.42</v>
      </c>
      <c r="Z17" s="3025"/>
      <c r="AA17" s="3025"/>
      <c r="AB17" s="3026"/>
      <c r="AC17" s="3041" t="s">
        <v>3162</v>
      </c>
    </row>
    <row r="18" spans="1:29">
      <c r="A18" s="2960" t="s">
        <v>3108</v>
      </c>
      <c r="B18" s="2986" t="s">
        <v>3089</v>
      </c>
      <c r="C18" s="2987" t="s">
        <v>3111</v>
      </c>
      <c r="D18" s="2987" t="s">
        <v>3104</v>
      </c>
      <c r="E18" s="2987" t="s">
        <v>3092</v>
      </c>
      <c r="F18" s="2987">
        <v>19300</v>
      </c>
      <c r="G18" s="2988">
        <v>990.55320000000006</v>
      </c>
      <c r="H18" s="2988" t="s">
        <v>3093</v>
      </c>
      <c r="I18" s="2989">
        <v>513.4</v>
      </c>
      <c r="J18" s="2989">
        <v>513.4</v>
      </c>
      <c r="K18" s="2989">
        <v>264.19600000000003</v>
      </c>
      <c r="L18" s="2990">
        <v>513.24</v>
      </c>
      <c r="M18" s="2991">
        <v>2</v>
      </c>
      <c r="N18" s="2991"/>
      <c r="O18" s="2989">
        <v>0</v>
      </c>
      <c r="P18" s="2992">
        <v>4</v>
      </c>
      <c r="Q18" s="2968">
        <v>513.4</v>
      </c>
      <c r="R18" s="2968"/>
      <c r="S18" s="2969" t="s">
        <v>3094</v>
      </c>
      <c r="T18" s="2970"/>
      <c r="U18" s="2970"/>
      <c r="V18" s="2970"/>
      <c r="W18" s="2971"/>
      <c r="X18" s="3023"/>
      <c r="Y18" s="3038">
        <f>SUM(地下室面积!E887:E888)</f>
        <v>264.90000000000003</v>
      </c>
      <c r="Z18" s="3025"/>
      <c r="AA18" s="3025"/>
      <c r="AB18" s="3026"/>
      <c r="AC18" s="3041" t="s">
        <v>3162</v>
      </c>
    </row>
    <row r="19" spans="1:29">
      <c r="A19" s="2960" t="s">
        <v>3108</v>
      </c>
      <c r="B19" s="2986" t="s">
        <v>3089</v>
      </c>
      <c r="C19" s="2987" t="s">
        <v>3112</v>
      </c>
      <c r="D19" s="2987" t="s">
        <v>3104</v>
      </c>
      <c r="E19" s="2987" t="s">
        <v>3092</v>
      </c>
      <c r="F19" s="2987">
        <v>19300</v>
      </c>
      <c r="G19" s="2988">
        <v>990.55320000000006</v>
      </c>
      <c r="H19" s="2988" t="s">
        <v>3093</v>
      </c>
      <c r="I19" s="2989">
        <v>513.4</v>
      </c>
      <c r="J19" s="2989">
        <v>513.4</v>
      </c>
      <c r="K19" s="2989">
        <v>264.19600000000003</v>
      </c>
      <c r="L19" s="2990">
        <v>513.24</v>
      </c>
      <c r="M19" s="2991">
        <v>2</v>
      </c>
      <c r="N19" s="2991"/>
      <c r="O19" s="2989">
        <v>0</v>
      </c>
      <c r="P19" s="2992">
        <v>4</v>
      </c>
      <c r="Q19" s="2968">
        <v>513.4</v>
      </c>
      <c r="R19" s="2968"/>
      <c r="S19" s="2969" t="s">
        <v>3094</v>
      </c>
      <c r="T19" s="2970"/>
      <c r="U19" s="2970"/>
      <c r="V19" s="2970"/>
      <c r="W19" s="2971"/>
      <c r="X19" s="3023"/>
      <c r="Y19" s="3038">
        <f>SUM(地下室面积!E889:E890)</f>
        <v>264.90000000000003</v>
      </c>
      <c r="Z19" s="3025"/>
      <c r="AA19" s="3025"/>
      <c r="AB19" s="3026"/>
      <c r="AC19" s="3041" t="s">
        <v>3162</v>
      </c>
    </row>
    <row r="20" spans="1:29">
      <c r="A20" s="2960" t="s">
        <v>3108</v>
      </c>
      <c r="B20" s="2986" t="s">
        <v>3089</v>
      </c>
      <c r="C20" s="2987" t="s">
        <v>3113</v>
      </c>
      <c r="D20" s="2987" t="s">
        <v>3104</v>
      </c>
      <c r="E20" s="2987" t="s">
        <v>3092</v>
      </c>
      <c r="F20" s="2987">
        <v>19300</v>
      </c>
      <c r="G20" s="2988">
        <v>990.55320000000006</v>
      </c>
      <c r="H20" s="2988" t="s">
        <v>3093</v>
      </c>
      <c r="I20" s="2989">
        <v>513.4</v>
      </c>
      <c r="J20" s="2989">
        <v>513.4</v>
      </c>
      <c r="K20" s="2989">
        <v>264.19600000000003</v>
      </c>
      <c r="L20" s="2990">
        <v>513.24</v>
      </c>
      <c r="M20" s="2991">
        <v>2</v>
      </c>
      <c r="N20" s="2991"/>
      <c r="O20" s="2989">
        <v>0</v>
      </c>
      <c r="P20" s="2992">
        <v>4</v>
      </c>
      <c r="Q20" s="2968">
        <v>513.4</v>
      </c>
      <c r="R20" s="2968"/>
      <c r="S20" s="2969" t="s">
        <v>3094</v>
      </c>
      <c r="T20" s="2970"/>
      <c r="U20" s="2970"/>
      <c r="V20" s="2970"/>
      <c r="W20" s="2971"/>
      <c r="X20" s="3023"/>
      <c r="Y20" s="3038">
        <f>SUM(地下室面积!E891:E892)</f>
        <v>264.90000000000003</v>
      </c>
      <c r="Z20" s="3025"/>
      <c r="AA20" s="3025"/>
      <c r="AB20" s="3026"/>
      <c r="AC20" s="3041" t="s">
        <v>3162</v>
      </c>
    </row>
    <row r="21" spans="1:29">
      <c r="A21" s="2960" t="s">
        <v>3108</v>
      </c>
      <c r="B21" s="2986" t="s">
        <v>3089</v>
      </c>
      <c r="C21" s="2987" t="s">
        <v>3114</v>
      </c>
      <c r="D21" s="2987" t="s">
        <v>3104</v>
      </c>
      <c r="E21" s="2987" t="s">
        <v>3092</v>
      </c>
      <c r="F21" s="2987">
        <v>19300</v>
      </c>
      <c r="G21" s="2988">
        <v>990.55320000000006</v>
      </c>
      <c r="H21" s="2988" t="s">
        <v>3093</v>
      </c>
      <c r="I21" s="2989">
        <v>513.4</v>
      </c>
      <c r="J21" s="2989">
        <v>513.4</v>
      </c>
      <c r="K21" s="2989">
        <v>264.19600000000003</v>
      </c>
      <c r="L21" s="2990">
        <v>513.24</v>
      </c>
      <c r="M21" s="2991">
        <v>2</v>
      </c>
      <c r="N21" s="2991"/>
      <c r="O21" s="2989">
        <v>0</v>
      </c>
      <c r="P21" s="2992">
        <v>4</v>
      </c>
      <c r="Q21" s="2968">
        <v>513.4</v>
      </c>
      <c r="R21" s="2968"/>
      <c r="S21" s="2969" t="s">
        <v>3094</v>
      </c>
      <c r="T21" s="2970"/>
      <c r="U21" s="2970"/>
      <c r="V21" s="2970"/>
      <c r="W21" s="2971"/>
      <c r="X21" s="3023"/>
      <c r="Y21" s="3038">
        <f>SUM(地下室面积!E893:E894)</f>
        <v>263.01</v>
      </c>
      <c r="Z21" s="3025"/>
      <c r="AA21" s="3025"/>
      <c r="AB21" s="3026"/>
      <c r="AC21" s="3041" t="s">
        <v>3162</v>
      </c>
    </row>
    <row r="22" spans="1:29">
      <c r="A22" s="2960" t="s">
        <v>3102</v>
      </c>
      <c r="B22" s="2986" t="s">
        <v>3089</v>
      </c>
      <c r="C22" s="2987" t="s">
        <v>3115</v>
      </c>
      <c r="D22" s="2987" t="s">
        <v>3104</v>
      </c>
      <c r="E22" s="2987" t="s">
        <v>3092</v>
      </c>
      <c r="F22" s="2987">
        <v>19300</v>
      </c>
      <c r="G22" s="2988">
        <v>990.55320000000006</v>
      </c>
      <c r="H22" s="2988" t="s">
        <v>3093</v>
      </c>
      <c r="I22" s="2989">
        <v>513.4</v>
      </c>
      <c r="J22" s="2989">
        <v>513.4</v>
      </c>
      <c r="K22" s="2989">
        <v>264.19600000000003</v>
      </c>
      <c r="L22" s="2990">
        <v>513.24</v>
      </c>
      <c r="M22" s="2991">
        <v>2</v>
      </c>
      <c r="N22" s="2991"/>
      <c r="O22" s="2989">
        <v>0</v>
      </c>
      <c r="P22" s="2992">
        <v>4</v>
      </c>
      <c r="Q22" s="2968">
        <v>513.4</v>
      </c>
      <c r="R22" s="2968"/>
      <c r="S22" s="2969" t="s">
        <v>3094</v>
      </c>
      <c r="T22" s="2970"/>
      <c r="U22" s="2970"/>
      <c r="V22" s="2970"/>
      <c r="W22" s="2971"/>
      <c r="X22" s="3023"/>
      <c r="Y22" s="3038">
        <f>SUM(地下室面积!E895:E896)</f>
        <v>264.90000000000003</v>
      </c>
      <c r="Z22" s="3025"/>
      <c r="AA22" s="3025"/>
      <c r="AB22" s="3026"/>
      <c r="AC22" s="3041" t="s">
        <v>3162</v>
      </c>
    </row>
    <row r="23" spans="1:29">
      <c r="A23" s="2960" t="s">
        <v>3102</v>
      </c>
      <c r="B23" s="2986" t="s">
        <v>3089</v>
      </c>
      <c r="C23" s="2987" t="s">
        <v>3116</v>
      </c>
      <c r="D23" s="2987" t="s">
        <v>3104</v>
      </c>
      <c r="E23" s="2987" t="s">
        <v>3092</v>
      </c>
      <c r="F23" s="2987">
        <v>19300</v>
      </c>
      <c r="G23" s="2988">
        <v>990.55320000000006</v>
      </c>
      <c r="H23" s="2988" t="s">
        <v>3093</v>
      </c>
      <c r="I23" s="2989">
        <v>513.4</v>
      </c>
      <c r="J23" s="2989">
        <v>513.4</v>
      </c>
      <c r="K23" s="2989">
        <v>264.19600000000003</v>
      </c>
      <c r="L23" s="2990">
        <v>513.24</v>
      </c>
      <c r="M23" s="2991">
        <v>2</v>
      </c>
      <c r="N23" s="2991"/>
      <c r="O23" s="2989">
        <v>0</v>
      </c>
      <c r="P23" s="2992">
        <v>4</v>
      </c>
      <c r="Q23" s="2968">
        <v>513.4</v>
      </c>
      <c r="R23" s="2968"/>
      <c r="S23" s="2969" t="s">
        <v>3094</v>
      </c>
      <c r="T23" s="2970"/>
      <c r="U23" s="2970"/>
      <c r="V23" s="2970"/>
      <c r="W23" s="2971"/>
      <c r="X23" s="3023"/>
      <c r="Y23" s="3038">
        <f>SUM(地下室面积!E897:E898)</f>
        <v>264.90000000000003</v>
      </c>
      <c r="Z23" s="3025"/>
      <c r="AA23" s="3025"/>
      <c r="AB23" s="3026"/>
      <c r="AC23" s="3041" t="s">
        <v>3162</v>
      </c>
    </row>
    <row r="24" spans="1:29">
      <c r="A24" s="2960" t="s">
        <v>3102</v>
      </c>
      <c r="B24" s="2986" t="s">
        <v>3089</v>
      </c>
      <c r="C24" s="2987" t="s">
        <v>3117</v>
      </c>
      <c r="D24" s="2987" t="s">
        <v>3104</v>
      </c>
      <c r="E24" s="2987" t="s">
        <v>3092</v>
      </c>
      <c r="F24" s="2987">
        <v>19300</v>
      </c>
      <c r="G24" s="2988">
        <v>990.55320000000006</v>
      </c>
      <c r="H24" s="2988" t="s">
        <v>3093</v>
      </c>
      <c r="I24" s="2989">
        <v>513.4</v>
      </c>
      <c r="J24" s="2989">
        <v>513.4</v>
      </c>
      <c r="K24" s="2989">
        <v>264.19600000000003</v>
      </c>
      <c r="L24" s="2990">
        <v>513.24</v>
      </c>
      <c r="M24" s="2991">
        <v>2</v>
      </c>
      <c r="N24" s="2991"/>
      <c r="O24" s="2989">
        <v>0</v>
      </c>
      <c r="P24" s="2992">
        <v>4</v>
      </c>
      <c r="Q24" s="2968">
        <v>513.4</v>
      </c>
      <c r="R24" s="2968"/>
      <c r="S24" s="2969" t="s">
        <v>3094</v>
      </c>
      <c r="T24" s="2970"/>
      <c r="U24" s="2970"/>
      <c r="V24" s="2970"/>
      <c r="W24" s="2971"/>
      <c r="X24" s="3023"/>
      <c r="Y24" s="3038">
        <f>SUM(地下室面积!E899:E900)</f>
        <v>264.90000000000003</v>
      </c>
      <c r="Z24" s="3025"/>
      <c r="AA24" s="3025"/>
      <c r="AB24" s="3026"/>
      <c r="AC24" s="3041" t="s">
        <v>3162</v>
      </c>
    </row>
    <row r="25" spans="1:29">
      <c r="A25" s="2960" t="s">
        <v>3102</v>
      </c>
      <c r="B25" s="2986" t="s">
        <v>3089</v>
      </c>
      <c r="C25" s="2987" t="s">
        <v>3118</v>
      </c>
      <c r="D25" s="2987" t="s">
        <v>3104</v>
      </c>
      <c r="E25" s="2987" t="s">
        <v>3092</v>
      </c>
      <c r="F25" s="2987">
        <v>19300</v>
      </c>
      <c r="G25" s="2988">
        <v>990.55320000000006</v>
      </c>
      <c r="H25" s="2988" t="s">
        <v>3093</v>
      </c>
      <c r="I25" s="2989">
        <v>513.4</v>
      </c>
      <c r="J25" s="2989">
        <v>513.4</v>
      </c>
      <c r="K25" s="2989">
        <v>264.19600000000003</v>
      </c>
      <c r="L25" s="2990">
        <v>513.24</v>
      </c>
      <c r="M25" s="2991">
        <v>2</v>
      </c>
      <c r="N25" s="2991"/>
      <c r="O25" s="2989">
        <v>0</v>
      </c>
      <c r="P25" s="2992">
        <v>4</v>
      </c>
      <c r="Q25" s="2968">
        <v>513.4</v>
      </c>
      <c r="R25" s="2968"/>
      <c r="S25" s="2969" t="s">
        <v>3094</v>
      </c>
      <c r="T25" s="2970"/>
      <c r="U25" s="2970"/>
      <c r="V25" s="2970"/>
      <c r="W25" s="2971"/>
      <c r="X25" s="3023"/>
      <c r="Y25" s="3038">
        <f>SUM(地下室面积!E901:E902)</f>
        <v>264.90000000000003</v>
      </c>
      <c r="Z25" s="3025"/>
      <c r="AA25" s="3025"/>
      <c r="AB25" s="3026"/>
      <c r="AC25" s="3041" t="s">
        <v>3162</v>
      </c>
    </row>
    <row r="26" spans="1:29" s="2965" customFormat="1">
      <c r="A26" s="2961" t="s">
        <v>3119</v>
      </c>
      <c r="B26" s="2993" t="s">
        <v>3089</v>
      </c>
      <c r="C26" s="2994" t="s">
        <v>3120</v>
      </c>
      <c r="D26" s="2994" t="s">
        <v>3104</v>
      </c>
      <c r="E26" s="2994" t="s">
        <v>3092</v>
      </c>
      <c r="F26" s="2994">
        <v>19300</v>
      </c>
      <c r="G26" s="2995">
        <v>990.67141249999997</v>
      </c>
      <c r="H26" s="2995" t="s">
        <v>3093</v>
      </c>
      <c r="I26" s="2996">
        <v>513.4</v>
      </c>
      <c r="J26" s="2996">
        <v>513.4</v>
      </c>
      <c r="K26" s="2996">
        <v>264.19600000000003</v>
      </c>
      <c r="L26" s="2997">
        <v>513.24</v>
      </c>
      <c r="M26" s="2998">
        <v>2</v>
      </c>
      <c r="N26" s="2998"/>
      <c r="O26" s="2996">
        <v>0</v>
      </c>
      <c r="P26" s="2999">
        <v>4</v>
      </c>
      <c r="Q26" s="2972">
        <v>513.4</v>
      </c>
      <c r="R26" s="2972"/>
      <c r="S26" s="2973" t="s">
        <v>3094</v>
      </c>
      <c r="T26" s="2974"/>
      <c r="U26" s="2974"/>
      <c r="V26" s="2974"/>
      <c r="W26" s="2975"/>
      <c r="X26" s="3027"/>
      <c r="Y26" s="3039">
        <f>SUM(地下室面积!E903:E904)</f>
        <v>260.42</v>
      </c>
      <c r="Z26" s="3028"/>
      <c r="AA26" s="3028"/>
      <c r="AB26" s="3029"/>
      <c r="AC26" s="3042" t="s">
        <v>3163</v>
      </c>
    </row>
    <row r="27" spans="1:29">
      <c r="A27" s="2960" t="s">
        <v>3121</v>
      </c>
      <c r="B27" s="2986" t="s">
        <v>3089</v>
      </c>
      <c r="C27" s="2987" t="s">
        <v>3122</v>
      </c>
      <c r="D27" s="2987" t="s">
        <v>3104</v>
      </c>
      <c r="E27" s="2987" t="s">
        <v>3092</v>
      </c>
      <c r="F27" s="2987">
        <v>19300</v>
      </c>
      <c r="G27" s="2988">
        <v>990.55320000000006</v>
      </c>
      <c r="H27" s="2988" t="s">
        <v>3093</v>
      </c>
      <c r="I27" s="2989">
        <v>513.4</v>
      </c>
      <c r="J27" s="2989">
        <v>513.4</v>
      </c>
      <c r="K27" s="2989">
        <v>264.19600000000003</v>
      </c>
      <c r="L27" s="2990">
        <v>513.24</v>
      </c>
      <c r="M27" s="2991">
        <v>2</v>
      </c>
      <c r="N27" s="2991"/>
      <c r="O27" s="2989">
        <v>0</v>
      </c>
      <c r="P27" s="2992">
        <v>4</v>
      </c>
      <c r="Q27" s="2968">
        <v>513.4</v>
      </c>
      <c r="R27" s="2968"/>
      <c r="S27" s="2969" t="s">
        <v>3094</v>
      </c>
      <c r="T27" s="2970"/>
      <c r="U27" s="2970"/>
      <c r="V27" s="2970"/>
      <c r="W27" s="2971"/>
      <c r="X27" s="3023"/>
      <c r="Y27" s="3038">
        <f>SUM(地下室面积!E911:E912)</f>
        <v>258.64999999999998</v>
      </c>
      <c r="Z27" s="3025"/>
      <c r="AA27" s="3025"/>
      <c r="AB27" s="3026"/>
      <c r="AC27" s="3041" t="s">
        <v>3162</v>
      </c>
    </row>
    <row r="28" spans="1:29">
      <c r="A28" s="2960" t="s">
        <v>3121</v>
      </c>
      <c r="B28" s="2986" t="s">
        <v>3089</v>
      </c>
      <c r="C28" s="2987" t="s">
        <v>3123</v>
      </c>
      <c r="D28" s="2987" t="s">
        <v>3104</v>
      </c>
      <c r="E28" s="2987" t="s">
        <v>3092</v>
      </c>
      <c r="F28" s="2987">
        <v>19300</v>
      </c>
      <c r="G28" s="2988">
        <v>990.55320000000006</v>
      </c>
      <c r="H28" s="2988" t="s">
        <v>3093</v>
      </c>
      <c r="I28" s="2989">
        <v>513.4</v>
      </c>
      <c r="J28" s="2989">
        <v>513.4</v>
      </c>
      <c r="K28" s="2989">
        <v>264.19600000000003</v>
      </c>
      <c r="L28" s="2990">
        <v>513.24</v>
      </c>
      <c r="M28" s="2991">
        <v>2</v>
      </c>
      <c r="N28" s="2991"/>
      <c r="O28" s="2989">
        <v>0</v>
      </c>
      <c r="P28" s="2992">
        <v>4</v>
      </c>
      <c r="Q28" s="2968">
        <v>513.4</v>
      </c>
      <c r="R28" s="2968"/>
      <c r="S28" s="2969" t="s">
        <v>3094</v>
      </c>
      <c r="T28" s="2970"/>
      <c r="U28" s="2970"/>
      <c r="V28" s="2970"/>
      <c r="W28" s="2971"/>
      <c r="X28" s="3023"/>
      <c r="Y28" s="3038">
        <f>SUM(地下室面积!E913:E914)</f>
        <v>260.42</v>
      </c>
      <c r="Z28" s="3025"/>
      <c r="AA28" s="3025"/>
      <c r="AB28" s="3026"/>
      <c r="AC28" s="3041" t="s">
        <v>3162</v>
      </c>
    </row>
    <row r="29" spans="1:29">
      <c r="A29" s="2960" t="s">
        <v>3121</v>
      </c>
      <c r="B29" s="2986" t="s">
        <v>3089</v>
      </c>
      <c r="C29" s="2987" t="s">
        <v>3124</v>
      </c>
      <c r="D29" s="2987" t="s">
        <v>3104</v>
      </c>
      <c r="E29" s="2987" t="s">
        <v>3092</v>
      </c>
      <c r="F29" s="2987">
        <v>19300</v>
      </c>
      <c r="G29" s="2988">
        <v>990.55320000000006</v>
      </c>
      <c r="H29" s="2988" t="s">
        <v>3093</v>
      </c>
      <c r="I29" s="2989">
        <v>513.4</v>
      </c>
      <c r="J29" s="2989">
        <v>513.4</v>
      </c>
      <c r="K29" s="2989">
        <v>264.19600000000003</v>
      </c>
      <c r="L29" s="2990">
        <v>513.24</v>
      </c>
      <c r="M29" s="2991">
        <v>2</v>
      </c>
      <c r="N29" s="2991"/>
      <c r="O29" s="2989">
        <v>0</v>
      </c>
      <c r="P29" s="2992">
        <v>4</v>
      </c>
      <c r="Q29" s="2968">
        <v>513.4</v>
      </c>
      <c r="R29" s="2968"/>
      <c r="S29" s="2969" t="s">
        <v>3094</v>
      </c>
      <c r="T29" s="2970"/>
      <c r="U29" s="2970"/>
      <c r="V29" s="2970"/>
      <c r="W29" s="2971"/>
      <c r="X29" s="3023"/>
      <c r="Y29" s="3038">
        <f>SUM(地下室面积!E915:E916)</f>
        <v>260.42</v>
      </c>
      <c r="Z29" s="3025"/>
      <c r="AA29" s="3025"/>
      <c r="AB29" s="3026"/>
      <c r="AC29" s="3041" t="s">
        <v>3162</v>
      </c>
    </row>
    <row r="30" spans="1:29">
      <c r="A30" s="2960" t="s">
        <v>3121</v>
      </c>
      <c r="B30" s="2986" t="s">
        <v>3089</v>
      </c>
      <c r="C30" s="2987" t="s">
        <v>3125</v>
      </c>
      <c r="D30" s="2987" t="s">
        <v>3104</v>
      </c>
      <c r="E30" s="2987" t="s">
        <v>3092</v>
      </c>
      <c r="F30" s="2987">
        <v>19300</v>
      </c>
      <c r="G30" s="2988">
        <v>990.55320000000006</v>
      </c>
      <c r="H30" s="2988" t="s">
        <v>3093</v>
      </c>
      <c r="I30" s="2989">
        <v>513.4</v>
      </c>
      <c r="J30" s="2989">
        <v>513.4</v>
      </c>
      <c r="K30" s="2989">
        <v>264.19600000000003</v>
      </c>
      <c r="L30" s="2990">
        <v>513.24</v>
      </c>
      <c r="M30" s="2991">
        <v>2</v>
      </c>
      <c r="N30" s="2991"/>
      <c r="O30" s="2989">
        <v>0</v>
      </c>
      <c r="P30" s="2992">
        <v>4</v>
      </c>
      <c r="Q30" s="2968">
        <v>513.4</v>
      </c>
      <c r="R30" s="2968"/>
      <c r="S30" s="2969" t="s">
        <v>3094</v>
      </c>
      <c r="T30" s="2970"/>
      <c r="U30" s="2970"/>
      <c r="V30" s="2970"/>
      <c r="W30" s="2971"/>
      <c r="X30" s="3023"/>
      <c r="Y30" s="3038">
        <f>SUM(地下室面积!E917:E918)</f>
        <v>260.42</v>
      </c>
      <c r="Z30" s="3025"/>
      <c r="AA30" s="3025"/>
      <c r="AB30" s="3026"/>
      <c r="AC30" s="3041" t="s">
        <v>3162</v>
      </c>
    </row>
    <row r="31" spans="1:29">
      <c r="A31" s="2960" t="s">
        <v>3121</v>
      </c>
      <c r="B31" s="2986" t="s">
        <v>3089</v>
      </c>
      <c r="C31" s="2987" t="s">
        <v>3126</v>
      </c>
      <c r="D31" s="2987" t="s">
        <v>3104</v>
      </c>
      <c r="E31" s="2987" t="s">
        <v>3092</v>
      </c>
      <c r="F31" s="2987">
        <v>19300</v>
      </c>
      <c r="G31" s="2988">
        <v>990.55320000000006</v>
      </c>
      <c r="H31" s="2988" t="s">
        <v>3093</v>
      </c>
      <c r="I31" s="2989">
        <v>513.4</v>
      </c>
      <c r="J31" s="2989">
        <v>513.4</v>
      </c>
      <c r="K31" s="2989">
        <v>264.19600000000003</v>
      </c>
      <c r="L31" s="2990">
        <v>513.24</v>
      </c>
      <c r="M31" s="2991">
        <v>2</v>
      </c>
      <c r="N31" s="2991"/>
      <c r="O31" s="2989">
        <v>0</v>
      </c>
      <c r="P31" s="2992">
        <v>4</v>
      </c>
      <c r="Q31" s="2968">
        <v>513.4</v>
      </c>
      <c r="R31" s="2968"/>
      <c r="S31" s="2969" t="s">
        <v>3094</v>
      </c>
      <c r="T31" s="2970"/>
      <c r="U31" s="2970"/>
      <c r="V31" s="2970"/>
      <c r="W31" s="2971"/>
      <c r="X31" s="3023"/>
      <c r="Y31" s="3038">
        <f>SUM(地下室面积!E919:E920)</f>
        <v>264.90000000000003</v>
      </c>
      <c r="Z31" s="3025"/>
      <c r="AA31" s="3025"/>
      <c r="AB31" s="3026"/>
      <c r="AC31" s="3041" t="s">
        <v>3162</v>
      </c>
    </row>
    <row r="32" spans="1:29">
      <c r="A32" s="2960" t="s">
        <v>3121</v>
      </c>
      <c r="B32" s="2986" t="s">
        <v>3089</v>
      </c>
      <c r="C32" s="2987" t="s">
        <v>3127</v>
      </c>
      <c r="D32" s="2987" t="s">
        <v>3104</v>
      </c>
      <c r="E32" s="2987" t="s">
        <v>3092</v>
      </c>
      <c r="F32" s="2987">
        <v>19300</v>
      </c>
      <c r="G32" s="2988">
        <v>990.55320000000006</v>
      </c>
      <c r="H32" s="2988" t="s">
        <v>3093</v>
      </c>
      <c r="I32" s="2989">
        <v>513.4</v>
      </c>
      <c r="J32" s="2989">
        <v>513.4</v>
      </c>
      <c r="K32" s="2989">
        <v>264.19600000000003</v>
      </c>
      <c r="L32" s="2990">
        <v>513.24</v>
      </c>
      <c r="M32" s="2991">
        <v>2</v>
      </c>
      <c r="N32" s="2991"/>
      <c r="O32" s="2989">
        <v>0</v>
      </c>
      <c r="P32" s="2992">
        <v>4</v>
      </c>
      <c r="Q32" s="2968">
        <v>513.4</v>
      </c>
      <c r="R32" s="2968"/>
      <c r="S32" s="2969" t="s">
        <v>3094</v>
      </c>
      <c r="T32" s="2970"/>
      <c r="U32" s="2970"/>
      <c r="V32" s="2970"/>
      <c r="W32" s="2971"/>
      <c r="X32" s="3023"/>
      <c r="Y32" s="3038">
        <f>SUM(地下室面积!E921:E922)</f>
        <v>264.90000000000003</v>
      </c>
      <c r="Z32" s="3025"/>
      <c r="AA32" s="3025"/>
      <c r="AB32" s="3026"/>
      <c r="AC32" s="3041" t="s">
        <v>3162</v>
      </c>
    </row>
    <row r="33" spans="1:29">
      <c r="A33" s="2960" t="s">
        <v>3121</v>
      </c>
      <c r="B33" s="2986" t="s">
        <v>3089</v>
      </c>
      <c r="C33" s="2987" t="s">
        <v>3128</v>
      </c>
      <c r="D33" s="2987" t="s">
        <v>3104</v>
      </c>
      <c r="E33" s="2987" t="s">
        <v>3092</v>
      </c>
      <c r="F33" s="2987">
        <v>19300</v>
      </c>
      <c r="G33" s="2988">
        <v>990.55320000000006</v>
      </c>
      <c r="H33" s="2988" t="s">
        <v>3093</v>
      </c>
      <c r="I33" s="2989">
        <v>513.4</v>
      </c>
      <c r="J33" s="2989">
        <v>513.4</v>
      </c>
      <c r="K33" s="2989">
        <v>264.19600000000003</v>
      </c>
      <c r="L33" s="2990">
        <v>513.24</v>
      </c>
      <c r="M33" s="2991">
        <v>2</v>
      </c>
      <c r="N33" s="2991"/>
      <c r="O33" s="2989">
        <v>0</v>
      </c>
      <c r="P33" s="2992">
        <v>4</v>
      </c>
      <c r="Q33" s="2968">
        <v>513.4</v>
      </c>
      <c r="R33" s="2968"/>
      <c r="S33" s="2969" t="s">
        <v>3094</v>
      </c>
      <c r="T33" s="2970"/>
      <c r="U33" s="2970"/>
      <c r="V33" s="2970"/>
      <c r="W33" s="2971"/>
      <c r="X33" s="3023"/>
      <c r="Y33" s="3038">
        <f>SUM(地下室面积!E923:E924)</f>
        <v>264.90000000000003</v>
      </c>
      <c r="Z33" s="3025"/>
      <c r="AA33" s="3025"/>
      <c r="AB33" s="3026"/>
      <c r="AC33" s="3041" t="s">
        <v>3162</v>
      </c>
    </row>
    <row r="34" spans="1:29">
      <c r="A34" s="2960" t="s">
        <v>3121</v>
      </c>
      <c r="B34" s="2986" t="s">
        <v>3089</v>
      </c>
      <c r="C34" s="2987" t="s">
        <v>3129</v>
      </c>
      <c r="D34" s="2987" t="s">
        <v>3104</v>
      </c>
      <c r="E34" s="2987" t="s">
        <v>3092</v>
      </c>
      <c r="F34" s="2987">
        <v>19300</v>
      </c>
      <c r="G34" s="2988">
        <v>990.55320000000006</v>
      </c>
      <c r="H34" s="2988" t="s">
        <v>3093</v>
      </c>
      <c r="I34" s="2989">
        <v>513.4</v>
      </c>
      <c r="J34" s="2989">
        <v>513.4</v>
      </c>
      <c r="K34" s="2989">
        <v>264.19600000000003</v>
      </c>
      <c r="L34" s="2990">
        <v>513.24</v>
      </c>
      <c r="M34" s="2991">
        <v>2</v>
      </c>
      <c r="N34" s="2991"/>
      <c r="O34" s="2989">
        <v>0</v>
      </c>
      <c r="P34" s="2992">
        <v>4</v>
      </c>
      <c r="Q34" s="2968">
        <v>513.4</v>
      </c>
      <c r="R34" s="2968"/>
      <c r="S34" s="2969" t="s">
        <v>3094</v>
      </c>
      <c r="T34" s="2970"/>
      <c r="U34" s="2970"/>
      <c r="V34" s="2970"/>
      <c r="W34" s="2971"/>
      <c r="X34" s="3023"/>
      <c r="Y34" s="3038">
        <f>SUM(地下室面积!E925:E926)</f>
        <v>279.07000000000005</v>
      </c>
      <c r="Z34" s="3025"/>
      <c r="AA34" s="3025"/>
      <c r="AB34" s="3026"/>
      <c r="AC34" s="3041" t="s">
        <v>3162</v>
      </c>
    </row>
    <row r="35" spans="1:29" s="2965" customFormat="1">
      <c r="A35" s="2961" t="s">
        <v>3121</v>
      </c>
      <c r="B35" s="2993" t="s">
        <v>3089</v>
      </c>
      <c r="C35" s="2994" t="s">
        <v>3130</v>
      </c>
      <c r="D35" s="2994" t="s">
        <v>3091</v>
      </c>
      <c r="E35" s="2994" t="s">
        <v>3092</v>
      </c>
      <c r="F35" s="2994">
        <v>19300</v>
      </c>
      <c r="G35" s="2995">
        <v>1826.8028999999999</v>
      </c>
      <c r="H35" s="2995" t="s">
        <v>3093</v>
      </c>
      <c r="I35" s="2996">
        <v>946.54</v>
      </c>
      <c r="J35" s="2996">
        <v>946.54</v>
      </c>
      <c r="K35" s="2996">
        <v>487.09019999999998</v>
      </c>
      <c r="L35" s="2997">
        <v>946.53</v>
      </c>
      <c r="M35" s="2998">
        <v>5</v>
      </c>
      <c r="N35" s="2998"/>
      <c r="O35" s="2996">
        <v>0</v>
      </c>
      <c r="P35" s="2999">
        <v>4</v>
      </c>
      <c r="Q35" s="2972">
        <v>946.54</v>
      </c>
      <c r="R35" s="2972"/>
      <c r="S35" s="2973" t="s">
        <v>3094</v>
      </c>
      <c r="T35" s="2974"/>
      <c r="U35" s="2974"/>
      <c r="V35" s="2974"/>
      <c r="W35" s="2975"/>
      <c r="X35" s="3027"/>
      <c r="Y35" s="3039">
        <f>SUM(地下室面积!E1005:E1009)</f>
        <v>480.53000000000003</v>
      </c>
      <c r="Z35" s="3028"/>
      <c r="AA35" s="3028"/>
      <c r="AB35" s="3029"/>
      <c r="AC35" s="3042" t="s">
        <v>3163</v>
      </c>
    </row>
    <row r="36" spans="1:29" s="2965" customFormat="1">
      <c r="A36" s="2961" t="s">
        <v>3121</v>
      </c>
      <c r="B36" s="2993" t="s">
        <v>3089</v>
      </c>
      <c r="C36" s="2994" t="s">
        <v>3131</v>
      </c>
      <c r="D36" s="2994" t="s">
        <v>3091</v>
      </c>
      <c r="E36" s="2994" t="s">
        <v>3092</v>
      </c>
      <c r="F36" s="2994">
        <v>19300</v>
      </c>
      <c r="G36" s="2995">
        <v>2478.2357999999999</v>
      </c>
      <c r="H36" s="2995" t="s">
        <v>3093</v>
      </c>
      <c r="I36" s="2996">
        <v>1281.33</v>
      </c>
      <c r="J36" s="2996">
        <v>1284.19</v>
      </c>
      <c r="K36" s="2996">
        <v>659.37339999999995</v>
      </c>
      <c r="L36" s="2997">
        <v>1284.06</v>
      </c>
      <c r="M36" s="2998">
        <v>7</v>
      </c>
      <c r="N36" s="2998"/>
      <c r="O36" s="2996">
        <v>0</v>
      </c>
      <c r="P36" s="2999">
        <v>4</v>
      </c>
      <c r="Q36" s="2972">
        <v>1281.33</v>
      </c>
      <c r="R36" s="2972">
        <v>2.86</v>
      </c>
      <c r="S36" s="2973" t="s">
        <v>3094</v>
      </c>
      <c r="T36" s="2974"/>
      <c r="U36" s="2974"/>
      <c r="V36" s="2974"/>
      <c r="W36" s="2975"/>
      <c r="X36" s="3027"/>
      <c r="Y36" s="3039">
        <f>SUM(地下室面积!E1010:E1016)</f>
        <v>644.90000000000009</v>
      </c>
      <c r="Z36" s="3028"/>
      <c r="AA36" s="3028"/>
      <c r="AB36" s="3029"/>
      <c r="AC36" s="3042" t="s">
        <v>3163</v>
      </c>
    </row>
    <row r="37" spans="1:29">
      <c r="A37" s="2956" t="s">
        <v>3108</v>
      </c>
      <c r="B37" s="3000" t="s">
        <v>3089</v>
      </c>
      <c r="C37" s="3001" t="s">
        <v>3132</v>
      </c>
      <c r="D37" s="3001" t="s">
        <v>3091</v>
      </c>
      <c r="E37" s="3001" t="s">
        <v>3092</v>
      </c>
      <c r="F37" s="3001">
        <v>19300</v>
      </c>
      <c r="G37" s="3002">
        <v>2516.2181999999998</v>
      </c>
      <c r="H37" s="3002" t="s">
        <v>3093</v>
      </c>
      <c r="I37" s="3003">
        <v>1300.8</v>
      </c>
      <c r="J37" s="3003">
        <v>1303.6600000000001</v>
      </c>
      <c r="K37" s="3003">
        <v>669.39260000000002</v>
      </c>
      <c r="L37" s="3004">
        <v>1303.74</v>
      </c>
      <c r="M37" s="3005">
        <v>7</v>
      </c>
      <c r="N37" s="3005"/>
      <c r="O37" s="3003">
        <v>0</v>
      </c>
      <c r="P37" s="3006">
        <v>4</v>
      </c>
      <c r="Q37" s="2976">
        <v>1300.8800000000001</v>
      </c>
      <c r="R37" s="2976">
        <v>2.86</v>
      </c>
      <c r="S37" s="2969" t="s">
        <v>3094</v>
      </c>
      <c r="T37" s="2977"/>
      <c r="U37" s="2977"/>
      <c r="V37" s="2977"/>
      <c r="W37" s="2978"/>
      <c r="X37" s="3023"/>
      <c r="Y37" s="3038">
        <f>SUM(地下室面积!E1017:E1023)</f>
        <v>640.51</v>
      </c>
      <c r="Z37" s="3025"/>
      <c r="AA37" s="3025"/>
      <c r="AB37" s="3026"/>
      <c r="AC37" s="3041" t="s">
        <v>3162</v>
      </c>
    </row>
    <row r="38" spans="1:29">
      <c r="A38" s="2956" t="s">
        <v>3108</v>
      </c>
      <c r="B38" s="3000" t="s">
        <v>3089</v>
      </c>
      <c r="C38" s="3001" t="s">
        <v>3133</v>
      </c>
      <c r="D38" s="3001" t="s">
        <v>3091</v>
      </c>
      <c r="E38" s="3001" t="s">
        <v>3092</v>
      </c>
      <c r="F38" s="3001">
        <v>19300</v>
      </c>
      <c r="G38" s="3002">
        <v>1468.0352</v>
      </c>
      <c r="H38" s="3002" t="s">
        <v>3093</v>
      </c>
      <c r="I38" s="3003">
        <v>760.66</v>
      </c>
      <c r="J38" s="3003">
        <v>760.66</v>
      </c>
      <c r="K38" s="3003">
        <v>391.43619999999999</v>
      </c>
      <c r="L38" s="3004">
        <v>760.64</v>
      </c>
      <c r="M38" s="3005">
        <v>4</v>
      </c>
      <c r="N38" s="3005"/>
      <c r="O38" s="3003">
        <v>0</v>
      </c>
      <c r="P38" s="3006">
        <v>4</v>
      </c>
      <c r="Q38" s="2976">
        <v>760.66</v>
      </c>
      <c r="R38" s="2976"/>
      <c r="S38" s="2969" t="s">
        <v>3094</v>
      </c>
      <c r="T38" s="2977"/>
      <c r="U38" s="2977"/>
      <c r="V38" s="2977"/>
      <c r="W38" s="2978"/>
      <c r="X38" s="3023"/>
      <c r="Y38" s="3038">
        <f>SUM(地下室面积!E1024:E1027)</f>
        <v>391.53000000000003</v>
      </c>
      <c r="Z38" s="3025"/>
      <c r="AA38" s="3025"/>
      <c r="AB38" s="3026"/>
      <c r="AC38" s="3041" t="s">
        <v>3162</v>
      </c>
    </row>
    <row r="39" spans="1:29">
      <c r="A39" s="2956" t="s">
        <v>3108</v>
      </c>
      <c r="B39" s="3000" t="s">
        <v>3089</v>
      </c>
      <c r="C39" s="3001" t="s">
        <v>3134</v>
      </c>
      <c r="D39" s="3001" t="s">
        <v>3091</v>
      </c>
      <c r="E39" s="3001" t="s">
        <v>3092</v>
      </c>
      <c r="F39" s="3001">
        <v>19300</v>
      </c>
      <c r="G39" s="3002">
        <v>1804.1254000000001</v>
      </c>
      <c r="H39" s="3002" t="s">
        <v>3093</v>
      </c>
      <c r="I39" s="3003">
        <v>934.45</v>
      </c>
      <c r="J39" s="3003">
        <v>934.45</v>
      </c>
      <c r="K39" s="3003">
        <v>480.86869999999999</v>
      </c>
      <c r="L39" s="3004">
        <v>934.78</v>
      </c>
      <c r="M39" s="3005">
        <v>5</v>
      </c>
      <c r="N39" s="3005"/>
      <c r="O39" s="3003">
        <v>0</v>
      </c>
      <c r="P39" s="3006">
        <v>4</v>
      </c>
      <c r="Q39" s="2968">
        <v>934.45</v>
      </c>
      <c r="R39" s="2976"/>
      <c r="S39" s="2969" t="s">
        <v>3094</v>
      </c>
      <c r="T39" s="2977"/>
      <c r="U39" s="2977"/>
      <c r="V39" s="2977"/>
      <c r="W39" s="2978"/>
      <c r="X39" s="3023"/>
      <c r="Y39" s="3038">
        <f>SUM(地下室面积!E1028:E1032)</f>
        <v>473.56000000000006</v>
      </c>
      <c r="Z39" s="3025"/>
      <c r="AA39" s="3025"/>
      <c r="AB39" s="3026"/>
      <c r="AC39" s="3041" t="s">
        <v>3162</v>
      </c>
    </row>
    <row r="40" spans="1:29">
      <c r="A40" s="2956" t="s">
        <v>3102</v>
      </c>
      <c r="B40" s="3000" t="s">
        <v>3089</v>
      </c>
      <c r="C40" s="3001" t="s">
        <v>3135</v>
      </c>
      <c r="D40" s="3001" t="s">
        <v>3091</v>
      </c>
      <c r="E40" s="3001" t="s">
        <v>3092</v>
      </c>
      <c r="F40" s="3001">
        <v>19300</v>
      </c>
      <c r="G40" s="3002">
        <v>2142.6088</v>
      </c>
      <c r="H40" s="3002" t="s">
        <v>3093</v>
      </c>
      <c r="I40" s="3003">
        <v>1107.54</v>
      </c>
      <c r="J40" s="3003">
        <v>1110.4000000000001</v>
      </c>
      <c r="K40" s="3003">
        <v>569.94090000000006</v>
      </c>
      <c r="L40" s="3004">
        <v>1110.1600000000001</v>
      </c>
      <c r="M40" s="3005">
        <v>6</v>
      </c>
      <c r="N40" s="3005"/>
      <c r="O40" s="3003">
        <v>0</v>
      </c>
      <c r="P40" s="3006">
        <v>4</v>
      </c>
      <c r="Q40" s="2976">
        <v>1107.54</v>
      </c>
      <c r="R40" s="2976">
        <v>2.86</v>
      </c>
      <c r="S40" s="2969" t="s">
        <v>3094</v>
      </c>
      <c r="T40" s="2977"/>
      <c r="U40" s="2977"/>
      <c r="V40" s="2977"/>
      <c r="W40" s="2978"/>
      <c r="X40" s="3023"/>
      <c r="Y40" s="3038">
        <f>SUM(地下室面积!E1033:E1038)</f>
        <v>554.54</v>
      </c>
      <c r="Z40" s="3025"/>
      <c r="AA40" s="3025"/>
      <c r="AB40" s="3026"/>
      <c r="AC40" s="3041" t="s">
        <v>3162</v>
      </c>
    </row>
    <row r="41" spans="1:29">
      <c r="A41" s="2960" t="s">
        <v>3108</v>
      </c>
      <c r="B41" s="2986" t="s">
        <v>3089</v>
      </c>
      <c r="C41" s="2987" t="s">
        <v>3136</v>
      </c>
      <c r="D41" s="2987" t="s">
        <v>3104</v>
      </c>
      <c r="E41" s="2987" t="s">
        <v>3092</v>
      </c>
      <c r="F41" s="2987">
        <v>19300</v>
      </c>
      <c r="G41" s="2988">
        <v>990.55320000000006</v>
      </c>
      <c r="H41" s="2988" t="s">
        <v>3093</v>
      </c>
      <c r="I41" s="2989">
        <v>513.4</v>
      </c>
      <c r="J41" s="2989">
        <v>513.4</v>
      </c>
      <c r="K41" s="2989">
        <v>264.2</v>
      </c>
      <c r="L41" s="2990">
        <v>513.24</v>
      </c>
      <c r="M41" s="2991">
        <v>2</v>
      </c>
      <c r="N41" s="2991"/>
      <c r="O41" s="2989">
        <v>0</v>
      </c>
      <c r="P41" s="2992">
        <v>4</v>
      </c>
      <c r="Q41" s="2968">
        <v>513.4</v>
      </c>
      <c r="R41" s="2968"/>
      <c r="S41" s="2969" t="s">
        <v>3094</v>
      </c>
      <c r="T41" s="2970"/>
      <c r="U41" s="2970"/>
      <c r="V41" s="2970"/>
      <c r="W41" s="2971"/>
      <c r="X41" s="3023"/>
      <c r="Y41" s="3038">
        <f>SUM(地下室面积!E881:E882)</f>
        <v>258.64999999999998</v>
      </c>
      <c r="Z41" s="3025"/>
      <c r="AA41" s="3025"/>
      <c r="AB41" s="3026"/>
      <c r="AC41" s="3041" t="s">
        <v>3162</v>
      </c>
    </row>
    <row r="42" spans="1:29">
      <c r="A42" s="2960" t="s">
        <v>3102</v>
      </c>
      <c r="B42" s="2986" t="s">
        <v>3089</v>
      </c>
      <c r="C42" s="2987" t="s">
        <v>3137</v>
      </c>
      <c r="D42" s="2987" t="s">
        <v>3091</v>
      </c>
      <c r="E42" s="2987" t="s">
        <v>3092</v>
      </c>
      <c r="F42" s="2987">
        <v>19300</v>
      </c>
      <c r="G42" s="2988">
        <v>2172.6396</v>
      </c>
      <c r="H42" s="2988" t="s">
        <v>3093</v>
      </c>
      <c r="I42" s="2989">
        <v>1123.0999999999999</v>
      </c>
      <c r="J42" s="2989">
        <v>1125.96</v>
      </c>
      <c r="K42" s="2989">
        <v>577.95000000000005</v>
      </c>
      <c r="L42" s="2990">
        <v>1125.72</v>
      </c>
      <c r="M42" s="2991">
        <v>6</v>
      </c>
      <c r="N42" s="2991"/>
      <c r="O42" s="2989">
        <v>0</v>
      </c>
      <c r="P42" s="2992">
        <v>4</v>
      </c>
      <c r="Q42" s="2968">
        <v>1123.0999999999999</v>
      </c>
      <c r="R42" s="2968"/>
      <c r="S42" s="2969" t="s">
        <v>3094</v>
      </c>
      <c r="T42" s="2970"/>
      <c r="U42" s="2970"/>
      <c r="V42" s="2970"/>
      <c r="W42" s="2971"/>
      <c r="X42" s="3023"/>
      <c r="Y42" s="3038">
        <f>SUM(地下室面积!E1039:E1044)</f>
        <v>561.96</v>
      </c>
      <c r="Z42" s="3025"/>
      <c r="AA42" s="3025"/>
      <c r="AB42" s="3026"/>
      <c r="AC42" s="3041" t="s">
        <v>3162</v>
      </c>
    </row>
    <row r="43" spans="1:29">
      <c r="A43" s="2960" t="s">
        <v>3085</v>
      </c>
      <c r="B43" s="2986" t="s">
        <v>1373</v>
      </c>
      <c r="C43" s="2987" t="s">
        <v>3138</v>
      </c>
      <c r="D43" s="2987" t="s">
        <v>3139</v>
      </c>
      <c r="E43" s="2987" t="s">
        <v>3140</v>
      </c>
      <c r="F43" s="2987">
        <v>15000</v>
      </c>
      <c r="G43" s="2988">
        <v>4433.7749999999996</v>
      </c>
      <c r="H43" s="2988" t="s">
        <v>3093</v>
      </c>
      <c r="I43" s="2989">
        <v>3753.52</v>
      </c>
      <c r="J43" s="2989">
        <v>3753.52</v>
      </c>
      <c r="K43" s="2989">
        <v>1813</v>
      </c>
      <c r="L43" s="3007">
        <f>Z43+AA43</f>
        <v>2969.42</v>
      </c>
      <c r="M43" s="2991"/>
      <c r="N43" s="2991"/>
      <c r="O43" s="2989">
        <v>0</v>
      </c>
      <c r="P43" s="2992">
        <v>2</v>
      </c>
      <c r="Q43" s="2968">
        <v>3753.52</v>
      </c>
      <c r="R43" s="2968"/>
      <c r="S43" s="2968" t="s">
        <v>3141</v>
      </c>
      <c r="T43" s="2968">
        <v>1813</v>
      </c>
      <c r="U43" s="2968">
        <v>2966.52</v>
      </c>
      <c r="V43" s="2968">
        <v>67</v>
      </c>
      <c r="W43" s="2979">
        <v>720</v>
      </c>
      <c r="X43" s="3030">
        <f>SUM(Y43:AB43)</f>
        <v>5547.0499999999993</v>
      </c>
      <c r="Y43" s="3038">
        <v>1798.05</v>
      </c>
      <c r="Z43" s="3031">
        <v>1781.44</v>
      </c>
      <c r="AA43" s="3031">
        <v>1187.98</v>
      </c>
      <c r="AB43" s="3032">
        <f>[1]分摊!$M$95+[1]分摊!$M$68</f>
        <v>779.57999999999993</v>
      </c>
      <c r="AC43" s="3041" t="s">
        <v>3162</v>
      </c>
    </row>
    <row r="44" spans="1:29">
      <c r="A44" s="2960" t="s">
        <v>3142</v>
      </c>
      <c r="B44" s="2986" t="s">
        <v>3143</v>
      </c>
      <c r="C44" s="2987" t="s">
        <v>3144</v>
      </c>
      <c r="D44" s="2987" t="s">
        <v>3145</v>
      </c>
      <c r="E44" s="2987" t="s">
        <v>3140</v>
      </c>
      <c r="F44" s="2987">
        <v>110000</v>
      </c>
      <c r="G44" s="2988">
        <v>8052</v>
      </c>
      <c r="H44" s="2988" t="s">
        <v>3093</v>
      </c>
      <c r="I44" s="2989"/>
      <c r="J44" s="2989">
        <v>34417</v>
      </c>
      <c r="K44" s="2989"/>
      <c r="L44" s="3007">
        <f>SUM(地下室面积!E4:E829)</f>
        <v>36026.979999999778</v>
      </c>
      <c r="M44" s="2991"/>
      <c r="N44" s="2991">
        <v>826</v>
      </c>
      <c r="O44" s="2989">
        <v>41.667070217917697</v>
      </c>
      <c r="P44" s="2992"/>
      <c r="Q44" s="2968"/>
      <c r="R44" s="2968"/>
      <c r="S44" s="2968"/>
      <c r="T44" s="2970"/>
      <c r="U44" s="2970"/>
      <c r="V44" s="2970"/>
      <c r="W44" s="2971"/>
      <c r="X44" s="3023"/>
      <c r="Y44" s="3024"/>
      <c r="Z44" s="3025"/>
      <c r="AA44" s="3025"/>
      <c r="AB44" s="3026"/>
      <c r="AC44" s="3041"/>
    </row>
    <row r="45" spans="1:29" ht="16.2" thickBot="1">
      <c r="A45" s="2962"/>
      <c r="B45" s="3008" t="s">
        <v>37</v>
      </c>
      <c r="C45" s="3009"/>
      <c r="D45" s="3009"/>
      <c r="E45" s="3009"/>
      <c r="F45" s="3009"/>
      <c r="G45" s="3009">
        <f>SUM(G4:G44)</f>
        <v>66220.630902500008</v>
      </c>
      <c r="H45" s="3010"/>
      <c r="I45" s="3009">
        <f>SUM(I4:I44)</f>
        <v>31581.530000000006</v>
      </c>
      <c r="J45" s="3009">
        <f>SUM(J4:J44)</f>
        <v>66015.69</v>
      </c>
      <c r="K45" s="3009">
        <f>SUM(K4:K44)</f>
        <v>16133.3202</v>
      </c>
      <c r="L45" s="3011">
        <f>SUM(L4:L44)</f>
        <v>66837.489999999787</v>
      </c>
      <c r="M45" s="3009">
        <f>SUM(M4:M44)</f>
        <v>131</v>
      </c>
      <c r="N45" s="3009">
        <f>SUM(N44:N44)</f>
        <v>826</v>
      </c>
      <c r="O45" s="3009"/>
      <c r="P45" s="3012"/>
      <c r="Q45" s="2980"/>
      <c r="R45" s="2980"/>
      <c r="S45" s="2980"/>
      <c r="T45" s="2981"/>
      <c r="U45" s="2981"/>
      <c r="V45" s="2981"/>
      <c r="W45" s="2982"/>
      <c r="X45" s="3033"/>
      <c r="Y45" s="3034"/>
      <c r="Z45" s="3035"/>
      <c r="AA45" s="3035"/>
      <c r="AB45" s="3036"/>
      <c r="AC45" s="3043"/>
    </row>
    <row r="48" spans="1:29">
      <c r="B48" s="3175" t="s">
        <v>3188</v>
      </c>
      <c r="C48" s="3175"/>
      <c r="D48" s="3175"/>
      <c r="E48" s="3175"/>
      <c r="L48">
        <f>L26/('数据-基础表'!K13+'数据-基础表'!K14)*0.4</f>
        <v>1.6666666666666666E-2</v>
      </c>
    </row>
    <row r="49" spans="2:12">
      <c r="B49" s="3014" t="s">
        <v>3180</v>
      </c>
      <c r="C49" s="3014" t="s">
        <v>3179</v>
      </c>
      <c r="D49" s="3014" t="s">
        <v>3181</v>
      </c>
      <c r="E49" s="3014" t="s">
        <v>3182</v>
      </c>
      <c r="L49">
        <f>(L35+L36)/('数据-汇总表'!F19)*0.45</f>
        <v>6.4661738170869273E-2</v>
      </c>
    </row>
    <row r="50" spans="2:12">
      <c r="B50" s="3014" t="s">
        <v>3178</v>
      </c>
      <c r="C50" s="3014" t="s">
        <v>3184</v>
      </c>
      <c r="D50" s="3014">
        <v>94894.99</v>
      </c>
      <c r="E50" s="3014">
        <v>20197</v>
      </c>
    </row>
    <row r="51" spans="2:12">
      <c r="B51" s="3014" t="s">
        <v>3187</v>
      </c>
      <c r="C51" s="3014" t="s">
        <v>3183</v>
      </c>
      <c r="D51" s="3014">
        <v>139505.06</v>
      </c>
      <c r="E51" s="3014">
        <v>31316</v>
      </c>
    </row>
    <row r="52" spans="2:12">
      <c r="B52" s="3014" t="s">
        <v>3185</v>
      </c>
      <c r="C52" s="3014" t="s">
        <v>3186</v>
      </c>
      <c r="D52" s="3014">
        <v>63801.37</v>
      </c>
      <c r="E52" s="3014">
        <v>59524.2</v>
      </c>
    </row>
    <row r="53" spans="2:12">
      <c r="B53" s="3014"/>
      <c r="C53" s="3014"/>
      <c r="D53" s="3014">
        <f>SUM(D50:D52)</f>
        <v>298201.42</v>
      </c>
      <c r="E53" s="3014">
        <f>SUM(E50:E52)</f>
        <v>111037.2</v>
      </c>
    </row>
    <row r="54" spans="2:12">
      <c r="B54" s="3014"/>
      <c r="C54" s="3014"/>
      <c r="D54" s="3014"/>
      <c r="E54" s="3014"/>
    </row>
    <row r="55" spans="2:12">
      <c r="B55" s="3014"/>
      <c r="C55" s="3014"/>
      <c r="D55" s="3014">
        <f>'数据-基础表'!A3*1.6</f>
        <v>319019.2</v>
      </c>
      <c r="E55" s="3014"/>
    </row>
  </sheetData>
  <mergeCells count="4">
    <mergeCell ref="B1:P1"/>
    <mergeCell ref="Q2:W2"/>
    <mergeCell ref="X2:AB2"/>
    <mergeCell ref="B48:E48"/>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H44"/>
  <sheetViews>
    <sheetView zoomScale="115" zoomScaleNormal="115" workbookViewId="0">
      <selection activeCell="J18" sqref="J18"/>
    </sheetView>
  </sheetViews>
  <sheetFormatPr defaultRowHeight="14.4"/>
  <cols>
    <col min="2" max="2" width="9.109375" bestFit="1" customWidth="1"/>
    <col min="5" max="5" width="17.6640625" bestFit="1" customWidth="1"/>
    <col min="6" max="6" width="13.88671875" customWidth="1"/>
    <col min="7" max="7" width="9.77734375" bestFit="1" customWidth="1"/>
    <col min="8" max="8" width="10.44140625" bestFit="1" customWidth="1"/>
  </cols>
  <sheetData>
    <row r="2" spans="2:8" ht="15.6">
      <c r="B2" s="3090" t="s">
        <v>3479</v>
      </c>
      <c r="C2" s="3090" t="s">
        <v>3480</v>
      </c>
      <c r="D2" s="3090" t="s">
        <v>3481</v>
      </c>
      <c r="E2" s="3090" t="s">
        <v>3482</v>
      </c>
      <c r="F2" s="3090" t="s">
        <v>3483</v>
      </c>
      <c r="G2" s="3090" t="s">
        <v>3484</v>
      </c>
      <c r="H2" s="3090" t="s">
        <v>3485</v>
      </c>
    </row>
    <row r="3" spans="2:8" ht="15.6">
      <c r="B3" s="3090">
        <v>1</v>
      </c>
      <c r="C3" s="3090" t="s">
        <v>3486</v>
      </c>
      <c r="D3" s="3090" t="s">
        <v>3487</v>
      </c>
      <c r="E3" s="3090" t="s">
        <v>3488</v>
      </c>
      <c r="F3" s="3090">
        <f>面积表!L4</f>
        <v>1284.06</v>
      </c>
      <c r="G3" s="3090">
        <f>面积表!Y4</f>
        <v>631.5</v>
      </c>
      <c r="H3" s="3090">
        <f>F3+G3</f>
        <v>1915.56</v>
      </c>
    </row>
    <row r="4" spans="2:8" ht="15.6">
      <c r="B4" s="3090">
        <v>2</v>
      </c>
      <c r="C4" s="3090" t="s">
        <v>3489</v>
      </c>
      <c r="D4" s="3090" t="s">
        <v>3487</v>
      </c>
      <c r="E4" s="3090" t="s">
        <v>3488</v>
      </c>
      <c r="F4" s="3090">
        <f>面积表!L5</f>
        <v>1284.06</v>
      </c>
      <c r="G4" s="3090">
        <f>面积表!Y5</f>
        <v>631.06999999999994</v>
      </c>
      <c r="H4" s="3090">
        <f t="shared" ref="H4:H44" si="0">F4+G4</f>
        <v>1915.1299999999999</v>
      </c>
    </row>
    <row r="5" spans="2:8" ht="15.6">
      <c r="B5" s="3090">
        <v>3</v>
      </c>
      <c r="C5" s="3090" t="s">
        <v>3490</v>
      </c>
      <c r="D5" s="3090" t="s">
        <v>3487</v>
      </c>
      <c r="E5" s="3090" t="s">
        <v>3488</v>
      </c>
      <c r="F5" s="3090">
        <f>面积表!L6</f>
        <v>934.78</v>
      </c>
      <c r="G5" s="3090">
        <f>面积表!Y6</f>
        <v>471.52000000000004</v>
      </c>
      <c r="H5" s="3090">
        <f t="shared" si="0"/>
        <v>1406.3</v>
      </c>
    </row>
    <row r="6" spans="2:8" ht="15.6">
      <c r="B6" s="3090">
        <v>4</v>
      </c>
      <c r="C6" s="3090" t="s">
        <v>3491</v>
      </c>
      <c r="D6" s="3090" t="s">
        <v>3487</v>
      </c>
      <c r="E6" s="3090" t="s">
        <v>3488</v>
      </c>
      <c r="F6" s="3090">
        <f>面积表!L7</f>
        <v>946.53</v>
      </c>
      <c r="G6" s="3090">
        <f>面积表!Y7</f>
        <v>478.6</v>
      </c>
      <c r="H6" s="3090">
        <f t="shared" si="0"/>
        <v>1425.13</v>
      </c>
    </row>
    <row r="7" spans="2:8" ht="15.6">
      <c r="B7" s="3090">
        <v>5</v>
      </c>
      <c r="C7" s="3090" t="s">
        <v>3492</v>
      </c>
      <c r="D7" s="3090" t="s">
        <v>3487</v>
      </c>
      <c r="E7" s="3090" t="s">
        <v>3488</v>
      </c>
      <c r="F7" s="3090">
        <f>面积表!L8</f>
        <v>946.53</v>
      </c>
      <c r="G7" s="3090">
        <f>面积表!Y8</f>
        <v>478.11</v>
      </c>
      <c r="H7" s="3090">
        <f t="shared" si="0"/>
        <v>1424.6399999999999</v>
      </c>
    </row>
    <row r="8" spans="2:8" ht="15.6">
      <c r="B8" s="3090">
        <v>6</v>
      </c>
      <c r="C8" s="3090" t="s">
        <v>3493</v>
      </c>
      <c r="D8" s="3090" t="s">
        <v>3487</v>
      </c>
      <c r="E8" s="3090" t="s">
        <v>3488</v>
      </c>
      <c r="F8" s="3090">
        <f>面积表!L9</f>
        <v>946.53</v>
      </c>
      <c r="G8" s="3090">
        <f>面积表!Y9</f>
        <v>474.25</v>
      </c>
      <c r="H8" s="3090">
        <f t="shared" si="0"/>
        <v>1420.78</v>
      </c>
    </row>
    <row r="9" spans="2:8" ht="15.6">
      <c r="B9" s="3090">
        <v>7</v>
      </c>
      <c r="C9" s="3090" t="s">
        <v>3494</v>
      </c>
      <c r="D9" s="3090" t="s">
        <v>3487</v>
      </c>
      <c r="E9" s="3090" t="s">
        <v>3488</v>
      </c>
      <c r="F9" s="3090">
        <f>面积表!L10</f>
        <v>946.53</v>
      </c>
      <c r="G9" s="3090">
        <f>面积表!Y10</f>
        <v>478.11</v>
      </c>
      <c r="H9" s="3090">
        <f t="shared" si="0"/>
        <v>1424.6399999999999</v>
      </c>
    </row>
    <row r="10" spans="2:8" ht="15.6">
      <c r="B10" s="3090">
        <v>8</v>
      </c>
      <c r="C10" s="3090" t="s">
        <v>3495</v>
      </c>
      <c r="D10" s="3090" t="s">
        <v>3487</v>
      </c>
      <c r="E10" s="3090" t="s">
        <v>3488</v>
      </c>
      <c r="F10" s="3090">
        <f>面积表!L11</f>
        <v>768.68</v>
      </c>
      <c r="G10" s="3090">
        <f>面积表!Y11</f>
        <v>398.61</v>
      </c>
      <c r="H10" s="3090">
        <f t="shared" si="0"/>
        <v>1167.29</v>
      </c>
    </row>
    <row r="11" spans="2:8" ht="15.6">
      <c r="B11" s="3090">
        <v>9</v>
      </c>
      <c r="C11" s="3090" t="s">
        <v>3496</v>
      </c>
      <c r="D11" s="3090" t="s">
        <v>3487</v>
      </c>
      <c r="E11" s="3090" t="s">
        <v>3497</v>
      </c>
      <c r="F11" s="3090">
        <f>面积表!L12</f>
        <v>513.24</v>
      </c>
      <c r="G11" s="3090">
        <f>面积表!Y12</f>
        <v>260.42</v>
      </c>
      <c r="H11" s="3090">
        <f t="shared" si="0"/>
        <v>773.66000000000008</v>
      </c>
    </row>
    <row r="12" spans="2:8" ht="15.6">
      <c r="B12" s="3090">
        <v>10</v>
      </c>
      <c r="C12" s="3090" t="s">
        <v>3498</v>
      </c>
      <c r="D12" s="3090" t="s">
        <v>3487</v>
      </c>
      <c r="E12" s="3090" t="s">
        <v>3497</v>
      </c>
      <c r="F12" s="3090">
        <f>面积表!L13</f>
        <v>513.24</v>
      </c>
      <c r="G12" s="3090">
        <f>面积表!Y13</f>
        <v>260.42</v>
      </c>
      <c r="H12" s="3090">
        <f t="shared" si="0"/>
        <v>773.66000000000008</v>
      </c>
    </row>
    <row r="13" spans="2:8" ht="15.6">
      <c r="B13" s="3090">
        <v>11</v>
      </c>
      <c r="C13" s="3090" t="s">
        <v>3499</v>
      </c>
      <c r="D13" s="3090" t="s">
        <v>3487</v>
      </c>
      <c r="E13" s="3090" t="s">
        <v>3497</v>
      </c>
      <c r="F13" s="3090">
        <f>面积表!L14</f>
        <v>513.24</v>
      </c>
      <c r="G13" s="3090">
        <f>面积表!Y14</f>
        <v>260.42</v>
      </c>
      <c r="H13" s="3090">
        <f t="shared" si="0"/>
        <v>773.66000000000008</v>
      </c>
    </row>
    <row r="14" spans="2:8" ht="15.6">
      <c r="B14" s="3090">
        <v>12</v>
      </c>
      <c r="C14" s="3090" t="s">
        <v>3500</v>
      </c>
      <c r="D14" s="3090" t="s">
        <v>3487</v>
      </c>
      <c r="E14" s="3090" t="s">
        <v>3497</v>
      </c>
      <c r="F14" s="3090">
        <f>面积表!L15</f>
        <v>513.24</v>
      </c>
      <c r="G14" s="3090">
        <f>面积表!Y15</f>
        <v>260.42</v>
      </c>
      <c r="H14" s="3090">
        <f t="shared" si="0"/>
        <v>773.66000000000008</v>
      </c>
    </row>
    <row r="15" spans="2:8" ht="15.6">
      <c r="B15" s="3090">
        <v>13</v>
      </c>
      <c r="C15" s="3090" t="s">
        <v>3501</v>
      </c>
      <c r="D15" s="3090" t="s">
        <v>3487</v>
      </c>
      <c r="E15" s="3090" t="s">
        <v>3497</v>
      </c>
      <c r="F15" s="3090">
        <f>面积表!L16</f>
        <v>513.24</v>
      </c>
      <c r="G15" s="3090">
        <f>面积表!Y16</f>
        <v>260.42</v>
      </c>
      <c r="H15" s="3090">
        <f t="shared" si="0"/>
        <v>773.66000000000008</v>
      </c>
    </row>
    <row r="16" spans="2:8" ht="15.6">
      <c r="B16" s="3090">
        <v>14</v>
      </c>
      <c r="C16" s="3090" t="s">
        <v>3502</v>
      </c>
      <c r="D16" s="3090" t="s">
        <v>3487</v>
      </c>
      <c r="E16" s="3090" t="s">
        <v>3497</v>
      </c>
      <c r="F16" s="3090">
        <f>面积表!L17</f>
        <v>513.24</v>
      </c>
      <c r="G16" s="3090">
        <f>面积表!Y17</f>
        <v>260.42</v>
      </c>
      <c r="H16" s="3090">
        <f t="shared" si="0"/>
        <v>773.66000000000008</v>
      </c>
    </row>
    <row r="17" spans="2:8" ht="15.6">
      <c r="B17" s="3090">
        <v>15</v>
      </c>
      <c r="C17" s="3090" t="s">
        <v>3503</v>
      </c>
      <c r="D17" s="3090" t="s">
        <v>3487</v>
      </c>
      <c r="E17" s="3090" t="s">
        <v>3497</v>
      </c>
      <c r="F17" s="3090">
        <f>面积表!L18</f>
        <v>513.24</v>
      </c>
      <c r="G17" s="3090">
        <f>面积表!Y18</f>
        <v>264.90000000000003</v>
      </c>
      <c r="H17" s="3090">
        <f t="shared" si="0"/>
        <v>778.1400000000001</v>
      </c>
    </row>
    <row r="18" spans="2:8" ht="15.6">
      <c r="B18" s="3090">
        <v>16</v>
      </c>
      <c r="C18" s="3090" t="s">
        <v>3504</v>
      </c>
      <c r="D18" s="3090" t="s">
        <v>3487</v>
      </c>
      <c r="E18" s="3090" t="s">
        <v>3497</v>
      </c>
      <c r="F18" s="3090">
        <f>面积表!L19</f>
        <v>513.24</v>
      </c>
      <c r="G18" s="3090">
        <f>面积表!Y19</f>
        <v>264.90000000000003</v>
      </c>
      <c r="H18" s="3090">
        <f t="shared" si="0"/>
        <v>778.1400000000001</v>
      </c>
    </row>
    <row r="19" spans="2:8" ht="15.6">
      <c r="B19" s="3090">
        <v>17</v>
      </c>
      <c r="C19" s="3090" t="s">
        <v>3505</v>
      </c>
      <c r="D19" s="3090" t="s">
        <v>3487</v>
      </c>
      <c r="E19" s="3090" t="s">
        <v>3497</v>
      </c>
      <c r="F19" s="3090">
        <f>面积表!L20</f>
        <v>513.24</v>
      </c>
      <c r="G19" s="3090">
        <f>面积表!Y20</f>
        <v>264.90000000000003</v>
      </c>
      <c r="H19" s="3090">
        <f t="shared" si="0"/>
        <v>778.1400000000001</v>
      </c>
    </row>
    <row r="20" spans="2:8" ht="15.6">
      <c r="B20" s="3090">
        <v>18</v>
      </c>
      <c r="C20" s="3090" t="s">
        <v>3506</v>
      </c>
      <c r="D20" s="3090" t="s">
        <v>3487</v>
      </c>
      <c r="E20" s="3090" t="s">
        <v>3497</v>
      </c>
      <c r="F20" s="3090">
        <f>面积表!L21</f>
        <v>513.24</v>
      </c>
      <c r="G20" s="3090">
        <f>面积表!Y21</f>
        <v>263.01</v>
      </c>
      <c r="H20" s="3090">
        <f t="shared" si="0"/>
        <v>776.25</v>
      </c>
    </row>
    <row r="21" spans="2:8" ht="15.6">
      <c r="B21" s="3090">
        <v>19</v>
      </c>
      <c r="C21" s="3090" t="s">
        <v>3507</v>
      </c>
      <c r="D21" s="3090" t="s">
        <v>3487</v>
      </c>
      <c r="E21" s="3090" t="s">
        <v>3497</v>
      </c>
      <c r="F21" s="3090">
        <f>面积表!L22</f>
        <v>513.24</v>
      </c>
      <c r="G21" s="3090">
        <f>面积表!Y22</f>
        <v>264.90000000000003</v>
      </c>
      <c r="H21" s="3090">
        <f t="shared" si="0"/>
        <v>778.1400000000001</v>
      </c>
    </row>
    <row r="22" spans="2:8" ht="15.6">
      <c r="B22" s="3090">
        <v>20</v>
      </c>
      <c r="C22" s="3090" t="s">
        <v>3508</v>
      </c>
      <c r="D22" s="3090" t="s">
        <v>3487</v>
      </c>
      <c r="E22" s="3090" t="s">
        <v>3497</v>
      </c>
      <c r="F22" s="3090">
        <f>面积表!L23</f>
        <v>513.24</v>
      </c>
      <c r="G22" s="3090">
        <f>面积表!Y23</f>
        <v>264.90000000000003</v>
      </c>
      <c r="H22" s="3090">
        <f t="shared" si="0"/>
        <v>778.1400000000001</v>
      </c>
    </row>
    <row r="23" spans="2:8" ht="15.6">
      <c r="B23" s="3090">
        <v>21</v>
      </c>
      <c r="C23" s="3090" t="s">
        <v>3509</v>
      </c>
      <c r="D23" s="3090" t="s">
        <v>3487</v>
      </c>
      <c r="E23" s="3090" t="s">
        <v>3497</v>
      </c>
      <c r="F23" s="3090">
        <f>面积表!L24</f>
        <v>513.24</v>
      </c>
      <c r="G23" s="3090">
        <f>面积表!Y24</f>
        <v>264.90000000000003</v>
      </c>
      <c r="H23" s="3090">
        <f t="shared" si="0"/>
        <v>778.1400000000001</v>
      </c>
    </row>
    <row r="24" spans="2:8" ht="15.6">
      <c r="B24" s="3090">
        <v>22</v>
      </c>
      <c r="C24" s="3090" t="s">
        <v>3510</v>
      </c>
      <c r="D24" s="3090" t="s">
        <v>3487</v>
      </c>
      <c r="E24" s="3090" t="s">
        <v>3497</v>
      </c>
      <c r="F24" s="3090">
        <f>面积表!L25</f>
        <v>513.24</v>
      </c>
      <c r="G24" s="3090">
        <f>面积表!Y25</f>
        <v>264.90000000000003</v>
      </c>
      <c r="H24" s="3090">
        <f t="shared" si="0"/>
        <v>778.1400000000001</v>
      </c>
    </row>
    <row r="25" spans="2:8" ht="15.6">
      <c r="B25" s="3090">
        <v>23</v>
      </c>
      <c r="C25" s="3090" t="s">
        <v>3511</v>
      </c>
      <c r="D25" s="3090" t="s">
        <v>3487</v>
      </c>
      <c r="E25" s="3090" t="s">
        <v>3497</v>
      </c>
      <c r="F25" s="3090">
        <f>面积表!L26</f>
        <v>513.24</v>
      </c>
      <c r="G25" s="3090">
        <f>面积表!Y26</f>
        <v>260.42</v>
      </c>
      <c r="H25" s="3090">
        <f t="shared" si="0"/>
        <v>773.66000000000008</v>
      </c>
    </row>
    <row r="26" spans="2:8" ht="15.6">
      <c r="B26" s="3090">
        <v>24</v>
      </c>
      <c r="C26" s="3090" t="s">
        <v>3512</v>
      </c>
      <c r="D26" s="3090" t="s">
        <v>3487</v>
      </c>
      <c r="E26" s="3090" t="s">
        <v>3497</v>
      </c>
      <c r="F26" s="3090">
        <f>面积表!L27</f>
        <v>513.24</v>
      </c>
      <c r="G26" s="3090">
        <f>面积表!Y27</f>
        <v>258.64999999999998</v>
      </c>
      <c r="H26" s="3090">
        <f t="shared" si="0"/>
        <v>771.89</v>
      </c>
    </row>
    <row r="27" spans="2:8" ht="15.6">
      <c r="B27" s="3090">
        <v>25</v>
      </c>
      <c r="C27" s="3090" t="s">
        <v>3513</v>
      </c>
      <c r="D27" s="3090" t="s">
        <v>3487</v>
      </c>
      <c r="E27" s="3090" t="s">
        <v>3497</v>
      </c>
      <c r="F27" s="3090">
        <f>面积表!L28</f>
        <v>513.24</v>
      </c>
      <c r="G27" s="3090">
        <f>面积表!Y28</f>
        <v>260.42</v>
      </c>
      <c r="H27" s="3090">
        <f t="shared" si="0"/>
        <v>773.66000000000008</v>
      </c>
    </row>
    <row r="28" spans="2:8" ht="15.6">
      <c r="B28" s="3090">
        <v>26</v>
      </c>
      <c r="C28" s="3090" t="s">
        <v>3514</v>
      </c>
      <c r="D28" s="3090" t="s">
        <v>3487</v>
      </c>
      <c r="E28" s="3090" t="s">
        <v>3497</v>
      </c>
      <c r="F28" s="3090">
        <f>面积表!L29</f>
        <v>513.24</v>
      </c>
      <c r="G28" s="3090">
        <f>面积表!Y29</f>
        <v>260.42</v>
      </c>
      <c r="H28" s="3090">
        <f t="shared" si="0"/>
        <v>773.66000000000008</v>
      </c>
    </row>
    <row r="29" spans="2:8" ht="15.6">
      <c r="B29" s="3090">
        <v>27</v>
      </c>
      <c r="C29" s="3090" t="s">
        <v>3515</v>
      </c>
      <c r="D29" s="3090" t="s">
        <v>3487</v>
      </c>
      <c r="E29" s="3090" t="s">
        <v>3497</v>
      </c>
      <c r="F29" s="3090">
        <f>面积表!L30</f>
        <v>513.24</v>
      </c>
      <c r="G29" s="3090">
        <f>面积表!Y30</f>
        <v>260.42</v>
      </c>
      <c r="H29" s="3090">
        <f t="shared" si="0"/>
        <v>773.66000000000008</v>
      </c>
    </row>
    <row r="30" spans="2:8" ht="15.6">
      <c r="B30" s="3090">
        <v>28</v>
      </c>
      <c r="C30" s="3090" t="s">
        <v>3516</v>
      </c>
      <c r="D30" s="3090" t="s">
        <v>3487</v>
      </c>
      <c r="E30" s="3090" t="s">
        <v>3497</v>
      </c>
      <c r="F30" s="3090">
        <f>面积表!L31</f>
        <v>513.24</v>
      </c>
      <c r="G30" s="3090">
        <f>面积表!Y31</f>
        <v>264.90000000000003</v>
      </c>
      <c r="H30" s="3090">
        <f t="shared" si="0"/>
        <v>778.1400000000001</v>
      </c>
    </row>
    <row r="31" spans="2:8" ht="15.6">
      <c r="B31" s="3090">
        <v>29</v>
      </c>
      <c r="C31" s="3090" t="s">
        <v>3517</v>
      </c>
      <c r="D31" s="3090" t="s">
        <v>3487</v>
      </c>
      <c r="E31" s="3090" t="s">
        <v>3497</v>
      </c>
      <c r="F31" s="3090">
        <f>面积表!L32</f>
        <v>513.24</v>
      </c>
      <c r="G31" s="3090">
        <f>面积表!Y32</f>
        <v>264.90000000000003</v>
      </c>
      <c r="H31" s="3090">
        <f t="shared" si="0"/>
        <v>778.1400000000001</v>
      </c>
    </row>
    <row r="32" spans="2:8" ht="15.6">
      <c r="B32" s="3090">
        <v>30</v>
      </c>
      <c r="C32" s="3090" t="s">
        <v>3518</v>
      </c>
      <c r="D32" s="3090" t="s">
        <v>3487</v>
      </c>
      <c r="E32" s="3090" t="s">
        <v>3497</v>
      </c>
      <c r="F32" s="3090">
        <f>面积表!L33</f>
        <v>513.24</v>
      </c>
      <c r="G32" s="3090">
        <f>面积表!Y33</f>
        <v>264.90000000000003</v>
      </c>
      <c r="H32" s="3090">
        <f t="shared" si="0"/>
        <v>778.1400000000001</v>
      </c>
    </row>
    <row r="33" spans="2:8" ht="15.6">
      <c r="B33" s="3090">
        <v>31</v>
      </c>
      <c r="C33" s="3090" t="s">
        <v>3519</v>
      </c>
      <c r="D33" s="3090" t="s">
        <v>3487</v>
      </c>
      <c r="E33" s="3090" t="s">
        <v>3497</v>
      </c>
      <c r="F33" s="3090">
        <f>面积表!L34</f>
        <v>513.24</v>
      </c>
      <c r="G33" s="3090">
        <f>面积表!Y34</f>
        <v>279.07000000000005</v>
      </c>
      <c r="H33" s="3090">
        <f t="shared" si="0"/>
        <v>792.31000000000006</v>
      </c>
    </row>
    <row r="34" spans="2:8" ht="15.6">
      <c r="B34" s="3090">
        <v>32</v>
      </c>
      <c r="C34" s="3090" t="s">
        <v>3520</v>
      </c>
      <c r="D34" s="3090" t="s">
        <v>3487</v>
      </c>
      <c r="E34" s="3090" t="s">
        <v>3488</v>
      </c>
      <c r="F34" s="3090">
        <f>面积表!L35</f>
        <v>946.53</v>
      </c>
      <c r="G34" s="3090">
        <f>面积表!Y35</f>
        <v>480.53000000000003</v>
      </c>
      <c r="H34" s="3090">
        <f t="shared" si="0"/>
        <v>1427.06</v>
      </c>
    </row>
    <row r="35" spans="2:8" ht="15.6">
      <c r="B35" s="3090">
        <v>33</v>
      </c>
      <c r="C35" s="3090" t="s">
        <v>3521</v>
      </c>
      <c r="D35" s="3090" t="s">
        <v>3487</v>
      </c>
      <c r="E35" s="3090" t="s">
        <v>3488</v>
      </c>
      <c r="F35" s="3090">
        <f>面积表!L36</f>
        <v>1284.06</v>
      </c>
      <c r="G35" s="3090">
        <f>面积表!Y36</f>
        <v>644.90000000000009</v>
      </c>
      <c r="H35" s="3090">
        <f t="shared" si="0"/>
        <v>1928.96</v>
      </c>
    </row>
    <row r="36" spans="2:8" ht="15.6">
      <c r="B36" s="3090">
        <v>34</v>
      </c>
      <c r="C36" s="3090" t="s">
        <v>3522</v>
      </c>
      <c r="D36" s="3090" t="s">
        <v>3487</v>
      </c>
      <c r="E36" s="3090" t="s">
        <v>3488</v>
      </c>
      <c r="F36" s="3090">
        <f>面积表!L37</f>
        <v>1303.74</v>
      </c>
      <c r="G36" s="3090">
        <f>面积表!Y37</f>
        <v>640.51</v>
      </c>
      <c r="H36" s="3090">
        <f t="shared" si="0"/>
        <v>1944.25</v>
      </c>
    </row>
    <row r="37" spans="2:8" ht="15.6">
      <c r="B37" s="3090">
        <v>35</v>
      </c>
      <c r="C37" s="3090" t="s">
        <v>3523</v>
      </c>
      <c r="D37" s="3090" t="s">
        <v>3487</v>
      </c>
      <c r="E37" s="3090" t="s">
        <v>3488</v>
      </c>
      <c r="F37" s="3090">
        <f>面积表!L38</f>
        <v>760.64</v>
      </c>
      <c r="G37" s="3090">
        <f>面积表!Y38</f>
        <v>391.53000000000003</v>
      </c>
      <c r="H37" s="3090">
        <f t="shared" si="0"/>
        <v>1152.17</v>
      </c>
    </row>
    <row r="38" spans="2:8" ht="15.6">
      <c r="B38" s="3090">
        <v>36</v>
      </c>
      <c r="C38" s="3090" t="s">
        <v>3524</v>
      </c>
      <c r="D38" s="3090" t="s">
        <v>3487</v>
      </c>
      <c r="E38" s="3090" t="s">
        <v>3488</v>
      </c>
      <c r="F38" s="3090">
        <f>面积表!L39</f>
        <v>934.78</v>
      </c>
      <c r="G38" s="3090">
        <f>面积表!Y39</f>
        <v>473.56000000000006</v>
      </c>
      <c r="H38" s="3090">
        <f t="shared" si="0"/>
        <v>1408.3400000000001</v>
      </c>
    </row>
    <row r="39" spans="2:8" ht="15.6">
      <c r="B39" s="3090">
        <v>37</v>
      </c>
      <c r="C39" s="3090" t="s">
        <v>3525</v>
      </c>
      <c r="D39" s="3090" t="s">
        <v>3487</v>
      </c>
      <c r="E39" s="3090" t="s">
        <v>3488</v>
      </c>
      <c r="F39" s="3090">
        <f>面积表!L40</f>
        <v>1110.1600000000001</v>
      </c>
      <c r="G39" s="3090">
        <f>面积表!Y40</f>
        <v>554.54</v>
      </c>
      <c r="H39" s="3090">
        <f t="shared" si="0"/>
        <v>1664.7</v>
      </c>
    </row>
    <row r="40" spans="2:8" ht="15.6">
      <c r="B40" s="3090">
        <v>38</v>
      </c>
      <c r="C40" s="3090" t="s">
        <v>3526</v>
      </c>
      <c r="D40" s="3090" t="s">
        <v>3487</v>
      </c>
      <c r="E40" s="3090" t="s">
        <v>3497</v>
      </c>
      <c r="F40" s="3090">
        <f>面积表!L41</f>
        <v>513.24</v>
      </c>
      <c r="G40" s="3090">
        <f>面积表!Y41</f>
        <v>258.64999999999998</v>
      </c>
      <c r="H40" s="3090">
        <f t="shared" si="0"/>
        <v>771.89</v>
      </c>
    </row>
    <row r="41" spans="2:8" ht="15.6">
      <c r="B41" s="3090">
        <v>39</v>
      </c>
      <c r="C41" s="3090" t="s">
        <v>3527</v>
      </c>
      <c r="D41" s="3090" t="s">
        <v>3487</v>
      </c>
      <c r="E41" s="3090" t="s">
        <v>3488</v>
      </c>
      <c r="F41" s="3090">
        <f>面积表!L42</f>
        <v>1125.72</v>
      </c>
      <c r="G41" s="3090">
        <f>面积表!Y42</f>
        <v>561.96</v>
      </c>
      <c r="H41" s="3090">
        <f t="shared" si="0"/>
        <v>1687.68</v>
      </c>
    </row>
    <row r="42" spans="2:8" ht="15.6">
      <c r="B42" s="3090">
        <v>40</v>
      </c>
      <c r="C42" s="3090" t="s">
        <v>3528</v>
      </c>
      <c r="D42" s="3090" t="s">
        <v>3529</v>
      </c>
      <c r="E42" s="3090" t="s">
        <v>3530</v>
      </c>
      <c r="F42" s="3090">
        <f>面积表!L43+面积表!AB43</f>
        <v>3749</v>
      </c>
      <c r="G42" s="3090">
        <f>面积表!Y43</f>
        <v>1798.05</v>
      </c>
      <c r="H42" s="3090">
        <f t="shared" si="0"/>
        <v>5547.05</v>
      </c>
    </row>
    <row r="43" spans="2:8" ht="15.6">
      <c r="B43" s="3090">
        <v>41</v>
      </c>
      <c r="C43" s="3090" t="s">
        <v>3531</v>
      </c>
      <c r="D43" s="3090" t="s">
        <v>3532</v>
      </c>
      <c r="E43" s="3090" t="s">
        <v>3532</v>
      </c>
      <c r="F43" s="3090">
        <v>0</v>
      </c>
      <c r="G43" s="3090">
        <f>面积表!L44</f>
        <v>36026.979999999778</v>
      </c>
      <c r="H43" s="3090">
        <f t="shared" si="0"/>
        <v>36026.979999999778</v>
      </c>
    </row>
    <row r="44" spans="2:8" ht="14.25" customHeight="1">
      <c r="B44" s="3090" t="s">
        <v>3533</v>
      </c>
      <c r="C44" s="3090"/>
      <c r="D44" s="3090"/>
      <c r="E44" s="3090"/>
      <c r="F44" s="3090">
        <f>SUM(F3:F43)</f>
        <v>31590.090000000007</v>
      </c>
      <c r="G44" s="3090">
        <f>SUM(G3:G43)</f>
        <v>51926.909999999771</v>
      </c>
      <c r="H44" s="3090">
        <f t="shared" si="0"/>
        <v>83516.999999999782</v>
      </c>
    </row>
  </sheetData>
  <phoneticPr fontId="143"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28"/>
  <sheetViews>
    <sheetView topLeftCell="B428" workbookViewId="0">
      <selection activeCell="H426" sqref="A426:H431"/>
    </sheetView>
  </sheetViews>
  <sheetFormatPr defaultRowHeight="25.5" customHeight="1"/>
  <cols>
    <col min="1" max="1" width="13.44140625" style="1631" hidden="1" customWidth="1"/>
    <col min="2" max="2" width="16.88671875" style="1631" customWidth="1"/>
    <col min="3" max="4" width="16.88671875" style="1631" hidden="1" customWidth="1"/>
    <col min="5" max="5" width="16.88671875" style="1631" customWidth="1"/>
    <col min="6" max="6" width="9" style="1631"/>
    <col min="7" max="7" width="15.44140625" style="1631" customWidth="1"/>
    <col min="8" max="256" width="9" style="1631"/>
    <col min="257" max="257" width="13.44140625" style="1631" customWidth="1"/>
    <col min="258" max="261" width="16.88671875" style="1631" customWidth="1"/>
    <col min="262" max="262" width="9" style="1631"/>
    <col min="263" max="263" width="15.44140625" style="1631" customWidth="1"/>
    <col min="264" max="512" width="9" style="1631"/>
    <col min="513" max="513" width="13.44140625" style="1631" customWidth="1"/>
    <col min="514" max="517" width="16.88671875" style="1631" customWidth="1"/>
    <col min="518" max="518" width="9" style="1631"/>
    <col min="519" max="519" width="15.44140625" style="1631" customWidth="1"/>
    <col min="520" max="768" width="9" style="1631"/>
    <col min="769" max="769" width="13.44140625" style="1631" customWidth="1"/>
    <col min="770" max="773" width="16.88671875" style="1631" customWidth="1"/>
    <col min="774" max="774" width="9" style="1631"/>
    <col min="775" max="775" width="15.44140625" style="1631" customWidth="1"/>
    <col min="776" max="1024" width="9" style="1631"/>
    <col min="1025" max="1025" width="13.44140625" style="1631" customWidth="1"/>
    <col min="1026" max="1029" width="16.88671875" style="1631" customWidth="1"/>
    <col min="1030" max="1030" width="9" style="1631"/>
    <col min="1031" max="1031" width="15.44140625" style="1631" customWidth="1"/>
    <col min="1032" max="1280" width="9" style="1631"/>
    <col min="1281" max="1281" width="13.44140625" style="1631" customWidth="1"/>
    <col min="1282" max="1285" width="16.88671875" style="1631" customWidth="1"/>
    <col min="1286" max="1286" width="9" style="1631"/>
    <col min="1287" max="1287" width="15.44140625" style="1631" customWidth="1"/>
    <col min="1288" max="1536" width="9" style="1631"/>
    <col min="1537" max="1537" width="13.44140625" style="1631" customWidth="1"/>
    <col min="1538" max="1541" width="16.88671875" style="1631" customWidth="1"/>
    <col min="1542" max="1542" width="9" style="1631"/>
    <col min="1543" max="1543" width="15.44140625" style="1631" customWidth="1"/>
    <col min="1544" max="1792" width="9" style="1631"/>
    <col min="1793" max="1793" width="13.44140625" style="1631" customWidth="1"/>
    <col min="1794" max="1797" width="16.88671875" style="1631" customWidth="1"/>
    <col min="1798" max="1798" width="9" style="1631"/>
    <col min="1799" max="1799" width="15.44140625" style="1631" customWidth="1"/>
    <col min="1800" max="2048" width="9" style="1631"/>
    <col min="2049" max="2049" width="13.44140625" style="1631" customWidth="1"/>
    <col min="2050" max="2053" width="16.88671875" style="1631" customWidth="1"/>
    <col min="2054" max="2054" width="9" style="1631"/>
    <col min="2055" max="2055" width="15.44140625" style="1631" customWidth="1"/>
    <col min="2056" max="2304" width="9" style="1631"/>
    <col min="2305" max="2305" width="13.44140625" style="1631" customWidth="1"/>
    <col min="2306" max="2309" width="16.88671875" style="1631" customWidth="1"/>
    <col min="2310" max="2310" width="9" style="1631"/>
    <col min="2311" max="2311" width="15.44140625" style="1631" customWidth="1"/>
    <col min="2312" max="2560" width="9" style="1631"/>
    <col min="2561" max="2561" width="13.44140625" style="1631" customWidth="1"/>
    <col min="2562" max="2565" width="16.88671875" style="1631" customWidth="1"/>
    <col min="2566" max="2566" width="9" style="1631"/>
    <col min="2567" max="2567" width="15.44140625" style="1631" customWidth="1"/>
    <col min="2568" max="2816" width="9" style="1631"/>
    <col min="2817" max="2817" width="13.44140625" style="1631" customWidth="1"/>
    <col min="2818" max="2821" width="16.88671875" style="1631" customWidth="1"/>
    <col min="2822" max="2822" width="9" style="1631"/>
    <col min="2823" max="2823" width="15.44140625" style="1631" customWidth="1"/>
    <col min="2824" max="3072" width="9" style="1631"/>
    <col min="3073" max="3073" width="13.44140625" style="1631" customWidth="1"/>
    <col min="3074" max="3077" width="16.88671875" style="1631" customWidth="1"/>
    <col min="3078" max="3078" width="9" style="1631"/>
    <col min="3079" max="3079" width="15.44140625" style="1631" customWidth="1"/>
    <col min="3080" max="3328" width="9" style="1631"/>
    <col min="3329" max="3329" width="13.44140625" style="1631" customWidth="1"/>
    <col min="3330" max="3333" width="16.88671875" style="1631" customWidth="1"/>
    <col min="3334" max="3334" width="9" style="1631"/>
    <col min="3335" max="3335" width="15.44140625" style="1631" customWidth="1"/>
    <col min="3336" max="3584" width="9" style="1631"/>
    <col min="3585" max="3585" width="13.44140625" style="1631" customWidth="1"/>
    <col min="3586" max="3589" width="16.88671875" style="1631" customWidth="1"/>
    <col min="3590" max="3590" width="9" style="1631"/>
    <col min="3591" max="3591" width="15.44140625" style="1631" customWidth="1"/>
    <col min="3592" max="3840" width="9" style="1631"/>
    <col min="3841" max="3841" width="13.44140625" style="1631" customWidth="1"/>
    <col min="3842" max="3845" width="16.88671875" style="1631" customWidth="1"/>
    <col min="3846" max="3846" width="9" style="1631"/>
    <col min="3847" max="3847" width="15.44140625" style="1631" customWidth="1"/>
    <col min="3848" max="4096" width="9" style="1631"/>
    <col min="4097" max="4097" width="13.44140625" style="1631" customWidth="1"/>
    <col min="4098" max="4101" width="16.88671875" style="1631" customWidth="1"/>
    <col min="4102" max="4102" width="9" style="1631"/>
    <col min="4103" max="4103" width="15.44140625" style="1631" customWidth="1"/>
    <col min="4104" max="4352" width="9" style="1631"/>
    <col min="4353" max="4353" width="13.44140625" style="1631" customWidth="1"/>
    <col min="4354" max="4357" width="16.88671875" style="1631" customWidth="1"/>
    <col min="4358" max="4358" width="9" style="1631"/>
    <col min="4359" max="4359" width="15.44140625" style="1631" customWidth="1"/>
    <col min="4360" max="4608" width="9" style="1631"/>
    <col min="4609" max="4609" width="13.44140625" style="1631" customWidth="1"/>
    <col min="4610" max="4613" width="16.88671875" style="1631" customWidth="1"/>
    <col min="4614" max="4614" width="9" style="1631"/>
    <col min="4615" max="4615" width="15.44140625" style="1631" customWidth="1"/>
    <col min="4616" max="4864" width="9" style="1631"/>
    <col min="4865" max="4865" width="13.44140625" style="1631" customWidth="1"/>
    <col min="4866" max="4869" width="16.88671875" style="1631" customWidth="1"/>
    <col min="4870" max="4870" width="9" style="1631"/>
    <col min="4871" max="4871" width="15.44140625" style="1631" customWidth="1"/>
    <col min="4872" max="5120" width="9" style="1631"/>
    <col min="5121" max="5121" width="13.44140625" style="1631" customWidth="1"/>
    <col min="5122" max="5125" width="16.88671875" style="1631" customWidth="1"/>
    <col min="5126" max="5126" width="9" style="1631"/>
    <col min="5127" max="5127" width="15.44140625" style="1631" customWidth="1"/>
    <col min="5128" max="5376" width="9" style="1631"/>
    <col min="5377" max="5377" width="13.44140625" style="1631" customWidth="1"/>
    <col min="5378" max="5381" width="16.88671875" style="1631" customWidth="1"/>
    <col min="5382" max="5382" width="9" style="1631"/>
    <col min="5383" max="5383" width="15.44140625" style="1631" customWidth="1"/>
    <col min="5384" max="5632" width="9" style="1631"/>
    <col min="5633" max="5633" width="13.44140625" style="1631" customWidth="1"/>
    <col min="5634" max="5637" width="16.88671875" style="1631" customWidth="1"/>
    <col min="5638" max="5638" width="9" style="1631"/>
    <col min="5639" max="5639" width="15.44140625" style="1631" customWidth="1"/>
    <col min="5640" max="5888" width="9" style="1631"/>
    <col min="5889" max="5889" width="13.44140625" style="1631" customWidth="1"/>
    <col min="5890" max="5893" width="16.88671875" style="1631" customWidth="1"/>
    <col min="5894" max="5894" width="9" style="1631"/>
    <col min="5895" max="5895" width="15.44140625" style="1631" customWidth="1"/>
    <col min="5896" max="6144" width="9" style="1631"/>
    <col min="6145" max="6145" width="13.44140625" style="1631" customWidth="1"/>
    <col min="6146" max="6149" width="16.88671875" style="1631" customWidth="1"/>
    <col min="6150" max="6150" width="9" style="1631"/>
    <col min="6151" max="6151" width="15.44140625" style="1631" customWidth="1"/>
    <col min="6152" max="6400" width="9" style="1631"/>
    <col min="6401" max="6401" width="13.44140625" style="1631" customWidth="1"/>
    <col min="6402" max="6405" width="16.88671875" style="1631" customWidth="1"/>
    <col min="6406" max="6406" width="9" style="1631"/>
    <col min="6407" max="6407" width="15.44140625" style="1631" customWidth="1"/>
    <col min="6408" max="6656" width="9" style="1631"/>
    <col min="6657" max="6657" width="13.44140625" style="1631" customWidth="1"/>
    <col min="6658" max="6661" width="16.88671875" style="1631" customWidth="1"/>
    <col min="6662" max="6662" width="9" style="1631"/>
    <col min="6663" max="6663" width="15.44140625" style="1631" customWidth="1"/>
    <col min="6664" max="6912" width="9" style="1631"/>
    <col min="6913" max="6913" width="13.44140625" style="1631" customWidth="1"/>
    <col min="6914" max="6917" width="16.88671875" style="1631" customWidth="1"/>
    <col min="6918" max="6918" width="9" style="1631"/>
    <col min="6919" max="6919" width="15.44140625" style="1631" customWidth="1"/>
    <col min="6920" max="7168" width="9" style="1631"/>
    <col min="7169" max="7169" width="13.44140625" style="1631" customWidth="1"/>
    <col min="7170" max="7173" width="16.88671875" style="1631" customWidth="1"/>
    <col min="7174" max="7174" width="9" style="1631"/>
    <col min="7175" max="7175" width="15.44140625" style="1631" customWidth="1"/>
    <col min="7176" max="7424" width="9" style="1631"/>
    <col min="7425" max="7425" width="13.44140625" style="1631" customWidth="1"/>
    <col min="7426" max="7429" width="16.88671875" style="1631" customWidth="1"/>
    <col min="7430" max="7430" width="9" style="1631"/>
    <col min="7431" max="7431" width="15.44140625" style="1631" customWidth="1"/>
    <col min="7432" max="7680" width="9" style="1631"/>
    <col min="7681" max="7681" width="13.44140625" style="1631" customWidth="1"/>
    <col min="7682" max="7685" width="16.88671875" style="1631" customWidth="1"/>
    <col min="7686" max="7686" width="9" style="1631"/>
    <col min="7687" max="7687" width="15.44140625" style="1631" customWidth="1"/>
    <col min="7688" max="7936" width="9" style="1631"/>
    <col min="7937" max="7937" width="13.44140625" style="1631" customWidth="1"/>
    <col min="7938" max="7941" width="16.88671875" style="1631" customWidth="1"/>
    <col min="7942" max="7942" width="9" style="1631"/>
    <col min="7943" max="7943" width="15.44140625" style="1631" customWidth="1"/>
    <col min="7944" max="8192" width="9" style="1631"/>
    <col min="8193" max="8193" width="13.44140625" style="1631" customWidth="1"/>
    <col min="8194" max="8197" width="16.88671875" style="1631" customWidth="1"/>
    <col min="8198" max="8198" width="9" style="1631"/>
    <col min="8199" max="8199" width="15.44140625" style="1631" customWidth="1"/>
    <col min="8200" max="8448" width="9" style="1631"/>
    <col min="8449" max="8449" width="13.44140625" style="1631" customWidth="1"/>
    <col min="8450" max="8453" width="16.88671875" style="1631" customWidth="1"/>
    <col min="8454" max="8454" width="9" style="1631"/>
    <col min="8455" max="8455" width="15.44140625" style="1631" customWidth="1"/>
    <col min="8456" max="8704" width="9" style="1631"/>
    <col min="8705" max="8705" width="13.44140625" style="1631" customWidth="1"/>
    <col min="8706" max="8709" width="16.88671875" style="1631" customWidth="1"/>
    <col min="8710" max="8710" width="9" style="1631"/>
    <col min="8711" max="8711" width="15.44140625" style="1631" customWidth="1"/>
    <col min="8712" max="8960" width="9" style="1631"/>
    <col min="8961" max="8961" width="13.44140625" style="1631" customWidth="1"/>
    <col min="8962" max="8965" width="16.88671875" style="1631" customWidth="1"/>
    <col min="8966" max="8966" width="9" style="1631"/>
    <col min="8967" max="8967" width="15.44140625" style="1631" customWidth="1"/>
    <col min="8968" max="9216" width="9" style="1631"/>
    <col min="9217" max="9217" width="13.44140625" style="1631" customWidth="1"/>
    <col min="9218" max="9221" width="16.88671875" style="1631" customWidth="1"/>
    <col min="9222" max="9222" width="9" style="1631"/>
    <col min="9223" max="9223" width="15.44140625" style="1631" customWidth="1"/>
    <col min="9224" max="9472" width="9" style="1631"/>
    <col min="9473" max="9473" width="13.44140625" style="1631" customWidth="1"/>
    <col min="9474" max="9477" width="16.88671875" style="1631" customWidth="1"/>
    <col min="9478" max="9478" width="9" style="1631"/>
    <col min="9479" max="9479" width="15.44140625" style="1631" customWidth="1"/>
    <col min="9480" max="9728" width="9" style="1631"/>
    <col min="9729" max="9729" width="13.44140625" style="1631" customWidth="1"/>
    <col min="9730" max="9733" width="16.88671875" style="1631" customWidth="1"/>
    <col min="9734" max="9734" width="9" style="1631"/>
    <col min="9735" max="9735" width="15.44140625" style="1631" customWidth="1"/>
    <col min="9736" max="9984" width="9" style="1631"/>
    <col min="9985" max="9985" width="13.44140625" style="1631" customWidth="1"/>
    <col min="9986" max="9989" width="16.88671875" style="1631" customWidth="1"/>
    <col min="9990" max="9990" width="9" style="1631"/>
    <col min="9991" max="9991" width="15.44140625" style="1631" customWidth="1"/>
    <col min="9992" max="10240" width="9" style="1631"/>
    <col min="10241" max="10241" width="13.44140625" style="1631" customWidth="1"/>
    <col min="10242" max="10245" width="16.88671875" style="1631" customWidth="1"/>
    <col min="10246" max="10246" width="9" style="1631"/>
    <col min="10247" max="10247" width="15.44140625" style="1631" customWidth="1"/>
    <col min="10248" max="10496" width="9" style="1631"/>
    <col min="10497" max="10497" width="13.44140625" style="1631" customWidth="1"/>
    <col min="10498" max="10501" width="16.88671875" style="1631" customWidth="1"/>
    <col min="10502" max="10502" width="9" style="1631"/>
    <col min="10503" max="10503" width="15.44140625" style="1631" customWidth="1"/>
    <col min="10504" max="10752" width="9" style="1631"/>
    <col min="10753" max="10753" width="13.44140625" style="1631" customWidth="1"/>
    <col min="10754" max="10757" width="16.88671875" style="1631" customWidth="1"/>
    <col min="10758" max="10758" width="9" style="1631"/>
    <col min="10759" max="10759" width="15.44140625" style="1631" customWidth="1"/>
    <col min="10760" max="11008" width="9" style="1631"/>
    <col min="11009" max="11009" width="13.44140625" style="1631" customWidth="1"/>
    <col min="11010" max="11013" width="16.88671875" style="1631" customWidth="1"/>
    <col min="11014" max="11014" width="9" style="1631"/>
    <col min="11015" max="11015" width="15.44140625" style="1631" customWidth="1"/>
    <col min="11016" max="11264" width="9" style="1631"/>
    <col min="11265" max="11265" width="13.44140625" style="1631" customWidth="1"/>
    <col min="11266" max="11269" width="16.88671875" style="1631" customWidth="1"/>
    <col min="11270" max="11270" width="9" style="1631"/>
    <col min="11271" max="11271" width="15.44140625" style="1631" customWidth="1"/>
    <col min="11272" max="11520" width="9" style="1631"/>
    <col min="11521" max="11521" width="13.44140625" style="1631" customWidth="1"/>
    <col min="11522" max="11525" width="16.88671875" style="1631" customWidth="1"/>
    <col min="11526" max="11526" width="9" style="1631"/>
    <col min="11527" max="11527" width="15.44140625" style="1631" customWidth="1"/>
    <col min="11528" max="11776" width="9" style="1631"/>
    <col min="11777" max="11777" width="13.44140625" style="1631" customWidth="1"/>
    <col min="11778" max="11781" width="16.88671875" style="1631" customWidth="1"/>
    <col min="11782" max="11782" width="9" style="1631"/>
    <col min="11783" max="11783" width="15.44140625" style="1631" customWidth="1"/>
    <col min="11784" max="12032" width="9" style="1631"/>
    <col min="12033" max="12033" width="13.44140625" style="1631" customWidth="1"/>
    <col min="12034" max="12037" width="16.88671875" style="1631" customWidth="1"/>
    <col min="12038" max="12038" width="9" style="1631"/>
    <col min="12039" max="12039" width="15.44140625" style="1631" customWidth="1"/>
    <col min="12040" max="12288" width="9" style="1631"/>
    <col min="12289" max="12289" width="13.44140625" style="1631" customWidth="1"/>
    <col min="12290" max="12293" width="16.88671875" style="1631" customWidth="1"/>
    <col min="12294" max="12294" width="9" style="1631"/>
    <col min="12295" max="12295" width="15.44140625" style="1631" customWidth="1"/>
    <col min="12296" max="12544" width="9" style="1631"/>
    <col min="12545" max="12545" width="13.44140625" style="1631" customWidth="1"/>
    <col min="12546" max="12549" width="16.88671875" style="1631" customWidth="1"/>
    <col min="12550" max="12550" width="9" style="1631"/>
    <col min="12551" max="12551" width="15.44140625" style="1631" customWidth="1"/>
    <col min="12552" max="12800" width="9" style="1631"/>
    <col min="12801" max="12801" width="13.44140625" style="1631" customWidth="1"/>
    <col min="12802" max="12805" width="16.88671875" style="1631" customWidth="1"/>
    <col min="12806" max="12806" width="9" style="1631"/>
    <col min="12807" max="12807" width="15.44140625" style="1631" customWidth="1"/>
    <col min="12808" max="13056" width="9" style="1631"/>
    <col min="13057" max="13057" width="13.44140625" style="1631" customWidth="1"/>
    <col min="13058" max="13061" width="16.88671875" style="1631" customWidth="1"/>
    <col min="13062" max="13062" width="9" style="1631"/>
    <col min="13063" max="13063" width="15.44140625" style="1631" customWidth="1"/>
    <col min="13064" max="13312" width="9" style="1631"/>
    <col min="13313" max="13313" width="13.44140625" style="1631" customWidth="1"/>
    <col min="13314" max="13317" width="16.88671875" style="1631" customWidth="1"/>
    <col min="13318" max="13318" width="9" style="1631"/>
    <col min="13319" max="13319" width="15.44140625" style="1631" customWidth="1"/>
    <col min="13320" max="13568" width="9" style="1631"/>
    <col min="13569" max="13569" width="13.44140625" style="1631" customWidth="1"/>
    <col min="13570" max="13573" width="16.88671875" style="1631" customWidth="1"/>
    <col min="13574" max="13574" width="9" style="1631"/>
    <col min="13575" max="13575" width="15.44140625" style="1631" customWidth="1"/>
    <col min="13576" max="13824" width="9" style="1631"/>
    <col min="13825" max="13825" width="13.44140625" style="1631" customWidth="1"/>
    <col min="13826" max="13829" width="16.88671875" style="1631" customWidth="1"/>
    <col min="13830" max="13830" width="9" style="1631"/>
    <col min="13831" max="13831" width="15.44140625" style="1631" customWidth="1"/>
    <col min="13832" max="14080" width="9" style="1631"/>
    <col min="14081" max="14081" width="13.44140625" style="1631" customWidth="1"/>
    <col min="14082" max="14085" width="16.88671875" style="1631" customWidth="1"/>
    <col min="14086" max="14086" width="9" style="1631"/>
    <col min="14087" max="14087" width="15.44140625" style="1631" customWidth="1"/>
    <col min="14088" max="14336" width="9" style="1631"/>
    <col min="14337" max="14337" width="13.44140625" style="1631" customWidth="1"/>
    <col min="14338" max="14341" width="16.88671875" style="1631" customWidth="1"/>
    <col min="14342" max="14342" width="9" style="1631"/>
    <col min="14343" max="14343" width="15.44140625" style="1631" customWidth="1"/>
    <col min="14344" max="14592" width="9" style="1631"/>
    <col min="14593" max="14593" width="13.44140625" style="1631" customWidth="1"/>
    <col min="14594" max="14597" width="16.88671875" style="1631" customWidth="1"/>
    <col min="14598" max="14598" width="9" style="1631"/>
    <col min="14599" max="14599" width="15.44140625" style="1631" customWidth="1"/>
    <col min="14600" max="14848" width="9" style="1631"/>
    <col min="14849" max="14849" width="13.44140625" style="1631" customWidth="1"/>
    <col min="14850" max="14853" width="16.88671875" style="1631" customWidth="1"/>
    <col min="14854" max="14854" width="9" style="1631"/>
    <col min="14855" max="14855" width="15.44140625" style="1631" customWidth="1"/>
    <col min="14856" max="15104" width="9" style="1631"/>
    <col min="15105" max="15105" width="13.44140625" style="1631" customWidth="1"/>
    <col min="15106" max="15109" width="16.88671875" style="1631" customWidth="1"/>
    <col min="15110" max="15110" width="9" style="1631"/>
    <col min="15111" max="15111" width="15.44140625" style="1631" customWidth="1"/>
    <col min="15112" max="15360" width="9" style="1631"/>
    <col min="15361" max="15361" width="13.44140625" style="1631" customWidth="1"/>
    <col min="15362" max="15365" width="16.88671875" style="1631" customWidth="1"/>
    <col min="15366" max="15366" width="9" style="1631"/>
    <col min="15367" max="15367" width="15.44140625" style="1631" customWidth="1"/>
    <col min="15368" max="15616" width="9" style="1631"/>
    <col min="15617" max="15617" width="13.44140625" style="1631" customWidth="1"/>
    <col min="15618" max="15621" width="16.88671875" style="1631" customWidth="1"/>
    <col min="15622" max="15622" width="9" style="1631"/>
    <col min="15623" max="15623" width="15.44140625" style="1631" customWidth="1"/>
    <col min="15624" max="15872" width="9" style="1631"/>
    <col min="15873" max="15873" width="13.44140625" style="1631" customWidth="1"/>
    <col min="15874" max="15877" width="16.88671875" style="1631" customWidth="1"/>
    <col min="15878" max="15878" width="9" style="1631"/>
    <col min="15879" max="15879" width="15.44140625" style="1631" customWidth="1"/>
    <col min="15880" max="16128" width="9" style="1631"/>
    <col min="16129" max="16129" width="13.44140625" style="1631" customWidth="1"/>
    <col min="16130" max="16133" width="16.88671875" style="1631" customWidth="1"/>
    <col min="16134" max="16134" width="9" style="1631"/>
    <col min="16135" max="16135" width="15.44140625" style="1631" customWidth="1"/>
    <col min="16136" max="16384" width="9" style="1631"/>
  </cols>
  <sheetData>
    <row r="1" spans="1:7" ht="25.5" customHeight="1">
      <c r="A1" s="3176" t="s">
        <v>3154</v>
      </c>
      <c r="B1" s="3176"/>
      <c r="C1" s="3176"/>
      <c r="D1" s="3176"/>
      <c r="E1" s="3176"/>
    </row>
    <row r="2" spans="1:7" ht="25.5" customHeight="1">
      <c r="A2" s="3177" t="str">
        <f>[2]分摊!A2</f>
        <v>单位名称：福建宏辉房地产开发有限公司              项目名称：南屿滨江城2#-97#连接体地下室</v>
      </c>
      <c r="B2" s="3177"/>
      <c r="C2" s="3177"/>
      <c r="D2" s="3177"/>
      <c r="E2" s="3177"/>
    </row>
    <row r="3" spans="1:7" ht="19.95" customHeight="1">
      <c r="A3" s="3015" t="s">
        <v>3155</v>
      </c>
      <c r="B3" s="3015" t="s">
        <v>3156</v>
      </c>
      <c r="C3" s="3015" t="s">
        <v>3157</v>
      </c>
      <c r="D3" s="3015" t="s">
        <v>3158</v>
      </c>
      <c r="E3" s="3015" t="s">
        <v>3159</v>
      </c>
    </row>
    <row r="4" spans="1:7" ht="19.95" customHeight="1">
      <c r="A4" s="3016"/>
      <c r="B4" s="3015" t="str">
        <f>[2]分摊!B6</f>
        <v>车位1</v>
      </c>
      <c r="C4" s="3017">
        <f>[2]分摊!C6</f>
        <v>12.72</v>
      </c>
      <c r="D4" s="3018">
        <f>[2]分摊!H6</f>
        <v>24.67</v>
      </c>
      <c r="E4" s="3017">
        <f>SUM(C4:D4)</f>
        <v>37.39</v>
      </c>
      <c r="G4" s="3019"/>
    </row>
    <row r="5" spans="1:7" ht="19.95" customHeight="1">
      <c r="A5" s="3020"/>
      <c r="B5" s="3015" t="str">
        <f>[2]分摊!B7</f>
        <v>车位2</v>
      </c>
      <c r="C5" s="3017">
        <f>[2]分摊!C7</f>
        <v>12.72</v>
      </c>
      <c r="D5" s="3018">
        <f>[2]分摊!H7</f>
        <v>24.67</v>
      </c>
      <c r="E5" s="3017">
        <f t="shared" ref="E5:E68" si="0">SUM(C5:D5)</f>
        <v>37.39</v>
      </c>
    </row>
    <row r="6" spans="1:7" ht="19.95" customHeight="1">
      <c r="A6" s="3020"/>
      <c r="B6" s="3015" t="str">
        <f>[2]分摊!B8</f>
        <v>车位3</v>
      </c>
      <c r="C6" s="3017">
        <f>[2]分摊!C8</f>
        <v>12.72</v>
      </c>
      <c r="D6" s="3018">
        <f>[2]分摊!H8</f>
        <v>24.67</v>
      </c>
      <c r="E6" s="3017">
        <f t="shared" si="0"/>
        <v>37.39</v>
      </c>
    </row>
    <row r="7" spans="1:7" ht="19.95" customHeight="1">
      <c r="A7" s="3020"/>
      <c r="B7" s="3015" t="str">
        <f>[2]分摊!B9</f>
        <v>车位4</v>
      </c>
      <c r="C7" s="3017">
        <f>[2]分摊!C9</f>
        <v>12.72</v>
      </c>
      <c r="D7" s="3018">
        <f>[2]分摊!H9</f>
        <v>24.67</v>
      </c>
      <c r="E7" s="3017">
        <f t="shared" si="0"/>
        <v>37.39</v>
      </c>
    </row>
    <row r="8" spans="1:7" ht="19.95" customHeight="1">
      <c r="A8" s="3020"/>
      <c r="B8" s="3015" t="str">
        <f>[2]分摊!B10</f>
        <v>车位5</v>
      </c>
      <c r="C8" s="3017">
        <f>[2]分摊!C10</f>
        <v>12.72</v>
      </c>
      <c r="D8" s="3018">
        <f>[2]分摊!H10</f>
        <v>24.67</v>
      </c>
      <c r="E8" s="3017">
        <f t="shared" si="0"/>
        <v>37.39</v>
      </c>
    </row>
    <row r="9" spans="1:7" ht="19.95" customHeight="1">
      <c r="A9" s="3020"/>
      <c r="B9" s="3015" t="str">
        <f>[2]分摊!B11</f>
        <v>车位6</v>
      </c>
      <c r="C9" s="3017">
        <f>[2]分摊!C11</f>
        <v>12.72</v>
      </c>
      <c r="D9" s="3018">
        <f>[2]分摊!H11</f>
        <v>24.67</v>
      </c>
      <c r="E9" s="3017">
        <f t="shared" si="0"/>
        <v>37.39</v>
      </c>
    </row>
    <row r="10" spans="1:7" ht="19.95" customHeight="1">
      <c r="A10" s="3020"/>
      <c r="B10" s="3015" t="str">
        <f>[2]分摊!B12</f>
        <v>车位7</v>
      </c>
      <c r="C10" s="3017">
        <f>[2]分摊!C12</f>
        <v>12.72</v>
      </c>
      <c r="D10" s="3018">
        <f>[2]分摊!H12</f>
        <v>24.67</v>
      </c>
      <c r="E10" s="3017">
        <f t="shared" si="0"/>
        <v>37.39</v>
      </c>
    </row>
    <row r="11" spans="1:7" ht="19.95" customHeight="1">
      <c r="A11" s="3016"/>
      <c r="B11" s="3015" t="str">
        <f>[2]分摊!B13</f>
        <v>车位8</v>
      </c>
      <c r="C11" s="3017">
        <f>[2]分摊!C13</f>
        <v>12.72</v>
      </c>
      <c r="D11" s="3018">
        <f>[2]分摊!H13</f>
        <v>24.67</v>
      </c>
      <c r="E11" s="3017">
        <f t="shared" si="0"/>
        <v>37.39</v>
      </c>
    </row>
    <row r="12" spans="1:7" ht="19.95" customHeight="1">
      <c r="A12" s="3020"/>
      <c r="B12" s="3015" t="str">
        <f>[2]分摊!B14</f>
        <v>车位9</v>
      </c>
      <c r="C12" s="3017">
        <f>[2]分摊!C14</f>
        <v>12.72</v>
      </c>
      <c r="D12" s="3018">
        <f>[2]分摊!H14</f>
        <v>24.67</v>
      </c>
      <c r="E12" s="3017">
        <f t="shared" si="0"/>
        <v>37.39</v>
      </c>
    </row>
    <row r="13" spans="1:7" ht="19.95" customHeight="1">
      <c r="A13" s="3020"/>
      <c r="B13" s="3015" t="str">
        <f>[2]分摊!B15</f>
        <v>车位10</v>
      </c>
      <c r="C13" s="3017">
        <f>[2]分摊!C15</f>
        <v>12.72</v>
      </c>
      <c r="D13" s="3018">
        <f>[2]分摊!H15</f>
        <v>24.67</v>
      </c>
      <c r="E13" s="3017">
        <f t="shared" si="0"/>
        <v>37.39</v>
      </c>
    </row>
    <row r="14" spans="1:7" ht="19.95" customHeight="1">
      <c r="A14" s="3020"/>
      <c r="B14" s="3015" t="str">
        <f>[2]分摊!B16</f>
        <v>车位11</v>
      </c>
      <c r="C14" s="3017">
        <f>[2]分摊!C16</f>
        <v>12.72</v>
      </c>
      <c r="D14" s="3018">
        <f>[2]分摊!H16</f>
        <v>24.67</v>
      </c>
      <c r="E14" s="3017">
        <f t="shared" si="0"/>
        <v>37.39</v>
      </c>
    </row>
    <row r="15" spans="1:7" ht="19.95" customHeight="1">
      <c r="A15" s="3020"/>
      <c r="B15" s="3015" t="str">
        <f>[2]分摊!B17</f>
        <v>车位12</v>
      </c>
      <c r="C15" s="3017">
        <f>[2]分摊!C17</f>
        <v>12.72</v>
      </c>
      <c r="D15" s="3018">
        <f>[2]分摊!H17</f>
        <v>24.67</v>
      </c>
      <c r="E15" s="3017">
        <f t="shared" si="0"/>
        <v>37.39</v>
      </c>
    </row>
    <row r="16" spans="1:7" ht="19.95" customHeight="1">
      <c r="A16" s="3020"/>
      <c r="B16" s="3015" t="str">
        <f>[2]分摊!B18</f>
        <v>车位13</v>
      </c>
      <c r="C16" s="3017">
        <f>[2]分摊!C18</f>
        <v>12.72</v>
      </c>
      <c r="D16" s="3018">
        <f>[2]分摊!H18</f>
        <v>24.67</v>
      </c>
      <c r="E16" s="3017">
        <f t="shared" si="0"/>
        <v>37.39</v>
      </c>
    </row>
    <row r="17" spans="1:5" ht="19.95" customHeight="1">
      <c r="A17" s="3020"/>
      <c r="B17" s="3015" t="str">
        <f>[2]分摊!B19</f>
        <v>车位14</v>
      </c>
      <c r="C17" s="3017">
        <f>[2]分摊!C19</f>
        <v>12.72</v>
      </c>
      <c r="D17" s="3018">
        <f>[2]分摊!H19</f>
        <v>24.67</v>
      </c>
      <c r="E17" s="3017">
        <f t="shared" si="0"/>
        <v>37.39</v>
      </c>
    </row>
    <row r="18" spans="1:5" ht="19.95" customHeight="1">
      <c r="A18" s="3016"/>
      <c r="B18" s="3015" t="str">
        <f>[2]分摊!B20</f>
        <v>车位15</v>
      </c>
      <c r="C18" s="3017">
        <f>[2]分摊!C20</f>
        <v>12.72</v>
      </c>
      <c r="D18" s="3018">
        <f>[2]分摊!H20</f>
        <v>24.67</v>
      </c>
      <c r="E18" s="3017">
        <f t="shared" si="0"/>
        <v>37.39</v>
      </c>
    </row>
    <row r="19" spans="1:5" ht="19.95" customHeight="1">
      <c r="A19" s="3020"/>
      <c r="B19" s="3015" t="str">
        <f>[2]分摊!B21</f>
        <v>车位16</v>
      </c>
      <c r="C19" s="3017">
        <f>[2]分摊!C21</f>
        <v>12.72</v>
      </c>
      <c r="D19" s="3018">
        <f>[2]分摊!H21</f>
        <v>24.67</v>
      </c>
      <c r="E19" s="3017">
        <f t="shared" si="0"/>
        <v>37.39</v>
      </c>
    </row>
    <row r="20" spans="1:5" ht="19.95" customHeight="1">
      <c r="A20" s="3020"/>
      <c r="B20" s="3015" t="str">
        <f>[2]分摊!B22</f>
        <v>车位17</v>
      </c>
      <c r="C20" s="3017">
        <f>[2]分摊!C22</f>
        <v>12.72</v>
      </c>
      <c r="D20" s="3018">
        <f>[2]分摊!H22</f>
        <v>24.67</v>
      </c>
      <c r="E20" s="3017">
        <f t="shared" si="0"/>
        <v>37.39</v>
      </c>
    </row>
    <row r="21" spans="1:5" ht="19.95" customHeight="1">
      <c r="A21" s="3020"/>
      <c r="B21" s="3015" t="str">
        <f>[2]分摊!B23</f>
        <v>车位18</v>
      </c>
      <c r="C21" s="3017">
        <f>[2]分摊!C23</f>
        <v>12.72</v>
      </c>
      <c r="D21" s="3018">
        <f>[2]分摊!H23</f>
        <v>24.67</v>
      </c>
      <c r="E21" s="3017">
        <f t="shared" si="0"/>
        <v>37.39</v>
      </c>
    </row>
    <row r="22" spans="1:5" ht="19.95" customHeight="1">
      <c r="A22" s="3020"/>
      <c r="B22" s="3015" t="str">
        <f>[2]分摊!B24</f>
        <v>车位19</v>
      </c>
      <c r="C22" s="3017">
        <f>[2]分摊!C24</f>
        <v>12.72</v>
      </c>
      <c r="D22" s="3018">
        <f>[2]分摊!H24</f>
        <v>24.67</v>
      </c>
      <c r="E22" s="3017">
        <f t="shared" si="0"/>
        <v>37.39</v>
      </c>
    </row>
    <row r="23" spans="1:5" ht="19.95" customHeight="1">
      <c r="A23" s="3020"/>
      <c r="B23" s="3015" t="str">
        <f>[2]分摊!B25</f>
        <v>车位20</v>
      </c>
      <c r="C23" s="3017">
        <f>[2]分摊!C25</f>
        <v>12.72</v>
      </c>
      <c r="D23" s="3018">
        <f>[2]分摊!H25</f>
        <v>24.67</v>
      </c>
      <c r="E23" s="3017">
        <f t="shared" si="0"/>
        <v>37.39</v>
      </c>
    </row>
    <row r="24" spans="1:5" ht="19.95" customHeight="1">
      <c r="A24" s="3020"/>
      <c r="B24" s="3015" t="str">
        <f>[2]分摊!B26</f>
        <v>车位21</v>
      </c>
      <c r="C24" s="3017">
        <f>[2]分摊!C26</f>
        <v>12.72</v>
      </c>
      <c r="D24" s="3018">
        <f>[2]分摊!H26</f>
        <v>24.67</v>
      </c>
      <c r="E24" s="3017">
        <f t="shared" si="0"/>
        <v>37.39</v>
      </c>
    </row>
    <row r="25" spans="1:5" ht="19.95" customHeight="1">
      <c r="A25" s="3016"/>
      <c r="B25" s="3015" t="str">
        <f>[2]分摊!B27</f>
        <v>车位22</v>
      </c>
      <c r="C25" s="3017">
        <f>[2]分摊!C27</f>
        <v>12.72</v>
      </c>
      <c r="D25" s="3018">
        <f>[2]分摊!H27</f>
        <v>24.67</v>
      </c>
      <c r="E25" s="3017">
        <f t="shared" si="0"/>
        <v>37.39</v>
      </c>
    </row>
    <row r="26" spans="1:5" ht="19.95" customHeight="1">
      <c r="A26" s="3020"/>
      <c r="B26" s="3015" t="str">
        <f>[2]分摊!B28</f>
        <v>车位23</v>
      </c>
      <c r="C26" s="3017">
        <f>[2]分摊!C28</f>
        <v>12.72</v>
      </c>
      <c r="D26" s="3018">
        <f>[2]分摊!H28</f>
        <v>24.67</v>
      </c>
      <c r="E26" s="3017">
        <f t="shared" si="0"/>
        <v>37.39</v>
      </c>
    </row>
    <row r="27" spans="1:5" ht="19.95" customHeight="1">
      <c r="A27" s="3020"/>
      <c r="B27" s="3015" t="str">
        <f>[2]分摊!B29</f>
        <v>车位24</v>
      </c>
      <c r="C27" s="3017">
        <f>[2]分摊!C29</f>
        <v>12.72</v>
      </c>
      <c r="D27" s="3018">
        <f>[2]分摊!H29</f>
        <v>24.67</v>
      </c>
      <c r="E27" s="3017">
        <f t="shared" si="0"/>
        <v>37.39</v>
      </c>
    </row>
    <row r="28" spans="1:5" ht="19.95" customHeight="1">
      <c r="A28" s="3020"/>
      <c r="B28" s="3015" t="str">
        <f>[2]分摊!B30</f>
        <v>车位25</v>
      </c>
      <c r="C28" s="3017">
        <f>[2]分摊!C30</f>
        <v>12.72</v>
      </c>
      <c r="D28" s="3018">
        <f>[2]分摊!H30</f>
        <v>24.67</v>
      </c>
      <c r="E28" s="3017">
        <f t="shared" si="0"/>
        <v>37.39</v>
      </c>
    </row>
    <row r="29" spans="1:5" ht="19.95" customHeight="1">
      <c r="A29" s="3020"/>
      <c r="B29" s="3015" t="str">
        <f>[2]分摊!B31</f>
        <v>车位26</v>
      </c>
      <c r="C29" s="3017">
        <f>[2]分摊!C31</f>
        <v>12.72</v>
      </c>
      <c r="D29" s="3018">
        <f>[2]分摊!H31</f>
        <v>24.67</v>
      </c>
      <c r="E29" s="3017">
        <f t="shared" si="0"/>
        <v>37.39</v>
      </c>
    </row>
    <row r="30" spans="1:5" ht="19.95" customHeight="1">
      <c r="A30" s="3020"/>
      <c r="B30" s="3015" t="str">
        <f>[2]分摊!B32</f>
        <v>车位27</v>
      </c>
      <c r="C30" s="3017">
        <f>[2]分摊!C32</f>
        <v>12.72</v>
      </c>
      <c r="D30" s="3018">
        <f>[2]分摊!H32</f>
        <v>24.67</v>
      </c>
      <c r="E30" s="3017">
        <f t="shared" si="0"/>
        <v>37.39</v>
      </c>
    </row>
    <row r="31" spans="1:5" ht="19.95" customHeight="1">
      <c r="A31" s="3020"/>
      <c r="B31" s="3015" t="str">
        <f>[2]分摊!B33</f>
        <v>车位28</v>
      </c>
      <c r="C31" s="3017">
        <f>[2]分摊!C33</f>
        <v>12.72</v>
      </c>
      <c r="D31" s="3018">
        <f>[2]分摊!H33</f>
        <v>24.67</v>
      </c>
      <c r="E31" s="3017">
        <f t="shared" si="0"/>
        <v>37.39</v>
      </c>
    </row>
    <row r="32" spans="1:5" ht="19.95" customHeight="1">
      <c r="A32" s="3016"/>
      <c r="B32" s="3015" t="str">
        <f>[2]分摊!B34</f>
        <v>车位29</v>
      </c>
      <c r="C32" s="3017">
        <f>[2]分摊!C34</f>
        <v>12.72</v>
      </c>
      <c r="D32" s="3018">
        <f>[2]分摊!H34</f>
        <v>24.67</v>
      </c>
      <c r="E32" s="3017">
        <f t="shared" si="0"/>
        <v>37.39</v>
      </c>
    </row>
    <row r="33" spans="1:5" ht="19.95" customHeight="1">
      <c r="A33" s="3020"/>
      <c r="B33" s="3015" t="str">
        <f>[2]分摊!B35</f>
        <v>车位30</v>
      </c>
      <c r="C33" s="3017">
        <f>[2]分摊!C35</f>
        <v>12.72</v>
      </c>
      <c r="D33" s="3018">
        <f>[2]分摊!H35</f>
        <v>24.67</v>
      </c>
      <c r="E33" s="3017">
        <f t="shared" si="0"/>
        <v>37.39</v>
      </c>
    </row>
    <row r="34" spans="1:5" ht="19.95" customHeight="1">
      <c r="A34" s="3020"/>
      <c r="B34" s="3015" t="str">
        <f>[2]分摊!B36</f>
        <v>车位31</v>
      </c>
      <c r="C34" s="3017">
        <f>[2]分摊!C36</f>
        <v>12.72</v>
      </c>
      <c r="D34" s="3018">
        <f>[2]分摊!H36</f>
        <v>24.67</v>
      </c>
      <c r="E34" s="3017">
        <f t="shared" si="0"/>
        <v>37.39</v>
      </c>
    </row>
    <row r="35" spans="1:5" ht="19.95" customHeight="1">
      <c r="A35" s="3020"/>
      <c r="B35" s="3015" t="str">
        <f>[2]分摊!B37</f>
        <v>车位32</v>
      </c>
      <c r="C35" s="3017">
        <f>[2]分摊!C37</f>
        <v>12.72</v>
      </c>
      <c r="D35" s="3018">
        <f>[2]分摊!H37</f>
        <v>24.67</v>
      </c>
      <c r="E35" s="3017">
        <f t="shared" si="0"/>
        <v>37.39</v>
      </c>
    </row>
    <row r="36" spans="1:5" ht="19.95" customHeight="1">
      <c r="A36" s="3020"/>
      <c r="B36" s="3015" t="str">
        <f>[2]分摊!B38</f>
        <v>车位33</v>
      </c>
      <c r="C36" s="3017">
        <f>[2]分摊!C38</f>
        <v>12.72</v>
      </c>
      <c r="D36" s="3018">
        <f>[2]分摊!H38</f>
        <v>24.67</v>
      </c>
      <c r="E36" s="3017">
        <f t="shared" si="0"/>
        <v>37.39</v>
      </c>
    </row>
    <row r="37" spans="1:5" ht="19.95" customHeight="1">
      <c r="A37" s="3020"/>
      <c r="B37" s="3015" t="str">
        <f>[2]分摊!B39</f>
        <v>车位34</v>
      </c>
      <c r="C37" s="3017">
        <f>[2]分摊!C39</f>
        <v>12.72</v>
      </c>
      <c r="D37" s="3018">
        <f>[2]分摊!H39</f>
        <v>24.67</v>
      </c>
      <c r="E37" s="3017">
        <f t="shared" si="0"/>
        <v>37.39</v>
      </c>
    </row>
    <row r="38" spans="1:5" ht="19.95" customHeight="1">
      <c r="A38" s="3020"/>
      <c r="B38" s="3015" t="str">
        <f>[2]分摊!B40</f>
        <v>车位35</v>
      </c>
      <c r="C38" s="3017">
        <f>[2]分摊!C40</f>
        <v>12.72</v>
      </c>
      <c r="D38" s="3018">
        <f>[2]分摊!H40</f>
        <v>24.67</v>
      </c>
      <c r="E38" s="3017">
        <f t="shared" si="0"/>
        <v>37.39</v>
      </c>
    </row>
    <row r="39" spans="1:5" ht="19.95" customHeight="1">
      <c r="A39" s="3016"/>
      <c r="B39" s="3015" t="str">
        <f>[2]分摊!B41</f>
        <v>车位36</v>
      </c>
      <c r="C39" s="3017">
        <f>[2]分摊!C41</f>
        <v>12.72</v>
      </c>
      <c r="D39" s="3018">
        <f>[2]分摊!H41</f>
        <v>24.67</v>
      </c>
      <c r="E39" s="3017">
        <f t="shared" si="0"/>
        <v>37.39</v>
      </c>
    </row>
    <row r="40" spans="1:5" ht="19.95" customHeight="1">
      <c r="A40" s="3020"/>
      <c r="B40" s="3015" t="str">
        <f>[2]分摊!B42</f>
        <v>车位37</v>
      </c>
      <c r="C40" s="3017">
        <f>[2]分摊!C42</f>
        <v>12.72</v>
      </c>
      <c r="D40" s="3018">
        <f>[2]分摊!H42</f>
        <v>24.67</v>
      </c>
      <c r="E40" s="3017">
        <f t="shared" si="0"/>
        <v>37.39</v>
      </c>
    </row>
    <row r="41" spans="1:5" ht="19.95" customHeight="1">
      <c r="A41" s="3020"/>
      <c r="B41" s="3015" t="str">
        <f>[2]分摊!B43</f>
        <v>车位38</v>
      </c>
      <c r="C41" s="3017">
        <f>[2]分摊!C43</f>
        <v>12.72</v>
      </c>
      <c r="D41" s="3018">
        <f>[2]分摊!H43</f>
        <v>24.67</v>
      </c>
      <c r="E41" s="3017">
        <f t="shared" si="0"/>
        <v>37.39</v>
      </c>
    </row>
    <row r="42" spans="1:5" ht="19.95" customHeight="1">
      <c r="A42" s="3020"/>
      <c r="B42" s="3015" t="str">
        <f>[2]分摊!B44</f>
        <v>车位39</v>
      </c>
      <c r="C42" s="3017">
        <f>[2]分摊!C44</f>
        <v>12.72</v>
      </c>
      <c r="D42" s="3018">
        <f>[2]分摊!H44</f>
        <v>24.67</v>
      </c>
      <c r="E42" s="3017">
        <f t="shared" si="0"/>
        <v>37.39</v>
      </c>
    </row>
    <row r="43" spans="1:5" ht="19.95" customHeight="1">
      <c r="A43" s="3020"/>
      <c r="B43" s="3015" t="str">
        <f>[2]分摊!B45</f>
        <v>车位40</v>
      </c>
      <c r="C43" s="3017">
        <f>[2]分摊!C45</f>
        <v>12.72</v>
      </c>
      <c r="D43" s="3018">
        <f>[2]分摊!H45</f>
        <v>24.67</v>
      </c>
      <c r="E43" s="3017">
        <f t="shared" si="0"/>
        <v>37.39</v>
      </c>
    </row>
    <row r="44" spans="1:5" ht="19.95" customHeight="1">
      <c r="A44" s="3020"/>
      <c r="B44" s="3015" t="str">
        <f>[2]分摊!B46</f>
        <v>车位41</v>
      </c>
      <c r="C44" s="3017">
        <f>[2]分摊!C46</f>
        <v>12.72</v>
      </c>
      <c r="D44" s="3018">
        <f>[2]分摊!H46</f>
        <v>24.67</v>
      </c>
      <c r="E44" s="3017">
        <f t="shared" si="0"/>
        <v>37.39</v>
      </c>
    </row>
    <row r="45" spans="1:5" ht="19.95" customHeight="1">
      <c r="A45" s="3020"/>
      <c r="B45" s="3015" t="str">
        <f>[2]分摊!B47</f>
        <v>车位42</v>
      </c>
      <c r="C45" s="3017">
        <f>[2]分摊!C47</f>
        <v>12.72</v>
      </c>
      <c r="D45" s="3018">
        <f>[2]分摊!H47</f>
        <v>24.67</v>
      </c>
      <c r="E45" s="3017">
        <f t="shared" si="0"/>
        <v>37.39</v>
      </c>
    </row>
    <row r="46" spans="1:5" ht="19.95" customHeight="1">
      <c r="A46" s="3016"/>
      <c r="B46" s="3015" t="str">
        <f>[2]分摊!B48</f>
        <v>车位43</v>
      </c>
      <c r="C46" s="3017">
        <f>[2]分摊!C48</f>
        <v>12.72</v>
      </c>
      <c r="D46" s="3018">
        <f>[2]分摊!H48</f>
        <v>24.67</v>
      </c>
      <c r="E46" s="3017">
        <f t="shared" si="0"/>
        <v>37.39</v>
      </c>
    </row>
    <row r="47" spans="1:5" ht="19.95" customHeight="1">
      <c r="A47" s="3020"/>
      <c r="B47" s="3015" t="str">
        <f>[2]分摊!B49</f>
        <v>车位44</v>
      </c>
      <c r="C47" s="3017">
        <f>[2]分摊!C49</f>
        <v>12.72</v>
      </c>
      <c r="D47" s="3018">
        <f>[2]分摊!H49</f>
        <v>24.67</v>
      </c>
      <c r="E47" s="3017">
        <f t="shared" si="0"/>
        <v>37.39</v>
      </c>
    </row>
    <row r="48" spans="1:5" ht="19.95" customHeight="1">
      <c r="A48" s="3020"/>
      <c r="B48" s="3015" t="str">
        <f>[2]分摊!B50</f>
        <v>车位45</v>
      </c>
      <c r="C48" s="3017">
        <f>[2]分摊!C50</f>
        <v>12.72</v>
      </c>
      <c r="D48" s="3018">
        <f>[2]分摊!H50</f>
        <v>24.67</v>
      </c>
      <c r="E48" s="3017">
        <f t="shared" si="0"/>
        <v>37.39</v>
      </c>
    </row>
    <row r="49" spans="1:5" ht="19.95" customHeight="1">
      <c r="A49" s="3020"/>
      <c r="B49" s="3015" t="str">
        <f>[2]分摊!B51</f>
        <v>车位46</v>
      </c>
      <c r="C49" s="3017">
        <f>[2]分摊!C51</f>
        <v>12.72</v>
      </c>
      <c r="D49" s="3018">
        <f>[2]分摊!H51</f>
        <v>24.67</v>
      </c>
      <c r="E49" s="3017">
        <f t="shared" si="0"/>
        <v>37.39</v>
      </c>
    </row>
    <row r="50" spans="1:5" ht="19.95" customHeight="1">
      <c r="A50" s="3020"/>
      <c r="B50" s="3015" t="str">
        <f>[2]分摊!B52</f>
        <v>车位47</v>
      </c>
      <c r="C50" s="3017">
        <f>[2]分摊!C52</f>
        <v>12.72</v>
      </c>
      <c r="D50" s="3018">
        <f>[2]分摊!H52</f>
        <v>24.67</v>
      </c>
      <c r="E50" s="3017">
        <f t="shared" si="0"/>
        <v>37.39</v>
      </c>
    </row>
    <row r="51" spans="1:5" ht="19.95" customHeight="1">
      <c r="A51" s="3020"/>
      <c r="B51" s="3015" t="str">
        <f>[2]分摊!B53</f>
        <v>车位48</v>
      </c>
      <c r="C51" s="3017">
        <f>[2]分摊!C53</f>
        <v>12.72</v>
      </c>
      <c r="D51" s="3018">
        <f>[2]分摊!H53</f>
        <v>24.67</v>
      </c>
      <c r="E51" s="3017">
        <f t="shared" si="0"/>
        <v>37.39</v>
      </c>
    </row>
    <row r="52" spans="1:5" ht="19.95" customHeight="1">
      <c r="A52" s="3020"/>
      <c r="B52" s="3015" t="str">
        <f>[2]分摊!B54</f>
        <v>车位49</v>
      </c>
      <c r="C52" s="3017">
        <f>[2]分摊!C54</f>
        <v>12.72</v>
      </c>
      <c r="D52" s="3018">
        <f>[2]分摊!H54</f>
        <v>24.67</v>
      </c>
      <c r="E52" s="3017">
        <f t="shared" si="0"/>
        <v>37.39</v>
      </c>
    </row>
    <row r="53" spans="1:5" ht="19.95" customHeight="1">
      <c r="A53" s="3016"/>
      <c r="B53" s="3015" t="str">
        <f>[2]分摊!B55</f>
        <v>车位50</v>
      </c>
      <c r="C53" s="3017">
        <f>[2]分摊!C55</f>
        <v>12.72</v>
      </c>
      <c r="D53" s="3018">
        <f>[2]分摊!H55</f>
        <v>24.67</v>
      </c>
      <c r="E53" s="3017">
        <f t="shared" si="0"/>
        <v>37.39</v>
      </c>
    </row>
    <row r="54" spans="1:5" ht="19.95" customHeight="1">
      <c r="A54" s="3020"/>
      <c r="B54" s="3015" t="str">
        <f>[2]分摊!B56</f>
        <v>车位51</v>
      </c>
      <c r="C54" s="3017">
        <f>[2]分摊!C56</f>
        <v>12.72</v>
      </c>
      <c r="D54" s="3018">
        <f>[2]分摊!H56</f>
        <v>24.67</v>
      </c>
      <c r="E54" s="3017">
        <f t="shared" si="0"/>
        <v>37.39</v>
      </c>
    </row>
    <row r="55" spans="1:5" ht="19.95" customHeight="1">
      <c r="A55" s="3020"/>
      <c r="B55" s="3015" t="str">
        <f>[2]分摊!B57</f>
        <v>车位52</v>
      </c>
      <c r="C55" s="3017">
        <f>[2]分摊!C57</f>
        <v>12.72</v>
      </c>
      <c r="D55" s="3018">
        <f>[2]分摊!H57</f>
        <v>24.67</v>
      </c>
      <c r="E55" s="3017">
        <f t="shared" si="0"/>
        <v>37.39</v>
      </c>
    </row>
    <row r="56" spans="1:5" ht="19.95" customHeight="1">
      <c r="A56" s="3020"/>
      <c r="B56" s="3015" t="str">
        <f>[2]分摊!B58</f>
        <v>车位53</v>
      </c>
      <c r="C56" s="3017">
        <f>[2]分摊!C58</f>
        <v>12.72</v>
      </c>
      <c r="D56" s="3018">
        <f>[2]分摊!H58</f>
        <v>24.67</v>
      </c>
      <c r="E56" s="3017">
        <f t="shared" si="0"/>
        <v>37.39</v>
      </c>
    </row>
    <row r="57" spans="1:5" ht="19.95" customHeight="1">
      <c r="A57" s="3020"/>
      <c r="B57" s="3015" t="str">
        <f>[2]分摊!B59</f>
        <v>车位54</v>
      </c>
      <c r="C57" s="3017">
        <f>[2]分摊!C59</f>
        <v>12.72</v>
      </c>
      <c r="D57" s="3018">
        <f>[2]分摊!H59</f>
        <v>24.67</v>
      </c>
      <c r="E57" s="3017">
        <f t="shared" si="0"/>
        <v>37.39</v>
      </c>
    </row>
    <row r="58" spans="1:5" ht="19.95" customHeight="1">
      <c r="A58" s="3020"/>
      <c r="B58" s="3015" t="str">
        <f>[2]分摊!B60</f>
        <v>车位55</v>
      </c>
      <c r="C58" s="3017">
        <f>[2]分摊!C60</f>
        <v>12.72</v>
      </c>
      <c r="D58" s="3018">
        <f>[2]分摊!H60</f>
        <v>24.67</v>
      </c>
      <c r="E58" s="3017">
        <f t="shared" si="0"/>
        <v>37.39</v>
      </c>
    </row>
    <row r="59" spans="1:5" ht="19.95" customHeight="1">
      <c r="A59" s="3020"/>
      <c r="B59" s="3015" t="str">
        <f>[2]分摊!B61</f>
        <v>车位56</v>
      </c>
      <c r="C59" s="3017">
        <f>[2]分摊!C61</f>
        <v>12.72</v>
      </c>
      <c r="D59" s="3018">
        <f>[2]分摊!H61</f>
        <v>24.67</v>
      </c>
      <c r="E59" s="3017">
        <f t="shared" si="0"/>
        <v>37.39</v>
      </c>
    </row>
    <row r="60" spans="1:5" ht="19.95" customHeight="1">
      <c r="A60" s="3016"/>
      <c r="B60" s="3015" t="str">
        <f>[2]分摊!B62</f>
        <v>车位57</v>
      </c>
      <c r="C60" s="3017">
        <f>[2]分摊!C62</f>
        <v>12.72</v>
      </c>
      <c r="D60" s="3018">
        <f>[2]分摊!H62</f>
        <v>24.67</v>
      </c>
      <c r="E60" s="3017">
        <f t="shared" si="0"/>
        <v>37.39</v>
      </c>
    </row>
    <row r="61" spans="1:5" ht="19.95" customHeight="1">
      <c r="A61" s="3020"/>
      <c r="B61" s="3015" t="str">
        <f>[2]分摊!B63</f>
        <v>车位58</v>
      </c>
      <c r="C61" s="3017">
        <f>[2]分摊!C63</f>
        <v>12.72</v>
      </c>
      <c r="D61" s="3018">
        <f>[2]分摊!H63</f>
        <v>24.67</v>
      </c>
      <c r="E61" s="3017">
        <f t="shared" si="0"/>
        <v>37.39</v>
      </c>
    </row>
    <row r="62" spans="1:5" ht="19.95" customHeight="1">
      <c r="A62" s="3020"/>
      <c r="B62" s="3015" t="str">
        <f>[2]分摊!B64</f>
        <v>车位59</v>
      </c>
      <c r="C62" s="3017">
        <f>[2]分摊!C64</f>
        <v>12.72</v>
      </c>
      <c r="D62" s="3018">
        <f>[2]分摊!H64</f>
        <v>24.67</v>
      </c>
      <c r="E62" s="3017">
        <f t="shared" si="0"/>
        <v>37.39</v>
      </c>
    </row>
    <row r="63" spans="1:5" ht="19.95" customHeight="1">
      <c r="A63" s="3020"/>
      <c r="B63" s="3015" t="str">
        <f>[2]分摊!B65</f>
        <v>车位60</v>
      </c>
      <c r="C63" s="3017">
        <f>[2]分摊!C65</f>
        <v>12.72</v>
      </c>
      <c r="D63" s="3018">
        <f>[2]分摊!H65</f>
        <v>24.67</v>
      </c>
      <c r="E63" s="3017">
        <f t="shared" si="0"/>
        <v>37.39</v>
      </c>
    </row>
    <row r="64" spans="1:5" ht="19.95" customHeight="1">
      <c r="A64" s="3020"/>
      <c r="B64" s="3015" t="str">
        <f>[2]分摊!B66</f>
        <v>车位61</v>
      </c>
      <c r="C64" s="3017">
        <f>[2]分摊!C66</f>
        <v>12.72</v>
      </c>
      <c r="D64" s="3018">
        <f>[2]分摊!H66</f>
        <v>24.67</v>
      </c>
      <c r="E64" s="3017">
        <f t="shared" si="0"/>
        <v>37.39</v>
      </c>
    </row>
    <row r="65" spans="1:5" ht="19.95" customHeight="1">
      <c r="A65" s="3020"/>
      <c r="B65" s="3015" t="str">
        <f>[2]分摊!B67</f>
        <v>车位62</v>
      </c>
      <c r="C65" s="3017">
        <f>[2]分摊!C67</f>
        <v>12.72</v>
      </c>
      <c r="D65" s="3018">
        <f>[2]分摊!H67</f>
        <v>24.67</v>
      </c>
      <c r="E65" s="3017">
        <f t="shared" si="0"/>
        <v>37.39</v>
      </c>
    </row>
    <row r="66" spans="1:5" ht="19.95" customHeight="1">
      <c r="A66" s="3020"/>
      <c r="B66" s="3015" t="str">
        <f>[2]分摊!B68</f>
        <v>车位63</v>
      </c>
      <c r="C66" s="3017">
        <f>[2]分摊!C68</f>
        <v>12.72</v>
      </c>
      <c r="D66" s="3018">
        <f>[2]分摊!H68</f>
        <v>24.67</v>
      </c>
      <c r="E66" s="3017">
        <f t="shared" si="0"/>
        <v>37.39</v>
      </c>
    </row>
    <row r="67" spans="1:5" ht="19.95" customHeight="1">
      <c r="A67" s="3016"/>
      <c r="B67" s="3015" t="str">
        <f>[2]分摊!B69</f>
        <v>车位64</v>
      </c>
      <c r="C67" s="3017">
        <f>[2]分摊!C69</f>
        <v>12.72</v>
      </c>
      <c r="D67" s="3018">
        <f>[2]分摊!H69</f>
        <v>24.67</v>
      </c>
      <c r="E67" s="3017">
        <f t="shared" si="0"/>
        <v>37.39</v>
      </c>
    </row>
    <row r="68" spans="1:5" ht="19.95" customHeight="1">
      <c r="A68" s="3020"/>
      <c r="B68" s="3015" t="str">
        <f>[2]分摊!B70</f>
        <v>车位65</v>
      </c>
      <c r="C68" s="3017">
        <f>[2]分摊!C70</f>
        <v>12.72</v>
      </c>
      <c r="D68" s="3018">
        <f>[2]分摊!H70</f>
        <v>24.67</v>
      </c>
      <c r="E68" s="3017">
        <f t="shared" si="0"/>
        <v>37.39</v>
      </c>
    </row>
    <row r="69" spans="1:5" ht="19.95" customHeight="1">
      <c r="A69" s="3020"/>
      <c r="B69" s="3015" t="str">
        <f>[2]分摊!B71</f>
        <v>车位66</v>
      </c>
      <c r="C69" s="3017">
        <f>[2]分摊!C71</f>
        <v>12.72</v>
      </c>
      <c r="D69" s="3018">
        <f>[2]分摊!H71</f>
        <v>24.67</v>
      </c>
      <c r="E69" s="3017">
        <f t="shared" ref="E69:E132" si="1">SUM(C69:D69)</f>
        <v>37.39</v>
      </c>
    </row>
    <row r="70" spans="1:5" ht="19.95" customHeight="1">
      <c r="A70" s="3020"/>
      <c r="B70" s="3015" t="str">
        <f>[2]分摊!B72</f>
        <v>车位67</v>
      </c>
      <c r="C70" s="3017">
        <f>[2]分摊!C72</f>
        <v>12.72</v>
      </c>
      <c r="D70" s="3018">
        <f>[2]分摊!H72</f>
        <v>24.67</v>
      </c>
      <c r="E70" s="3017">
        <f t="shared" si="1"/>
        <v>37.39</v>
      </c>
    </row>
    <row r="71" spans="1:5" ht="19.95" customHeight="1">
      <c r="A71" s="3020"/>
      <c r="B71" s="3015" t="str">
        <f>[2]分摊!B73</f>
        <v>车位68</v>
      </c>
      <c r="C71" s="3017">
        <f>[2]分摊!C73</f>
        <v>12.72</v>
      </c>
      <c r="D71" s="3018">
        <f>[2]分摊!H73</f>
        <v>24.67</v>
      </c>
      <c r="E71" s="3017">
        <f t="shared" si="1"/>
        <v>37.39</v>
      </c>
    </row>
    <row r="72" spans="1:5" ht="19.95" customHeight="1">
      <c r="A72" s="3020"/>
      <c r="B72" s="3015" t="str">
        <f>[2]分摊!B74</f>
        <v>车位69</v>
      </c>
      <c r="C72" s="3017">
        <f>[2]分摊!C74</f>
        <v>12.72</v>
      </c>
      <c r="D72" s="3018">
        <f>[2]分摊!H74</f>
        <v>24.67</v>
      </c>
      <c r="E72" s="3017">
        <f t="shared" si="1"/>
        <v>37.39</v>
      </c>
    </row>
    <row r="73" spans="1:5" ht="19.95" customHeight="1">
      <c r="A73" s="3020"/>
      <c r="B73" s="3015" t="str">
        <f>[2]分摊!B75</f>
        <v>车位70</v>
      </c>
      <c r="C73" s="3017">
        <f>[2]分摊!C75</f>
        <v>12.72</v>
      </c>
      <c r="D73" s="3018">
        <f>[2]分摊!H75</f>
        <v>24.67</v>
      </c>
      <c r="E73" s="3017">
        <f t="shared" si="1"/>
        <v>37.39</v>
      </c>
    </row>
    <row r="74" spans="1:5" ht="19.95" customHeight="1">
      <c r="A74" s="3016"/>
      <c r="B74" s="3015" t="str">
        <f>[2]分摊!B76</f>
        <v>车位71</v>
      </c>
      <c r="C74" s="3017">
        <f>[2]分摊!C76</f>
        <v>12.72</v>
      </c>
      <c r="D74" s="3018">
        <f>[2]分摊!H76</f>
        <v>24.67</v>
      </c>
      <c r="E74" s="3017">
        <f t="shared" si="1"/>
        <v>37.39</v>
      </c>
    </row>
    <row r="75" spans="1:5" ht="19.95" customHeight="1">
      <c r="A75" s="3020"/>
      <c r="B75" s="3015" t="str">
        <f>[2]分摊!B77</f>
        <v>车位72</v>
      </c>
      <c r="C75" s="3017">
        <f>[2]分摊!C77</f>
        <v>12.72</v>
      </c>
      <c r="D75" s="3018">
        <f>[2]分摊!H77</f>
        <v>24.67</v>
      </c>
      <c r="E75" s="3017">
        <f t="shared" si="1"/>
        <v>37.39</v>
      </c>
    </row>
    <row r="76" spans="1:5" ht="19.95" customHeight="1">
      <c r="A76" s="3020"/>
      <c r="B76" s="3015" t="str">
        <f>[2]分摊!B78</f>
        <v>车位73</v>
      </c>
      <c r="C76" s="3017">
        <f>[2]分摊!C78</f>
        <v>12.72</v>
      </c>
      <c r="D76" s="3018">
        <f>[2]分摊!H78</f>
        <v>24.67</v>
      </c>
      <c r="E76" s="3017">
        <f t="shared" si="1"/>
        <v>37.39</v>
      </c>
    </row>
    <row r="77" spans="1:5" ht="19.95" customHeight="1">
      <c r="A77" s="3020"/>
      <c r="B77" s="3015" t="str">
        <f>[2]分摊!B79</f>
        <v>微型车位74</v>
      </c>
      <c r="C77" s="3017">
        <f>[2]分摊!C79</f>
        <v>11.66</v>
      </c>
      <c r="D77" s="3018">
        <f>[2]分摊!H79</f>
        <v>22.61</v>
      </c>
      <c r="E77" s="3017">
        <f t="shared" si="1"/>
        <v>34.269999999999996</v>
      </c>
    </row>
    <row r="78" spans="1:5" ht="19.95" customHeight="1">
      <c r="A78" s="3020"/>
      <c r="B78" s="3015" t="str">
        <f>[2]分摊!B80</f>
        <v>车位75</v>
      </c>
      <c r="C78" s="3017">
        <f>[2]分摊!C80</f>
        <v>12.72</v>
      </c>
      <c r="D78" s="3018">
        <f>[2]分摊!H80</f>
        <v>24.67</v>
      </c>
      <c r="E78" s="3017">
        <f t="shared" si="1"/>
        <v>37.39</v>
      </c>
    </row>
    <row r="79" spans="1:5" ht="19.95" customHeight="1">
      <c r="A79" s="3020"/>
      <c r="B79" s="3015" t="str">
        <f>[2]分摊!B81</f>
        <v>车位76</v>
      </c>
      <c r="C79" s="3017">
        <f>[2]分摊!C81</f>
        <v>12.72</v>
      </c>
      <c r="D79" s="3018">
        <f>[2]分摊!H81</f>
        <v>24.67</v>
      </c>
      <c r="E79" s="3017">
        <f t="shared" si="1"/>
        <v>37.39</v>
      </c>
    </row>
    <row r="80" spans="1:5" ht="19.95" customHeight="1">
      <c r="A80" s="3020"/>
      <c r="B80" s="3015" t="str">
        <f>[2]分摊!B82</f>
        <v>车位77</v>
      </c>
      <c r="C80" s="3017">
        <f>[2]分摊!C82</f>
        <v>12.72</v>
      </c>
      <c r="D80" s="3018">
        <f>[2]分摊!H82</f>
        <v>24.67</v>
      </c>
      <c r="E80" s="3017">
        <f t="shared" si="1"/>
        <v>37.39</v>
      </c>
    </row>
    <row r="81" spans="1:5" ht="19.95" customHeight="1">
      <c r="A81" s="3016"/>
      <c r="B81" s="3015" t="str">
        <f>[2]分摊!B83</f>
        <v>车位78</v>
      </c>
      <c r="C81" s="3017">
        <f>[2]分摊!C83</f>
        <v>12.72</v>
      </c>
      <c r="D81" s="3018">
        <f>[2]分摊!H83</f>
        <v>24.67</v>
      </c>
      <c r="E81" s="3017">
        <f t="shared" si="1"/>
        <v>37.39</v>
      </c>
    </row>
    <row r="82" spans="1:5" ht="19.95" customHeight="1">
      <c r="A82" s="3020"/>
      <c r="B82" s="3015" t="str">
        <f>[2]分摊!B84</f>
        <v>车位79</v>
      </c>
      <c r="C82" s="3017">
        <f>[2]分摊!C84</f>
        <v>12.72</v>
      </c>
      <c r="D82" s="3018">
        <f>[2]分摊!H84</f>
        <v>24.67</v>
      </c>
      <c r="E82" s="3017">
        <f t="shared" si="1"/>
        <v>37.39</v>
      </c>
    </row>
    <row r="83" spans="1:5" ht="19.95" customHeight="1">
      <c r="A83" s="3020"/>
      <c r="B83" s="3015" t="str">
        <f>[2]分摊!B85</f>
        <v>车位80</v>
      </c>
      <c r="C83" s="3017">
        <f>[2]分摊!C85</f>
        <v>12.72</v>
      </c>
      <c r="D83" s="3018">
        <f>[2]分摊!H85</f>
        <v>24.67</v>
      </c>
      <c r="E83" s="3017">
        <f t="shared" si="1"/>
        <v>37.39</v>
      </c>
    </row>
    <row r="84" spans="1:5" ht="19.95" customHeight="1">
      <c r="A84" s="3020"/>
      <c r="B84" s="3015" t="str">
        <f>[2]分摊!B86</f>
        <v>车位81</v>
      </c>
      <c r="C84" s="3017">
        <f>[2]分摊!C86</f>
        <v>12.72</v>
      </c>
      <c r="D84" s="3018">
        <f>[2]分摊!H86</f>
        <v>24.67</v>
      </c>
      <c r="E84" s="3017">
        <f t="shared" si="1"/>
        <v>37.39</v>
      </c>
    </row>
    <row r="85" spans="1:5" ht="19.95" customHeight="1">
      <c r="A85" s="3020"/>
      <c r="B85" s="3015" t="str">
        <f>[2]分摊!B87</f>
        <v>车位82</v>
      </c>
      <c r="C85" s="3017">
        <f>[2]分摊!C87</f>
        <v>12.72</v>
      </c>
      <c r="D85" s="3018">
        <f>[2]分摊!H87</f>
        <v>24.67</v>
      </c>
      <c r="E85" s="3017">
        <f t="shared" si="1"/>
        <v>37.39</v>
      </c>
    </row>
    <row r="86" spans="1:5" ht="19.95" customHeight="1">
      <c r="A86" s="3020"/>
      <c r="B86" s="3015" t="str">
        <f>[2]分摊!B88</f>
        <v>车位83</v>
      </c>
      <c r="C86" s="3017">
        <f>[2]分摊!C88</f>
        <v>12.72</v>
      </c>
      <c r="D86" s="3018">
        <f>[2]分摊!H88</f>
        <v>24.67</v>
      </c>
      <c r="E86" s="3017">
        <f t="shared" si="1"/>
        <v>37.39</v>
      </c>
    </row>
    <row r="87" spans="1:5" ht="19.95" customHeight="1">
      <c r="A87" s="3020"/>
      <c r="B87" s="3015" t="str">
        <f>[2]分摊!B89</f>
        <v>车位84</v>
      </c>
      <c r="C87" s="3017">
        <f>[2]分摊!C89</f>
        <v>12.72</v>
      </c>
      <c r="D87" s="3018">
        <f>[2]分摊!H89</f>
        <v>24.67</v>
      </c>
      <c r="E87" s="3017">
        <f t="shared" si="1"/>
        <v>37.39</v>
      </c>
    </row>
    <row r="88" spans="1:5" ht="19.95" customHeight="1">
      <c r="A88" s="3016"/>
      <c r="B88" s="3015" t="str">
        <f>[2]分摊!B90</f>
        <v>车位85</v>
      </c>
      <c r="C88" s="3017">
        <f>[2]分摊!C90</f>
        <v>12.72</v>
      </c>
      <c r="D88" s="3018">
        <f>[2]分摊!H90</f>
        <v>24.67</v>
      </c>
      <c r="E88" s="3017">
        <f t="shared" si="1"/>
        <v>37.39</v>
      </c>
    </row>
    <row r="89" spans="1:5" ht="19.95" customHeight="1">
      <c r="A89" s="3020"/>
      <c r="B89" s="3015" t="str">
        <f>[2]分摊!B91</f>
        <v>车位86</v>
      </c>
      <c r="C89" s="3017">
        <f>[2]分摊!C91</f>
        <v>12.72</v>
      </c>
      <c r="D89" s="3018">
        <f>[2]分摊!H91</f>
        <v>24.67</v>
      </c>
      <c r="E89" s="3017">
        <f t="shared" si="1"/>
        <v>37.39</v>
      </c>
    </row>
    <row r="90" spans="1:5" ht="19.95" customHeight="1">
      <c r="A90" s="3020"/>
      <c r="B90" s="3015" t="str">
        <f>[2]分摊!B92</f>
        <v>车位87</v>
      </c>
      <c r="C90" s="3017">
        <f>[2]分摊!C92</f>
        <v>12.72</v>
      </c>
      <c r="D90" s="3018">
        <f>[2]分摊!H92</f>
        <v>24.67</v>
      </c>
      <c r="E90" s="3017">
        <f t="shared" si="1"/>
        <v>37.39</v>
      </c>
    </row>
    <row r="91" spans="1:5" ht="19.95" customHeight="1">
      <c r="A91" s="3020"/>
      <c r="B91" s="3015" t="str">
        <f>[2]分摊!B93</f>
        <v>车位88</v>
      </c>
      <c r="C91" s="3017">
        <f>[2]分摊!C93</f>
        <v>12.72</v>
      </c>
      <c r="D91" s="3018">
        <f>[2]分摊!H93</f>
        <v>24.67</v>
      </c>
      <c r="E91" s="3017">
        <f t="shared" si="1"/>
        <v>37.39</v>
      </c>
    </row>
    <row r="92" spans="1:5" ht="19.95" customHeight="1">
      <c r="A92" s="3020"/>
      <c r="B92" s="3015" t="str">
        <f>[2]分摊!B94</f>
        <v>车位89</v>
      </c>
      <c r="C92" s="3017">
        <f>[2]分摊!C94</f>
        <v>12.72</v>
      </c>
      <c r="D92" s="3018">
        <f>[2]分摊!H94</f>
        <v>24.67</v>
      </c>
      <c r="E92" s="3017">
        <f t="shared" si="1"/>
        <v>37.39</v>
      </c>
    </row>
    <row r="93" spans="1:5" ht="19.95" customHeight="1">
      <c r="A93" s="3020"/>
      <c r="B93" s="3015" t="str">
        <f>[2]分摊!B95</f>
        <v>车位90</v>
      </c>
      <c r="C93" s="3017">
        <f>[2]分摊!C95</f>
        <v>12.72</v>
      </c>
      <c r="D93" s="3018">
        <f>[2]分摊!H95</f>
        <v>24.67</v>
      </c>
      <c r="E93" s="3017">
        <f t="shared" si="1"/>
        <v>37.39</v>
      </c>
    </row>
    <row r="94" spans="1:5" ht="19.95" customHeight="1">
      <c r="A94" s="3020"/>
      <c r="B94" s="3015" t="str">
        <f>[2]分摊!B96</f>
        <v>车位91</v>
      </c>
      <c r="C94" s="3017">
        <f>[2]分摊!C96</f>
        <v>12.72</v>
      </c>
      <c r="D94" s="3018">
        <f>[2]分摊!H96</f>
        <v>24.67</v>
      </c>
      <c r="E94" s="3017">
        <f t="shared" si="1"/>
        <v>37.39</v>
      </c>
    </row>
    <row r="95" spans="1:5" ht="19.95" customHeight="1">
      <c r="A95" s="3016"/>
      <c r="B95" s="3015" t="str">
        <f>[2]分摊!B97</f>
        <v>车位92</v>
      </c>
      <c r="C95" s="3017">
        <f>[2]分摊!C97</f>
        <v>12.72</v>
      </c>
      <c r="D95" s="3018">
        <f>[2]分摊!H97</f>
        <v>24.67</v>
      </c>
      <c r="E95" s="3017">
        <f t="shared" si="1"/>
        <v>37.39</v>
      </c>
    </row>
    <row r="96" spans="1:5" ht="19.95" customHeight="1">
      <c r="A96" s="3020"/>
      <c r="B96" s="3015" t="str">
        <f>[2]分摊!B98</f>
        <v>车位93</v>
      </c>
      <c r="C96" s="3017">
        <f>[2]分摊!C98</f>
        <v>12.72</v>
      </c>
      <c r="D96" s="3018">
        <f>[2]分摊!H98</f>
        <v>24.67</v>
      </c>
      <c r="E96" s="3017">
        <f t="shared" si="1"/>
        <v>37.39</v>
      </c>
    </row>
    <row r="97" spans="1:5" ht="19.95" customHeight="1">
      <c r="A97" s="3020"/>
      <c r="B97" s="3015" t="str">
        <f>[2]分摊!B99</f>
        <v>车位94</v>
      </c>
      <c r="C97" s="3017">
        <f>[2]分摊!C99</f>
        <v>12.72</v>
      </c>
      <c r="D97" s="3018">
        <f>[2]分摊!H99</f>
        <v>24.67</v>
      </c>
      <c r="E97" s="3017">
        <f t="shared" si="1"/>
        <v>37.39</v>
      </c>
    </row>
    <row r="98" spans="1:5" ht="19.95" customHeight="1">
      <c r="A98" s="3020"/>
      <c r="B98" s="3015" t="str">
        <f>[2]分摊!B100</f>
        <v>车位95</v>
      </c>
      <c r="C98" s="3017">
        <f>[2]分摊!C100</f>
        <v>12.72</v>
      </c>
      <c r="D98" s="3018">
        <f>[2]分摊!H100</f>
        <v>24.67</v>
      </c>
      <c r="E98" s="3017">
        <f t="shared" si="1"/>
        <v>37.39</v>
      </c>
    </row>
    <row r="99" spans="1:5" ht="19.95" customHeight="1">
      <c r="A99" s="3020"/>
      <c r="B99" s="3015" t="str">
        <f>[2]分摊!B101</f>
        <v>车位96</v>
      </c>
      <c r="C99" s="3017">
        <f>[2]分摊!C101</f>
        <v>12.72</v>
      </c>
      <c r="D99" s="3018">
        <f>[2]分摊!H101</f>
        <v>24.67</v>
      </c>
      <c r="E99" s="3017">
        <f t="shared" si="1"/>
        <v>37.39</v>
      </c>
    </row>
    <row r="100" spans="1:5" ht="19.95" customHeight="1">
      <c r="A100" s="3020"/>
      <c r="B100" s="3015" t="str">
        <f>[2]分摊!B102</f>
        <v>车位97</v>
      </c>
      <c r="C100" s="3017">
        <f>[2]分摊!C102</f>
        <v>12.72</v>
      </c>
      <c r="D100" s="3018">
        <f>[2]分摊!H102</f>
        <v>24.67</v>
      </c>
      <c r="E100" s="3017">
        <f t="shared" si="1"/>
        <v>37.39</v>
      </c>
    </row>
    <row r="101" spans="1:5" ht="19.95" customHeight="1">
      <c r="A101" s="3020"/>
      <c r="B101" s="3015" t="str">
        <f>[2]分摊!B103</f>
        <v>车位98</v>
      </c>
      <c r="C101" s="3017">
        <f>[2]分摊!C103</f>
        <v>12.72</v>
      </c>
      <c r="D101" s="3018">
        <f>[2]分摊!H103</f>
        <v>24.67</v>
      </c>
      <c r="E101" s="3017">
        <f t="shared" si="1"/>
        <v>37.39</v>
      </c>
    </row>
    <row r="102" spans="1:5" ht="19.95" customHeight="1">
      <c r="A102" s="3016"/>
      <c r="B102" s="3015" t="str">
        <f>[2]分摊!B104</f>
        <v>车位99</v>
      </c>
      <c r="C102" s="3017">
        <f>[2]分摊!C104</f>
        <v>12.72</v>
      </c>
      <c r="D102" s="3018">
        <f>[2]分摊!H104</f>
        <v>24.67</v>
      </c>
      <c r="E102" s="3017">
        <f t="shared" si="1"/>
        <v>37.39</v>
      </c>
    </row>
    <row r="103" spans="1:5" ht="19.95" customHeight="1">
      <c r="A103" s="3020"/>
      <c r="B103" s="3015" t="str">
        <f>[2]分摊!B105</f>
        <v>车位100</v>
      </c>
      <c r="C103" s="3017">
        <f>[2]分摊!C105</f>
        <v>12.72</v>
      </c>
      <c r="D103" s="3018">
        <f>[2]分摊!H105</f>
        <v>24.67</v>
      </c>
      <c r="E103" s="3017">
        <f t="shared" si="1"/>
        <v>37.39</v>
      </c>
    </row>
    <row r="104" spans="1:5" ht="19.95" customHeight="1">
      <c r="A104" s="3020"/>
      <c r="B104" s="3015" t="str">
        <f>[2]分摊!B106</f>
        <v>车位101</v>
      </c>
      <c r="C104" s="3017">
        <f>[2]分摊!C106</f>
        <v>12.72</v>
      </c>
      <c r="D104" s="3018">
        <f>[2]分摊!H106</f>
        <v>24.67</v>
      </c>
      <c r="E104" s="3017">
        <f t="shared" si="1"/>
        <v>37.39</v>
      </c>
    </row>
    <row r="105" spans="1:5" ht="19.95" customHeight="1">
      <c r="A105" s="3020"/>
      <c r="B105" s="3015" t="str">
        <f>[2]分摊!B107</f>
        <v>车位102</v>
      </c>
      <c r="C105" s="3017">
        <f>[2]分摊!C107</f>
        <v>12.72</v>
      </c>
      <c r="D105" s="3018">
        <f>[2]分摊!H107</f>
        <v>24.67</v>
      </c>
      <c r="E105" s="3017">
        <f t="shared" si="1"/>
        <v>37.39</v>
      </c>
    </row>
    <row r="106" spans="1:5" ht="19.95" customHeight="1">
      <c r="A106" s="3020"/>
      <c r="B106" s="3015" t="str">
        <f>[2]分摊!B108</f>
        <v>车位103</v>
      </c>
      <c r="C106" s="3017">
        <f>[2]分摊!C108</f>
        <v>12.72</v>
      </c>
      <c r="D106" s="3018">
        <f>[2]分摊!H108</f>
        <v>24.67</v>
      </c>
      <c r="E106" s="3017">
        <f t="shared" si="1"/>
        <v>37.39</v>
      </c>
    </row>
    <row r="107" spans="1:5" ht="19.95" customHeight="1">
      <c r="A107" s="3020"/>
      <c r="B107" s="3015" t="str">
        <f>[2]分摊!B109</f>
        <v>车位104</v>
      </c>
      <c r="C107" s="3017">
        <f>[2]分摊!C109</f>
        <v>12.72</v>
      </c>
      <c r="D107" s="3018">
        <f>[2]分摊!H109</f>
        <v>24.67</v>
      </c>
      <c r="E107" s="3017">
        <f t="shared" si="1"/>
        <v>37.39</v>
      </c>
    </row>
    <row r="108" spans="1:5" ht="19.95" customHeight="1">
      <c r="A108" s="3020"/>
      <c r="B108" s="3015" t="str">
        <f>[2]分摊!B110</f>
        <v>车位105</v>
      </c>
      <c r="C108" s="3017">
        <f>[2]分摊!C110</f>
        <v>12.72</v>
      </c>
      <c r="D108" s="3018">
        <f>[2]分摊!H110</f>
        <v>24.67</v>
      </c>
      <c r="E108" s="3017">
        <f t="shared" si="1"/>
        <v>37.39</v>
      </c>
    </row>
    <row r="109" spans="1:5" ht="19.95" customHeight="1">
      <c r="A109" s="3016"/>
      <c r="B109" s="3015" t="str">
        <f>[2]分摊!B111</f>
        <v>车位106</v>
      </c>
      <c r="C109" s="3017">
        <f>[2]分摊!C111</f>
        <v>12.72</v>
      </c>
      <c r="D109" s="3018">
        <f>[2]分摊!H111</f>
        <v>24.67</v>
      </c>
      <c r="E109" s="3017">
        <f t="shared" si="1"/>
        <v>37.39</v>
      </c>
    </row>
    <row r="110" spans="1:5" ht="19.95" customHeight="1">
      <c r="A110" s="3020"/>
      <c r="B110" s="3015" t="str">
        <f>[2]分摊!B112</f>
        <v>车位107</v>
      </c>
      <c r="C110" s="3017">
        <f>[2]分摊!C112</f>
        <v>12.72</v>
      </c>
      <c r="D110" s="3018">
        <f>[2]分摊!H112</f>
        <v>24.67</v>
      </c>
      <c r="E110" s="3017">
        <f t="shared" si="1"/>
        <v>37.39</v>
      </c>
    </row>
    <row r="111" spans="1:5" ht="19.95" customHeight="1">
      <c r="A111" s="3020"/>
      <c r="B111" s="3015" t="str">
        <f>[2]分摊!B113</f>
        <v>车位108</v>
      </c>
      <c r="C111" s="3017">
        <f>[2]分摊!C113</f>
        <v>12.72</v>
      </c>
      <c r="D111" s="3018">
        <f>[2]分摊!H113</f>
        <v>24.67</v>
      </c>
      <c r="E111" s="3017">
        <f t="shared" si="1"/>
        <v>37.39</v>
      </c>
    </row>
    <row r="112" spans="1:5" ht="19.95" customHeight="1">
      <c r="A112" s="3020"/>
      <c r="B112" s="3015" t="str">
        <f>[2]分摊!B114</f>
        <v>车位109</v>
      </c>
      <c r="C112" s="3017">
        <f>[2]分摊!C114</f>
        <v>25.44</v>
      </c>
      <c r="D112" s="3018">
        <f>[2]分摊!H114</f>
        <v>49.33</v>
      </c>
      <c r="E112" s="3017">
        <f t="shared" si="1"/>
        <v>74.77</v>
      </c>
    </row>
    <row r="113" spans="1:5" ht="19.95" customHeight="1">
      <c r="A113" s="3020"/>
      <c r="B113" s="3015" t="str">
        <f>[2]分摊!B115</f>
        <v>车位110</v>
      </c>
      <c r="C113" s="3017">
        <f>[2]分摊!C115</f>
        <v>25.44</v>
      </c>
      <c r="D113" s="3018">
        <f>[2]分摊!H115</f>
        <v>49.33</v>
      </c>
      <c r="E113" s="3017">
        <f t="shared" si="1"/>
        <v>74.77</v>
      </c>
    </row>
    <row r="114" spans="1:5" ht="19.95" customHeight="1">
      <c r="A114" s="3020"/>
      <c r="B114" s="3015" t="str">
        <f>[2]分摊!B116</f>
        <v>车位111</v>
      </c>
      <c r="C114" s="3017">
        <f>[2]分摊!C116</f>
        <v>12.72</v>
      </c>
      <c r="D114" s="3018">
        <f>[2]分摊!H116</f>
        <v>24.67</v>
      </c>
      <c r="E114" s="3017">
        <f t="shared" si="1"/>
        <v>37.39</v>
      </c>
    </row>
    <row r="115" spans="1:5" ht="19.95" customHeight="1">
      <c r="A115" s="3020"/>
      <c r="B115" s="3015" t="str">
        <f>[2]分摊!B117</f>
        <v>车位112</v>
      </c>
      <c r="C115" s="3017">
        <f>[2]分摊!C117</f>
        <v>12.72</v>
      </c>
      <c r="D115" s="3018">
        <f>[2]分摊!H117</f>
        <v>24.67</v>
      </c>
      <c r="E115" s="3017">
        <f t="shared" si="1"/>
        <v>37.39</v>
      </c>
    </row>
    <row r="116" spans="1:5" ht="19.95" customHeight="1">
      <c r="A116" s="3016"/>
      <c r="B116" s="3015" t="str">
        <f>[2]分摊!B118</f>
        <v>车位113</v>
      </c>
      <c r="C116" s="3017">
        <f>[2]分摊!C118</f>
        <v>12.72</v>
      </c>
      <c r="D116" s="3018">
        <f>[2]分摊!H118</f>
        <v>24.67</v>
      </c>
      <c r="E116" s="3017">
        <f t="shared" si="1"/>
        <v>37.39</v>
      </c>
    </row>
    <row r="117" spans="1:5" ht="19.95" customHeight="1">
      <c r="A117" s="3020"/>
      <c r="B117" s="3015" t="str">
        <f>[2]分摊!B119</f>
        <v>车位114</v>
      </c>
      <c r="C117" s="3017">
        <f>[2]分摊!C119</f>
        <v>25.44</v>
      </c>
      <c r="D117" s="3018">
        <f>[2]分摊!H119</f>
        <v>49.33</v>
      </c>
      <c r="E117" s="3017">
        <f t="shared" si="1"/>
        <v>74.77</v>
      </c>
    </row>
    <row r="118" spans="1:5" ht="19.95" customHeight="1">
      <c r="A118" s="3020"/>
      <c r="B118" s="3015" t="str">
        <f>[2]分摊!B120</f>
        <v>车位115</v>
      </c>
      <c r="C118" s="3017">
        <f>[2]分摊!C120</f>
        <v>25.44</v>
      </c>
      <c r="D118" s="3018">
        <f>[2]分摊!H120</f>
        <v>49.33</v>
      </c>
      <c r="E118" s="3017">
        <f t="shared" si="1"/>
        <v>74.77</v>
      </c>
    </row>
    <row r="119" spans="1:5" ht="19.95" customHeight="1">
      <c r="A119" s="3020"/>
      <c r="B119" s="3015" t="str">
        <f>[2]分摊!B121</f>
        <v>车位116</v>
      </c>
      <c r="C119" s="3017">
        <f>[2]分摊!C121</f>
        <v>12.72</v>
      </c>
      <c r="D119" s="3018">
        <f>[2]分摊!H121</f>
        <v>24.67</v>
      </c>
      <c r="E119" s="3017">
        <f t="shared" si="1"/>
        <v>37.39</v>
      </c>
    </row>
    <row r="120" spans="1:5" ht="19.95" customHeight="1">
      <c r="A120" s="3020"/>
      <c r="B120" s="3015" t="str">
        <f>[2]分摊!B122</f>
        <v>车位117</v>
      </c>
      <c r="C120" s="3017">
        <f>[2]分摊!C122</f>
        <v>12.72</v>
      </c>
      <c r="D120" s="3018">
        <f>[2]分摊!H122</f>
        <v>24.67</v>
      </c>
      <c r="E120" s="3017">
        <f t="shared" si="1"/>
        <v>37.39</v>
      </c>
    </row>
    <row r="121" spans="1:5" ht="19.95" customHeight="1">
      <c r="A121" s="3020"/>
      <c r="B121" s="3015" t="str">
        <f>[2]分摊!B123</f>
        <v>车位118</v>
      </c>
      <c r="C121" s="3017">
        <f>[2]分摊!C123</f>
        <v>12.72</v>
      </c>
      <c r="D121" s="3018">
        <f>[2]分摊!H123</f>
        <v>24.67</v>
      </c>
      <c r="E121" s="3017">
        <f t="shared" si="1"/>
        <v>37.39</v>
      </c>
    </row>
    <row r="122" spans="1:5" ht="19.95" customHeight="1">
      <c r="A122" s="3020"/>
      <c r="B122" s="3015" t="str">
        <f>[2]分摊!B124</f>
        <v>车位119</v>
      </c>
      <c r="C122" s="3017">
        <f>[2]分摊!C124</f>
        <v>25.44</v>
      </c>
      <c r="D122" s="3018">
        <f>[2]分摊!H124</f>
        <v>49.33</v>
      </c>
      <c r="E122" s="3017">
        <f t="shared" si="1"/>
        <v>74.77</v>
      </c>
    </row>
    <row r="123" spans="1:5" ht="19.95" customHeight="1">
      <c r="A123" s="3016"/>
      <c r="B123" s="3015" t="str">
        <f>[2]分摊!B125</f>
        <v>车位120</v>
      </c>
      <c r="C123" s="3017">
        <f>[2]分摊!C125</f>
        <v>25.44</v>
      </c>
      <c r="D123" s="3018">
        <f>[2]分摊!H125</f>
        <v>49.33</v>
      </c>
      <c r="E123" s="3017">
        <f t="shared" si="1"/>
        <v>74.77</v>
      </c>
    </row>
    <row r="124" spans="1:5" ht="19.95" customHeight="1">
      <c r="A124" s="3020"/>
      <c r="B124" s="3015" t="str">
        <f>[2]分摊!B126</f>
        <v>车位121</v>
      </c>
      <c r="C124" s="3017">
        <f>[2]分摊!C126</f>
        <v>25.44</v>
      </c>
      <c r="D124" s="3018">
        <f>[2]分摊!H126</f>
        <v>49.33</v>
      </c>
      <c r="E124" s="3017">
        <f t="shared" si="1"/>
        <v>74.77</v>
      </c>
    </row>
    <row r="125" spans="1:5" ht="19.95" customHeight="1">
      <c r="A125" s="3020"/>
      <c r="B125" s="3015" t="str">
        <f>[2]分摊!B127</f>
        <v>车位122</v>
      </c>
      <c r="C125" s="3017">
        <f>[2]分摊!C127</f>
        <v>25.44</v>
      </c>
      <c r="D125" s="3018">
        <f>[2]分摊!H127</f>
        <v>49.33</v>
      </c>
      <c r="E125" s="3017">
        <f t="shared" si="1"/>
        <v>74.77</v>
      </c>
    </row>
    <row r="126" spans="1:5" ht="19.95" customHeight="1">
      <c r="A126" s="3020"/>
      <c r="B126" s="3015" t="str">
        <f>[2]分摊!B128</f>
        <v>车位123</v>
      </c>
      <c r="C126" s="3017">
        <f>[2]分摊!C128</f>
        <v>12.72</v>
      </c>
      <c r="D126" s="3018">
        <f>[2]分摊!H128</f>
        <v>24.67</v>
      </c>
      <c r="E126" s="3017">
        <f t="shared" si="1"/>
        <v>37.39</v>
      </c>
    </row>
    <row r="127" spans="1:5" ht="19.95" customHeight="1">
      <c r="A127" s="3020"/>
      <c r="B127" s="3015" t="str">
        <f>[2]分摊!B129</f>
        <v>车位124</v>
      </c>
      <c r="C127" s="3017">
        <f>[2]分摊!C129</f>
        <v>25.44</v>
      </c>
      <c r="D127" s="3018">
        <f>[2]分摊!H129</f>
        <v>49.33</v>
      </c>
      <c r="E127" s="3017">
        <f t="shared" si="1"/>
        <v>74.77</v>
      </c>
    </row>
    <row r="128" spans="1:5" ht="19.95" customHeight="1">
      <c r="A128" s="3020"/>
      <c r="B128" s="3015" t="str">
        <f>[2]分摊!B130</f>
        <v>车位125</v>
      </c>
      <c r="C128" s="3017">
        <f>[2]分摊!C130</f>
        <v>25.44</v>
      </c>
      <c r="D128" s="3018">
        <f>[2]分摊!H130</f>
        <v>49.33</v>
      </c>
      <c r="E128" s="3017">
        <f t="shared" si="1"/>
        <v>74.77</v>
      </c>
    </row>
    <row r="129" spans="1:5" ht="19.95" customHeight="1">
      <c r="A129" s="3020"/>
      <c r="B129" s="3015" t="str">
        <f>[2]分摊!B131</f>
        <v>车位126</v>
      </c>
      <c r="C129" s="3017">
        <f>[2]分摊!C131</f>
        <v>25.44</v>
      </c>
      <c r="D129" s="3018">
        <f>[2]分摊!H131</f>
        <v>49.33</v>
      </c>
      <c r="E129" s="3017">
        <f t="shared" si="1"/>
        <v>74.77</v>
      </c>
    </row>
    <row r="130" spans="1:5" ht="19.95" customHeight="1">
      <c r="A130" s="3016"/>
      <c r="B130" s="3015" t="str">
        <f>[2]分摊!B132</f>
        <v>车位127</v>
      </c>
      <c r="C130" s="3017">
        <f>[2]分摊!C132</f>
        <v>25.44</v>
      </c>
      <c r="D130" s="3018">
        <f>[2]分摊!H132</f>
        <v>49.33</v>
      </c>
      <c r="E130" s="3017">
        <f t="shared" si="1"/>
        <v>74.77</v>
      </c>
    </row>
    <row r="131" spans="1:5" ht="19.95" customHeight="1">
      <c r="A131" s="3020"/>
      <c r="B131" s="3015" t="str">
        <f>[2]分摊!B133</f>
        <v>车位128</v>
      </c>
      <c r="C131" s="3017">
        <f>[2]分摊!C133</f>
        <v>12.72</v>
      </c>
      <c r="D131" s="3018">
        <f>[2]分摊!H133</f>
        <v>24.67</v>
      </c>
      <c r="E131" s="3017">
        <f t="shared" si="1"/>
        <v>37.39</v>
      </c>
    </row>
    <row r="132" spans="1:5" ht="19.95" customHeight="1">
      <c r="A132" s="3020"/>
      <c r="B132" s="3015" t="str">
        <f>[2]分摊!B134</f>
        <v>车位129</v>
      </c>
      <c r="C132" s="3017">
        <f>[2]分摊!C134</f>
        <v>12.72</v>
      </c>
      <c r="D132" s="3018">
        <f>[2]分摊!H134</f>
        <v>24.67</v>
      </c>
      <c r="E132" s="3017">
        <f t="shared" si="1"/>
        <v>37.39</v>
      </c>
    </row>
    <row r="133" spans="1:5" ht="19.95" customHeight="1">
      <c r="A133" s="3020"/>
      <c r="B133" s="3015" t="str">
        <f>[2]分摊!B135</f>
        <v>车位130</v>
      </c>
      <c r="C133" s="3017">
        <f>[2]分摊!C135</f>
        <v>12.72</v>
      </c>
      <c r="D133" s="3018">
        <f>[2]分摊!H135</f>
        <v>24.67</v>
      </c>
      <c r="E133" s="3017">
        <f t="shared" ref="E133:E196" si="2">SUM(C133:D133)</f>
        <v>37.39</v>
      </c>
    </row>
    <row r="134" spans="1:5" ht="19.95" customHeight="1">
      <c r="A134" s="3020"/>
      <c r="B134" s="3015" t="str">
        <f>[2]分摊!B136</f>
        <v>车位131</v>
      </c>
      <c r="C134" s="3017">
        <f>[2]分摊!C136</f>
        <v>25.44</v>
      </c>
      <c r="D134" s="3018">
        <f>[2]分摊!H136</f>
        <v>49.33</v>
      </c>
      <c r="E134" s="3017">
        <f t="shared" si="2"/>
        <v>74.77</v>
      </c>
    </row>
    <row r="135" spans="1:5" ht="19.95" customHeight="1">
      <c r="A135" s="3020"/>
      <c r="B135" s="3015" t="str">
        <f>[2]分摊!B137</f>
        <v>车位132</v>
      </c>
      <c r="C135" s="3017">
        <f>[2]分摊!C137</f>
        <v>25.44</v>
      </c>
      <c r="D135" s="3018">
        <f>[2]分摊!H137</f>
        <v>49.33</v>
      </c>
      <c r="E135" s="3017">
        <f t="shared" si="2"/>
        <v>74.77</v>
      </c>
    </row>
    <row r="136" spans="1:5" ht="19.95" customHeight="1">
      <c r="A136" s="3020"/>
      <c r="B136" s="3015" t="str">
        <f>[2]分摊!B138</f>
        <v>车位133</v>
      </c>
      <c r="C136" s="3017">
        <f>[2]分摊!C138</f>
        <v>12.72</v>
      </c>
      <c r="D136" s="3018">
        <f>[2]分摊!H138</f>
        <v>24.67</v>
      </c>
      <c r="E136" s="3017">
        <f t="shared" si="2"/>
        <v>37.39</v>
      </c>
    </row>
    <row r="137" spans="1:5" ht="19.95" customHeight="1">
      <c r="A137" s="3016"/>
      <c r="B137" s="3015" t="str">
        <f>[2]分摊!B139</f>
        <v>车位134</v>
      </c>
      <c r="C137" s="3017">
        <f>[2]分摊!C139</f>
        <v>12.72</v>
      </c>
      <c r="D137" s="3018">
        <f>[2]分摊!H139</f>
        <v>24.67</v>
      </c>
      <c r="E137" s="3017">
        <f t="shared" si="2"/>
        <v>37.39</v>
      </c>
    </row>
    <row r="138" spans="1:5" ht="19.95" customHeight="1">
      <c r="A138" s="3020"/>
      <c r="B138" s="3015" t="str">
        <f>[2]分摊!B140</f>
        <v>车位135</v>
      </c>
      <c r="C138" s="3017">
        <f>[2]分摊!C140</f>
        <v>12.72</v>
      </c>
      <c r="D138" s="3018">
        <f>[2]分摊!H140</f>
        <v>24.67</v>
      </c>
      <c r="E138" s="3017">
        <f t="shared" si="2"/>
        <v>37.39</v>
      </c>
    </row>
    <row r="139" spans="1:5" ht="19.95" customHeight="1">
      <c r="A139" s="3020"/>
      <c r="B139" s="3015" t="str">
        <f>[2]分摊!B141</f>
        <v>车位136</v>
      </c>
      <c r="C139" s="3017">
        <f>[2]分摊!C141</f>
        <v>12.72</v>
      </c>
      <c r="D139" s="3018">
        <f>[2]分摊!H141</f>
        <v>24.67</v>
      </c>
      <c r="E139" s="3017">
        <f t="shared" si="2"/>
        <v>37.39</v>
      </c>
    </row>
    <row r="140" spans="1:5" ht="19.95" customHeight="1">
      <c r="A140" s="3020"/>
      <c r="B140" s="3015" t="str">
        <f>[2]分摊!B142</f>
        <v>车位137</v>
      </c>
      <c r="C140" s="3017">
        <f>[2]分摊!C142</f>
        <v>12.72</v>
      </c>
      <c r="D140" s="3018">
        <f>[2]分摊!H142</f>
        <v>24.67</v>
      </c>
      <c r="E140" s="3017">
        <f t="shared" si="2"/>
        <v>37.39</v>
      </c>
    </row>
    <row r="141" spans="1:5" ht="19.95" customHeight="1">
      <c r="A141" s="3020"/>
      <c r="B141" s="3015" t="str">
        <f>[2]分摊!B143</f>
        <v>车位138</v>
      </c>
      <c r="C141" s="3017">
        <f>[2]分摊!C143</f>
        <v>12.72</v>
      </c>
      <c r="D141" s="3018">
        <f>[2]分摊!H143</f>
        <v>24.67</v>
      </c>
      <c r="E141" s="3017">
        <f t="shared" si="2"/>
        <v>37.39</v>
      </c>
    </row>
    <row r="142" spans="1:5" ht="19.95" customHeight="1">
      <c r="A142" s="3020"/>
      <c r="B142" s="3015" t="str">
        <f>[2]分摊!B144</f>
        <v>车位139</v>
      </c>
      <c r="C142" s="3017">
        <f>[2]分摊!C144</f>
        <v>12.72</v>
      </c>
      <c r="D142" s="3018">
        <f>[2]分摊!H144</f>
        <v>24.67</v>
      </c>
      <c r="E142" s="3017">
        <f t="shared" si="2"/>
        <v>37.39</v>
      </c>
    </row>
    <row r="143" spans="1:5" ht="19.95" customHeight="1">
      <c r="A143" s="3020"/>
      <c r="B143" s="3015" t="str">
        <f>[2]分摊!B145</f>
        <v>车位140</v>
      </c>
      <c r="C143" s="3017">
        <f>[2]分摊!C145</f>
        <v>12.72</v>
      </c>
      <c r="D143" s="3018">
        <f>[2]分摊!H145</f>
        <v>24.67</v>
      </c>
      <c r="E143" s="3017">
        <f t="shared" si="2"/>
        <v>37.39</v>
      </c>
    </row>
    <row r="144" spans="1:5" ht="19.95" customHeight="1">
      <c r="A144" s="3016"/>
      <c r="B144" s="3015" t="str">
        <f>[2]分摊!B146</f>
        <v>车位141</v>
      </c>
      <c r="C144" s="3017">
        <f>[2]分摊!C146</f>
        <v>12.72</v>
      </c>
      <c r="D144" s="3018">
        <f>[2]分摊!H146</f>
        <v>24.67</v>
      </c>
      <c r="E144" s="3017">
        <f t="shared" si="2"/>
        <v>37.39</v>
      </c>
    </row>
    <row r="145" spans="1:5" ht="19.95" customHeight="1">
      <c r="A145" s="3020"/>
      <c r="B145" s="3015" t="str">
        <f>[2]分摊!B147</f>
        <v>车位142</v>
      </c>
      <c r="C145" s="3017">
        <f>[2]分摊!C147</f>
        <v>12.72</v>
      </c>
      <c r="D145" s="3018">
        <f>[2]分摊!H147</f>
        <v>24.67</v>
      </c>
      <c r="E145" s="3017">
        <f t="shared" si="2"/>
        <v>37.39</v>
      </c>
    </row>
    <row r="146" spans="1:5" ht="19.95" customHeight="1">
      <c r="A146" s="3020"/>
      <c r="B146" s="3015" t="str">
        <f>[2]分摊!B148</f>
        <v>车位143</v>
      </c>
      <c r="C146" s="3017">
        <f>[2]分摊!C148</f>
        <v>12.72</v>
      </c>
      <c r="D146" s="3018">
        <f>[2]分摊!H148</f>
        <v>24.67</v>
      </c>
      <c r="E146" s="3017">
        <f t="shared" si="2"/>
        <v>37.39</v>
      </c>
    </row>
    <row r="147" spans="1:5" ht="19.95" customHeight="1">
      <c r="A147" s="3020"/>
      <c r="B147" s="3015" t="str">
        <f>[2]分摊!B149</f>
        <v>车位144</v>
      </c>
      <c r="C147" s="3017">
        <f>[2]分摊!C149</f>
        <v>12.72</v>
      </c>
      <c r="D147" s="3018">
        <f>[2]分摊!H149</f>
        <v>24.67</v>
      </c>
      <c r="E147" s="3017">
        <f t="shared" si="2"/>
        <v>37.39</v>
      </c>
    </row>
    <row r="148" spans="1:5" ht="19.95" customHeight="1">
      <c r="A148" s="3020"/>
      <c r="B148" s="3015" t="str">
        <f>[2]分摊!B150</f>
        <v>车位145</v>
      </c>
      <c r="C148" s="3017">
        <f>[2]分摊!C150</f>
        <v>12.72</v>
      </c>
      <c r="D148" s="3018">
        <f>[2]分摊!H150</f>
        <v>24.67</v>
      </c>
      <c r="E148" s="3017">
        <f t="shared" si="2"/>
        <v>37.39</v>
      </c>
    </row>
    <row r="149" spans="1:5" ht="19.95" customHeight="1">
      <c r="A149" s="3020"/>
      <c r="B149" s="3015" t="str">
        <f>[2]分摊!B151</f>
        <v>车位146</v>
      </c>
      <c r="C149" s="3017">
        <f>[2]分摊!C151</f>
        <v>12.72</v>
      </c>
      <c r="D149" s="3018">
        <f>[2]分摊!H151</f>
        <v>24.67</v>
      </c>
      <c r="E149" s="3017">
        <f t="shared" si="2"/>
        <v>37.39</v>
      </c>
    </row>
    <row r="150" spans="1:5" ht="19.95" customHeight="1">
      <c r="A150" s="3020"/>
      <c r="B150" s="3015" t="str">
        <f>[2]分摊!B152</f>
        <v>车位147</v>
      </c>
      <c r="C150" s="3017">
        <f>[2]分摊!C152</f>
        <v>12.72</v>
      </c>
      <c r="D150" s="3018">
        <f>[2]分摊!H152</f>
        <v>24.67</v>
      </c>
      <c r="E150" s="3017">
        <f t="shared" si="2"/>
        <v>37.39</v>
      </c>
    </row>
    <row r="151" spans="1:5" ht="19.95" customHeight="1">
      <c r="A151" s="3016"/>
      <c r="B151" s="3015" t="str">
        <f>[2]分摊!B153</f>
        <v>车位148</v>
      </c>
      <c r="C151" s="3017">
        <f>[2]分摊!C153</f>
        <v>12.72</v>
      </c>
      <c r="D151" s="3018">
        <f>[2]分摊!H153</f>
        <v>24.67</v>
      </c>
      <c r="E151" s="3017">
        <f t="shared" si="2"/>
        <v>37.39</v>
      </c>
    </row>
    <row r="152" spans="1:5" ht="19.95" customHeight="1">
      <c r="A152" s="3020"/>
      <c r="B152" s="3015" t="str">
        <f>[2]分摊!B154</f>
        <v>车位149</v>
      </c>
      <c r="C152" s="3017">
        <f>[2]分摊!C154</f>
        <v>12.72</v>
      </c>
      <c r="D152" s="3018">
        <f>[2]分摊!H154</f>
        <v>24.67</v>
      </c>
      <c r="E152" s="3017">
        <f t="shared" si="2"/>
        <v>37.39</v>
      </c>
    </row>
    <row r="153" spans="1:5" ht="19.95" customHeight="1">
      <c r="A153" s="3020"/>
      <c r="B153" s="3015" t="str">
        <f>[2]分摊!B155</f>
        <v>车位150</v>
      </c>
      <c r="C153" s="3017">
        <f>[2]分摊!C155</f>
        <v>12.72</v>
      </c>
      <c r="D153" s="3018">
        <f>[2]分摊!H155</f>
        <v>24.67</v>
      </c>
      <c r="E153" s="3017">
        <f t="shared" si="2"/>
        <v>37.39</v>
      </c>
    </row>
    <row r="154" spans="1:5" ht="19.95" customHeight="1">
      <c r="A154" s="3020"/>
      <c r="B154" s="3015" t="str">
        <f>[2]分摊!B156</f>
        <v>车位151</v>
      </c>
      <c r="C154" s="3017">
        <f>[2]分摊!C156</f>
        <v>12.72</v>
      </c>
      <c r="D154" s="3018">
        <f>[2]分摊!H156</f>
        <v>24.67</v>
      </c>
      <c r="E154" s="3017">
        <f t="shared" si="2"/>
        <v>37.39</v>
      </c>
    </row>
    <row r="155" spans="1:5" ht="19.95" customHeight="1">
      <c r="A155" s="3020"/>
      <c r="B155" s="3015" t="str">
        <f>[2]分摊!B157</f>
        <v>车位152</v>
      </c>
      <c r="C155" s="3017">
        <f>[2]分摊!C157</f>
        <v>12.72</v>
      </c>
      <c r="D155" s="3018">
        <f>[2]分摊!H157</f>
        <v>24.67</v>
      </c>
      <c r="E155" s="3017">
        <f t="shared" si="2"/>
        <v>37.39</v>
      </c>
    </row>
    <row r="156" spans="1:5" ht="19.95" customHeight="1">
      <c r="A156" s="3020"/>
      <c r="B156" s="3015" t="str">
        <f>[2]分摊!B158</f>
        <v>车位153</v>
      </c>
      <c r="C156" s="3017">
        <f>[2]分摊!C158</f>
        <v>12.72</v>
      </c>
      <c r="D156" s="3018">
        <f>[2]分摊!H158</f>
        <v>24.67</v>
      </c>
      <c r="E156" s="3017">
        <f t="shared" si="2"/>
        <v>37.39</v>
      </c>
    </row>
    <row r="157" spans="1:5" ht="19.95" customHeight="1">
      <c r="A157" s="3020"/>
      <c r="B157" s="3015" t="str">
        <f>[2]分摊!B159</f>
        <v>车位154</v>
      </c>
      <c r="C157" s="3017">
        <f>[2]分摊!C159</f>
        <v>12.72</v>
      </c>
      <c r="D157" s="3018">
        <f>[2]分摊!H159</f>
        <v>24.67</v>
      </c>
      <c r="E157" s="3017">
        <f t="shared" si="2"/>
        <v>37.39</v>
      </c>
    </row>
    <row r="158" spans="1:5" ht="19.95" customHeight="1">
      <c r="A158" s="3016"/>
      <c r="B158" s="3015" t="str">
        <f>[2]分摊!B160</f>
        <v>车位155</v>
      </c>
      <c r="C158" s="3017">
        <f>[2]分摊!C160</f>
        <v>12.72</v>
      </c>
      <c r="D158" s="3018">
        <f>[2]分摊!H160</f>
        <v>24.67</v>
      </c>
      <c r="E158" s="3017">
        <f t="shared" si="2"/>
        <v>37.39</v>
      </c>
    </row>
    <row r="159" spans="1:5" ht="19.95" customHeight="1">
      <c r="A159" s="3020"/>
      <c r="B159" s="3015" t="str">
        <f>[2]分摊!B161</f>
        <v>车位156</v>
      </c>
      <c r="C159" s="3017">
        <f>[2]分摊!C161</f>
        <v>12.72</v>
      </c>
      <c r="D159" s="3018">
        <f>[2]分摊!H161</f>
        <v>24.67</v>
      </c>
      <c r="E159" s="3017">
        <f t="shared" si="2"/>
        <v>37.39</v>
      </c>
    </row>
    <row r="160" spans="1:5" ht="19.95" customHeight="1">
      <c r="A160" s="3020"/>
      <c r="B160" s="3015" t="str">
        <f>[2]分摊!B162</f>
        <v>车位157</v>
      </c>
      <c r="C160" s="3017">
        <f>[2]分摊!C162</f>
        <v>12.72</v>
      </c>
      <c r="D160" s="3018">
        <f>[2]分摊!H162</f>
        <v>24.67</v>
      </c>
      <c r="E160" s="3017">
        <f t="shared" si="2"/>
        <v>37.39</v>
      </c>
    </row>
    <row r="161" spans="1:5" ht="19.95" customHeight="1">
      <c r="A161" s="3020"/>
      <c r="B161" s="3015" t="str">
        <f>[2]分摊!B163</f>
        <v>车位158</v>
      </c>
      <c r="C161" s="3017">
        <f>[2]分摊!C163</f>
        <v>12.72</v>
      </c>
      <c r="D161" s="3018">
        <f>[2]分摊!H163</f>
        <v>24.67</v>
      </c>
      <c r="E161" s="3017">
        <f t="shared" si="2"/>
        <v>37.39</v>
      </c>
    </row>
    <row r="162" spans="1:5" ht="19.95" customHeight="1">
      <c r="A162" s="3020"/>
      <c r="B162" s="3015" t="str">
        <f>[2]分摊!B164</f>
        <v>车位159</v>
      </c>
      <c r="C162" s="3017">
        <f>[2]分摊!C164</f>
        <v>12.72</v>
      </c>
      <c r="D162" s="3018">
        <f>[2]分摊!H164</f>
        <v>24.67</v>
      </c>
      <c r="E162" s="3017">
        <f t="shared" si="2"/>
        <v>37.39</v>
      </c>
    </row>
    <row r="163" spans="1:5" ht="19.95" customHeight="1">
      <c r="A163" s="3020"/>
      <c r="B163" s="3015" t="str">
        <f>[2]分摊!B165</f>
        <v>车位160</v>
      </c>
      <c r="C163" s="3017">
        <f>[2]分摊!C165</f>
        <v>12.72</v>
      </c>
      <c r="D163" s="3018">
        <f>[2]分摊!H165</f>
        <v>24.67</v>
      </c>
      <c r="E163" s="3017">
        <f t="shared" si="2"/>
        <v>37.39</v>
      </c>
    </row>
    <row r="164" spans="1:5" ht="19.95" customHeight="1">
      <c r="A164" s="3020"/>
      <c r="B164" s="3015" t="str">
        <f>[2]分摊!B166</f>
        <v>车位161</v>
      </c>
      <c r="C164" s="3017">
        <f>[2]分摊!C166</f>
        <v>12.72</v>
      </c>
      <c r="D164" s="3018">
        <f>[2]分摊!H166</f>
        <v>24.67</v>
      </c>
      <c r="E164" s="3017">
        <f t="shared" si="2"/>
        <v>37.39</v>
      </c>
    </row>
    <row r="165" spans="1:5" ht="19.95" customHeight="1">
      <c r="A165" s="3016"/>
      <c r="B165" s="3015" t="str">
        <f>[2]分摊!B167</f>
        <v>车位162</v>
      </c>
      <c r="C165" s="3017">
        <f>[2]分摊!C167</f>
        <v>12.72</v>
      </c>
      <c r="D165" s="3018">
        <f>[2]分摊!H167</f>
        <v>24.67</v>
      </c>
      <c r="E165" s="3017">
        <f t="shared" si="2"/>
        <v>37.39</v>
      </c>
    </row>
    <row r="166" spans="1:5" ht="19.95" customHeight="1">
      <c r="A166" s="3020"/>
      <c r="B166" s="3015" t="str">
        <f>[2]分摊!B168</f>
        <v>车位163</v>
      </c>
      <c r="C166" s="3017">
        <f>[2]分摊!C168</f>
        <v>12.72</v>
      </c>
      <c r="D166" s="3018">
        <f>[2]分摊!H168</f>
        <v>24.67</v>
      </c>
      <c r="E166" s="3017">
        <f t="shared" si="2"/>
        <v>37.39</v>
      </c>
    </row>
    <row r="167" spans="1:5" ht="19.95" customHeight="1">
      <c r="A167" s="3020"/>
      <c r="B167" s="3015" t="str">
        <f>[2]分摊!B169</f>
        <v>车位164</v>
      </c>
      <c r="C167" s="3017">
        <f>[2]分摊!C169</f>
        <v>12.72</v>
      </c>
      <c r="D167" s="3018">
        <f>[2]分摊!H169</f>
        <v>24.67</v>
      </c>
      <c r="E167" s="3017">
        <f t="shared" si="2"/>
        <v>37.39</v>
      </c>
    </row>
    <row r="168" spans="1:5" ht="19.95" customHeight="1">
      <c r="A168" s="3020"/>
      <c r="B168" s="3015" t="str">
        <f>[2]分摊!B170</f>
        <v>车位165</v>
      </c>
      <c r="C168" s="3017">
        <f>[2]分摊!C170</f>
        <v>12.72</v>
      </c>
      <c r="D168" s="3018">
        <f>[2]分摊!H170</f>
        <v>24.67</v>
      </c>
      <c r="E168" s="3017">
        <f t="shared" si="2"/>
        <v>37.39</v>
      </c>
    </row>
    <row r="169" spans="1:5" ht="19.95" customHeight="1">
      <c r="A169" s="3020"/>
      <c r="B169" s="3015" t="str">
        <f>[2]分摊!B171</f>
        <v>车位166</v>
      </c>
      <c r="C169" s="3017">
        <f>[2]分摊!C171</f>
        <v>12.72</v>
      </c>
      <c r="D169" s="3018">
        <f>[2]分摊!H171</f>
        <v>24.67</v>
      </c>
      <c r="E169" s="3017">
        <f t="shared" si="2"/>
        <v>37.39</v>
      </c>
    </row>
    <row r="170" spans="1:5" ht="19.95" customHeight="1">
      <c r="A170" s="3020"/>
      <c r="B170" s="3015" t="str">
        <f>[2]分摊!B172</f>
        <v>车位167</v>
      </c>
      <c r="C170" s="3017">
        <f>[2]分摊!C172</f>
        <v>12.72</v>
      </c>
      <c r="D170" s="3018">
        <f>[2]分摊!H172</f>
        <v>24.67</v>
      </c>
      <c r="E170" s="3017">
        <f t="shared" si="2"/>
        <v>37.39</v>
      </c>
    </row>
    <row r="171" spans="1:5" ht="19.95" customHeight="1">
      <c r="A171" s="3020"/>
      <c r="B171" s="3015" t="str">
        <f>[2]分摊!B173</f>
        <v>车位168</v>
      </c>
      <c r="C171" s="3017">
        <f>[2]分摊!C173</f>
        <v>12.72</v>
      </c>
      <c r="D171" s="3018">
        <f>[2]分摊!H173</f>
        <v>24.67</v>
      </c>
      <c r="E171" s="3017">
        <f t="shared" si="2"/>
        <v>37.39</v>
      </c>
    </row>
    <row r="172" spans="1:5" ht="19.95" customHeight="1">
      <c r="A172" s="3016"/>
      <c r="B172" s="3015" t="str">
        <f>[2]分摊!B174</f>
        <v>车位169</v>
      </c>
      <c r="C172" s="3017">
        <f>[2]分摊!C174</f>
        <v>12.72</v>
      </c>
      <c r="D172" s="3018">
        <f>[2]分摊!H174</f>
        <v>24.67</v>
      </c>
      <c r="E172" s="3017">
        <f t="shared" si="2"/>
        <v>37.39</v>
      </c>
    </row>
    <row r="173" spans="1:5" ht="19.95" customHeight="1">
      <c r="A173" s="3020"/>
      <c r="B173" s="3015" t="str">
        <f>[2]分摊!B175</f>
        <v>车位170</v>
      </c>
      <c r="C173" s="3017">
        <f>[2]分摊!C175</f>
        <v>12.72</v>
      </c>
      <c r="D173" s="3018">
        <f>[2]分摊!H175</f>
        <v>24.67</v>
      </c>
      <c r="E173" s="3017">
        <f t="shared" si="2"/>
        <v>37.39</v>
      </c>
    </row>
    <row r="174" spans="1:5" ht="19.95" customHeight="1">
      <c r="A174" s="3020"/>
      <c r="B174" s="3015" t="str">
        <f>[2]分摊!B176</f>
        <v>车位171</v>
      </c>
      <c r="C174" s="3017">
        <f>[2]分摊!C176</f>
        <v>12.72</v>
      </c>
      <c r="D174" s="3018">
        <f>[2]分摊!H176</f>
        <v>24.67</v>
      </c>
      <c r="E174" s="3017">
        <f t="shared" si="2"/>
        <v>37.39</v>
      </c>
    </row>
    <row r="175" spans="1:5" ht="19.95" customHeight="1">
      <c r="A175" s="3020"/>
      <c r="B175" s="3015" t="str">
        <f>[2]分摊!B177</f>
        <v>车位172</v>
      </c>
      <c r="C175" s="3017">
        <f>[2]分摊!C177</f>
        <v>12.72</v>
      </c>
      <c r="D175" s="3018">
        <f>[2]分摊!H177</f>
        <v>24.67</v>
      </c>
      <c r="E175" s="3017">
        <f t="shared" si="2"/>
        <v>37.39</v>
      </c>
    </row>
    <row r="176" spans="1:5" ht="19.95" customHeight="1">
      <c r="A176" s="3020"/>
      <c r="B176" s="3015" t="str">
        <f>[2]分摊!B178</f>
        <v>车位173</v>
      </c>
      <c r="C176" s="3017">
        <f>[2]分摊!C178</f>
        <v>25.44</v>
      </c>
      <c r="D176" s="3018">
        <f>[2]分摊!H178</f>
        <v>49.33</v>
      </c>
      <c r="E176" s="3017">
        <f t="shared" si="2"/>
        <v>74.77</v>
      </c>
    </row>
    <row r="177" spans="1:5" ht="19.95" customHeight="1">
      <c r="A177" s="3020"/>
      <c r="B177" s="3015" t="str">
        <f>[2]分摊!B179</f>
        <v>车位174</v>
      </c>
      <c r="C177" s="3017">
        <f>[2]分摊!C179</f>
        <v>25.44</v>
      </c>
      <c r="D177" s="3018">
        <f>[2]分摊!H179</f>
        <v>49.33</v>
      </c>
      <c r="E177" s="3017">
        <f t="shared" si="2"/>
        <v>74.77</v>
      </c>
    </row>
    <row r="178" spans="1:5" ht="19.95" customHeight="1">
      <c r="A178" s="3020"/>
      <c r="B178" s="3015" t="str">
        <f>[2]分摊!B180</f>
        <v>车位175</v>
      </c>
      <c r="C178" s="3017">
        <f>[2]分摊!C180</f>
        <v>12.72</v>
      </c>
      <c r="D178" s="3018">
        <f>[2]分摊!H180</f>
        <v>24.67</v>
      </c>
      <c r="E178" s="3017">
        <f t="shared" si="2"/>
        <v>37.39</v>
      </c>
    </row>
    <row r="179" spans="1:5" ht="19.95" customHeight="1">
      <c r="A179" s="3016"/>
      <c r="B179" s="3015" t="str">
        <f>[2]分摊!B181</f>
        <v>车位176</v>
      </c>
      <c r="C179" s="3017">
        <f>[2]分摊!C181</f>
        <v>12.72</v>
      </c>
      <c r="D179" s="3018">
        <f>[2]分摊!H181</f>
        <v>24.67</v>
      </c>
      <c r="E179" s="3017">
        <f t="shared" si="2"/>
        <v>37.39</v>
      </c>
    </row>
    <row r="180" spans="1:5" ht="19.95" customHeight="1">
      <c r="A180" s="3020"/>
      <c r="B180" s="3015" t="str">
        <f>[2]分摊!B182</f>
        <v>车位177</v>
      </c>
      <c r="C180" s="3017">
        <f>[2]分摊!C182</f>
        <v>12.72</v>
      </c>
      <c r="D180" s="3018">
        <f>[2]分摊!H182</f>
        <v>24.67</v>
      </c>
      <c r="E180" s="3017">
        <f t="shared" si="2"/>
        <v>37.39</v>
      </c>
    </row>
    <row r="181" spans="1:5" ht="19.95" customHeight="1">
      <c r="A181" s="3020"/>
      <c r="B181" s="3015" t="str">
        <f>[2]分摊!B183</f>
        <v>车位178</v>
      </c>
      <c r="C181" s="3017">
        <f>[2]分摊!C183</f>
        <v>25.44</v>
      </c>
      <c r="D181" s="3018">
        <f>[2]分摊!H183</f>
        <v>49.33</v>
      </c>
      <c r="E181" s="3017">
        <f t="shared" si="2"/>
        <v>74.77</v>
      </c>
    </row>
    <row r="182" spans="1:5" ht="19.95" customHeight="1">
      <c r="A182" s="3020"/>
      <c r="B182" s="3015" t="str">
        <f>[2]分摊!B184</f>
        <v>车位179</v>
      </c>
      <c r="C182" s="3017">
        <f>[2]分摊!C184</f>
        <v>25.44</v>
      </c>
      <c r="D182" s="3018">
        <f>[2]分摊!H184</f>
        <v>49.33</v>
      </c>
      <c r="E182" s="3017">
        <f t="shared" si="2"/>
        <v>74.77</v>
      </c>
    </row>
    <row r="183" spans="1:5" ht="19.95" customHeight="1">
      <c r="A183" s="3020"/>
      <c r="B183" s="3015" t="str">
        <f>[2]分摊!B185</f>
        <v>车位180</v>
      </c>
      <c r="C183" s="3017">
        <f>[2]分摊!C185</f>
        <v>12.72</v>
      </c>
      <c r="D183" s="3018">
        <f>[2]分摊!H185</f>
        <v>24.67</v>
      </c>
      <c r="E183" s="3017">
        <f t="shared" si="2"/>
        <v>37.39</v>
      </c>
    </row>
    <row r="184" spans="1:5" ht="19.95" customHeight="1">
      <c r="A184" s="3020"/>
      <c r="B184" s="3015" t="str">
        <f>[2]分摊!B186</f>
        <v>车位181</v>
      </c>
      <c r="C184" s="3017">
        <f>[2]分摊!C186</f>
        <v>12.72</v>
      </c>
      <c r="D184" s="3018">
        <f>[2]分摊!H186</f>
        <v>24.67</v>
      </c>
      <c r="E184" s="3017">
        <f t="shared" si="2"/>
        <v>37.39</v>
      </c>
    </row>
    <row r="185" spans="1:5" ht="19.95" customHeight="1">
      <c r="A185" s="3020"/>
      <c r="B185" s="3015" t="str">
        <f>[2]分摊!B187</f>
        <v>车位182</v>
      </c>
      <c r="C185" s="3017">
        <f>[2]分摊!C187</f>
        <v>12.72</v>
      </c>
      <c r="D185" s="3018">
        <f>[2]分摊!H187</f>
        <v>24.67</v>
      </c>
      <c r="E185" s="3017">
        <f t="shared" si="2"/>
        <v>37.39</v>
      </c>
    </row>
    <row r="186" spans="1:5" ht="19.95" customHeight="1">
      <c r="A186" s="3016"/>
      <c r="B186" s="3015" t="str">
        <f>[2]分摊!B188</f>
        <v>车位183</v>
      </c>
      <c r="C186" s="3017">
        <f>[2]分摊!C188</f>
        <v>25.44</v>
      </c>
      <c r="D186" s="3018">
        <f>[2]分摊!H188</f>
        <v>49.33</v>
      </c>
      <c r="E186" s="3017">
        <f t="shared" si="2"/>
        <v>74.77</v>
      </c>
    </row>
    <row r="187" spans="1:5" ht="19.95" customHeight="1">
      <c r="A187" s="3020"/>
      <c r="B187" s="3015" t="str">
        <f>[2]分摊!B189</f>
        <v>车位184</v>
      </c>
      <c r="C187" s="3017">
        <f>[2]分摊!C189</f>
        <v>25.44</v>
      </c>
      <c r="D187" s="3018">
        <f>[2]分摊!H189</f>
        <v>49.33</v>
      </c>
      <c r="E187" s="3017">
        <f t="shared" si="2"/>
        <v>74.77</v>
      </c>
    </row>
    <row r="188" spans="1:5" ht="19.95" customHeight="1">
      <c r="A188" s="3020"/>
      <c r="B188" s="3015" t="str">
        <f>[2]分摊!B190</f>
        <v>车位185</v>
      </c>
      <c r="C188" s="3017">
        <f>[2]分摊!C190</f>
        <v>25.44</v>
      </c>
      <c r="D188" s="3018">
        <f>[2]分摊!H190</f>
        <v>49.33</v>
      </c>
      <c r="E188" s="3017">
        <f t="shared" si="2"/>
        <v>74.77</v>
      </c>
    </row>
    <row r="189" spans="1:5" ht="19.95" customHeight="1">
      <c r="A189" s="3020"/>
      <c r="B189" s="3015" t="str">
        <f>[2]分摊!B191</f>
        <v>车位186</v>
      </c>
      <c r="C189" s="3017">
        <f>[2]分摊!C191</f>
        <v>25.44</v>
      </c>
      <c r="D189" s="3018">
        <f>[2]分摊!H191</f>
        <v>49.33</v>
      </c>
      <c r="E189" s="3017">
        <f t="shared" si="2"/>
        <v>74.77</v>
      </c>
    </row>
    <row r="190" spans="1:5" ht="19.95" customHeight="1">
      <c r="A190" s="3020"/>
      <c r="B190" s="3015" t="str">
        <f>[2]分摊!B192</f>
        <v>车位187</v>
      </c>
      <c r="C190" s="3017">
        <f>[2]分摊!C192</f>
        <v>12.72</v>
      </c>
      <c r="D190" s="3018">
        <f>[2]分摊!H192</f>
        <v>24.67</v>
      </c>
      <c r="E190" s="3017">
        <f t="shared" si="2"/>
        <v>37.39</v>
      </c>
    </row>
    <row r="191" spans="1:5" ht="19.95" customHeight="1">
      <c r="A191" s="3020"/>
      <c r="B191" s="3015" t="str">
        <f>[2]分摊!B193</f>
        <v>车位188</v>
      </c>
      <c r="C191" s="3017">
        <f>[2]分摊!C193</f>
        <v>12.72</v>
      </c>
      <c r="D191" s="3018">
        <f>[2]分摊!H193</f>
        <v>24.67</v>
      </c>
      <c r="E191" s="3017">
        <f t="shared" si="2"/>
        <v>37.39</v>
      </c>
    </row>
    <row r="192" spans="1:5" ht="19.95" customHeight="1">
      <c r="A192" s="3020"/>
      <c r="B192" s="3015" t="str">
        <f>[2]分摊!B194</f>
        <v>车位189</v>
      </c>
      <c r="C192" s="3017">
        <f>[2]分摊!C194</f>
        <v>25.44</v>
      </c>
      <c r="D192" s="3018">
        <f>[2]分摊!H194</f>
        <v>49.33</v>
      </c>
      <c r="E192" s="3017">
        <f t="shared" si="2"/>
        <v>74.77</v>
      </c>
    </row>
    <row r="193" spans="1:5" ht="19.95" customHeight="1">
      <c r="A193" s="3016"/>
      <c r="B193" s="3015" t="str">
        <f>[2]分摊!B195</f>
        <v>车位190</v>
      </c>
      <c r="C193" s="3017">
        <f>[2]分摊!C195</f>
        <v>25.44</v>
      </c>
      <c r="D193" s="3018">
        <f>[2]分摊!H195</f>
        <v>49.33</v>
      </c>
      <c r="E193" s="3017">
        <f t="shared" si="2"/>
        <v>74.77</v>
      </c>
    </row>
    <row r="194" spans="1:5" ht="19.95" customHeight="1">
      <c r="A194" s="3020"/>
      <c r="B194" s="3015" t="str">
        <f>[2]分摊!B196</f>
        <v>车位191</v>
      </c>
      <c r="C194" s="3017">
        <f>[2]分摊!C196</f>
        <v>12.72</v>
      </c>
      <c r="D194" s="3018">
        <f>[2]分摊!H196</f>
        <v>24.67</v>
      </c>
      <c r="E194" s="3017">
        <f t="shared" si="2"/>
        <v>37.39</v>
      </c>
    </row>
    <row r="195" spans="1:5" ht="19.95" customHeight="1">
      <c r="A195" s="3020"/>
      <c r="B195" s="3015" t="str">
        <f>[2]分摊!B197</f>
        <v>车位192</v>
      </c>
      <c r="C195" s="3017">
        <f>[2]分摊!C197</f>
        <v>12.72</v>
      </c>
      <c r="D195" s="3018">
        <f>[2]分摊!H197</f>
        <v>24.67</v>
      </c>
      <c r="E195" s="3017">
        <f t="shared" si="2"/>
        <v>37.39</v>
      </c>
    </row>
    <row r="196" spans="1:5" ht="19.95" customHeight="1">
      <c r="A196" s="3020"/>
      <c r="B196" s="3015" t="str">
        <f>[2]分摊!B198</f>
        <v>车位193</v>
      </c>
      <c r="C196" s="3017">
        <f>[2]分摊!C198</f>
        <v>12.72</v>
      </c>
      <c r="D196" s="3018">
        <f>[2]分摊!H198</f>
        <v>24.67</v>
      </c>
      <c r="E196" s="3017">
        <f t="shared" si="2"/>
        <v>37.39</v>
      </c>
    </row>
    <row r="197" spans="1:5" ht="19.95" customHeight="1">
      <c r="A197" s="3020"/>
      <c r="B197" s="3015" t="str">
        <f>[2]分摊!B199</f>
        <v>车位194</v>
      </c>
      <c r="C197" s="3017">
        <f>[2]分摊!C199</f>
        <v>25.44</v>
      </c>
      <c r="D197" s="3018">
        <f>[2]分摊!H199</f>
        <v>49.33</v>
      </c>
      <c r="E197" s="3017">
        <f t="shared" ref="E197:E260" si="3">SUM(C197:D197)</f>
        <v>74.77</v>
      </c>
    </row>
    <row r="198" spans="1:5" ht="19.95" customHeight="1">
      <c r="A198" s="3020"/>
      <c r="B198" s="3015" t="str">
        <f>[2]分摊!B200</f>
        <v>车位195</v>
      </c>
      <c r="C198" s="3017">
        <f>[2]分摊!C200</f>
        <v>25.44</v>
      </c>
      <c r="D198" s="3018">
        <f>[2]分摊!H200</f>
        <v>49.33</v>
      </c>
      <c r="E198" s="3017">
        <f t="shared" si="3"/>
        <v>74.77</v>
      </c>
    </row>
    <row r="199" spans="1:5" ht="19.95" customHeight="1">
      <c r="A199" s="3020"/>
      <c r="B199" s="3015" t="str">
        <f>[2]分摊!B201</f>
        <v>车位196</v>
      </c>
      <c r="C199" s="3017">
        <f>[2]分摊!C201</f>
        <v>12.72</v>
      </c>
      <c r="D199" s="3018">
        <f>[2]分摊!H201</f>
        <v>24.67</v>
      </c>
      <c r="E199" s="3017">
        <f t="shared" si="3"/>
        <v>37.39</v>
      </c>
    </row>
    <row r="200" spans="1:5" ht="19.95" customHeight="1">
      <c r="A200" s="3016"/>
      <c r="B200" s="3015" t="str">
        <f>[2]分摊!B202</f>
        <v>车位197</v>
      </c>
      <c r="C200" s="3017">
        <f>[2]分摊!C202</f>
        <v>12.72</v>
      </c>
      <c r="D200" s="3018">
        <f>[2]分摊!H202</f>
        <v>24.67</v>
      </c>
      <c r="E200" s="3017">
        <f t="shared" si="3"/>
        <v>37.39</v>
      </c>
    </row>
    <row r="201" spans="1:5" ht="19.95" customHeight="1">
      <c r="A201" s="3020"/>
      <c r="B201" s="3015" t="str">
        <f>[2]分摊!B203</f>
        <v>车位198</v>
      </c>
      <c r="C201" s="3017">
        <f>[2]分摊!C203</f>
        <v>12.72</v>
      </c>
      <c r="D201" s="3018">
        <f>[2]分摊!H203</f>
        <v>24.67</v>
      </c>
      <c r="E201" s="3017">
        <f t="shared" si="3"/>
        <v>37.39</v>
      </c>
    </row>
    <row r="202" spans="1:5" ht="19.95" customHeight="1">
      <c r="A202" s="3020"/>
      <c r="B202" s="3015" t="str">
        <f>[2]分摊!B204</f>
        <v>车位199</v>
      </c>
      <c r="C202" s="3017">
        <f>[2]分摊!C204</f>
        <v>25.44</v>
      </c>
      <c r="D202" s="3018">
        <f>[2]分摊!H204</f>
        <v>49.33</v>
      </c>
      <c r="E202" s="3017">
        <f t="shared" si="3"/>
        <v>74.77</v>
      </c>
    </row>
    <row r="203" spans="1:5" ht="19.95" customHeight="1">
      <c r="A203" s="3020"/>
      <c r="B203" s="3015" t="str">
        <f>[2]分摊!B205</f>
        <v>车位200</v>
      </c>
      <c r="C203" s="3017">
        <f>[2]分摊!C205</f>
        <v>25.44</v>
      </c>
      <c r="D203" s="3018">
        <f>[2]分摊!H205</f>
        <v>49.33</v>
      </c>
      <c r="E203" s="3017">
        <f t="shared" si="3"/>
        <v>74.77</v>
      </c>
    </row>
    <row r="204" spans="1:5" ht="19.95" customHeight="1">
      <c r="A204" s="3020"/>
      <c r="B204" s="3015" t="str">
        <f>[2]分摊!B206</f>
        <v>车位201</v>
      </c>
      <c r="C204" s="3017">
        <f>[2]分摊!C206</f>
        <v>12.72</v>
      </c>
      <c r="D204" s="3018">
        <f>[2]分摊!H206</f>
        <v>24.67</v>
      </c>
      <c r="E204" s="3017">
        <f t="shared" si="3"/>
        <v>37.39</v>
      </c>
    </row>
    <row r="205" spans="1:5" ht="19.95" customHeight="1">
      <c r="A205" s="3020"/>
      <c r="B205" s="3015" t="str">
        <f>[2]分摊!B207</f>
        <v>车位202</v>
      </c>
      <c r="C205" s="3017">
        <f>[2]分摊!C207</f>
        <v>12.72</v>
      </c>
      <c r="D205" s="3018">
        <f>[2]分摊!H207</f>
        <v>24.67</v>
      </c>
      <c r="E205" s="3017">
        <f t="shared" si="3"/>
        <v>37.39</v>
      </c>
    </row>
    <row r="206" spans="1:5" ht="19.95" customHeight="1">
      <c r="A206" s="3020"/>
      <c r="B206" s="3015" t="str">
        <f>[2]分摊!B208</f>
        <v>车位203</v>
      </c>
      <c r="C206" s="3017">
        <f>[2]分摊!C208</f>
        <v>12.72</v>
      </c>
      <c r="D206" s="3018">
        <f>[2]分摊!H208</f>
        <v>24.67</v>
      </c>
      <c r="E206" s="3017">
        <f t="shared" si="3"/>
        <v>37.39</v>
      </c>
    </row>
    <row r="207" spans="1:5" ht="19.95" customHeight="1">
      <c r="A207" s="3016"/>
      <c r="B207" s="3015" t="str">
        <f>[2]分摊!B209</f>
        <v>车位204</v>
      </c>
      <c r="C207" s="3017">
        <f>[2]分摊!C209</f>
        <v>25.44</v>
      </c>
      <c r="D207" s="3018">
        <f>[2]分摊!H209</f>
        <v>49.33</v>
      </c>
      <c r="E207" s="3017">
        <f t="shared" si="3"/>
        <v>74.77</v>
      </c>
    </row>
    <row r="208" spans="1:5" ht="19.95" customHeight="1">
      <c r="A208" s="3020"/>
      <c r="B208" s="3015" t="str">
        <f>[2]分摊!B210</f>
        <v>车位205</v>
      </c>
      <c r="C208" s="3017">
        <f>[2]分摊!C210</f>
        <v>25.44</v>
      </c>
      <c r="D208" s="3018">
        <f>[2]分摊!H210</f>
        <v>49.33</v>
      </c>
      <c r="E208" s="3017">
        <f t="shared" si="3"/>
        <v>74.77</v>
      </c>
    </row>
    <row r="209" spans="1:5" ht="19.95" customHeight="1">
      <c r="A209" s="3020"/>
      <c r="B209" s="3015" t="str">
        <f>[2]分摊!B211</f>
        <v>车位206</v>
      </c>
      <c r="C209" s="3017">
        <f>[2]分摊!C211</f>
        <v>12.72</v>
      </c>
      <c r="D209" s="3018">
        <f>[2]分摊!H211</f>
        <v>24.67</v>
      </c>
      <c r="E209" s="3017">
        <f t="shared" si="3"/>
        <v>37.39</v>
      </c>
    </row>
    <row r="210" spans="1:5" ht="19.95" customHeight="1">
      <c r="A210" s="3020"/>
      <c r="B210" s="3015" t="str">
        <f>[2]分摊!B212</f>
        <v>车位207</v>
      </c>
      <c r="C210" s="3017">
        <f>[2]分摊!C212</f>
        <v>12.72</v>
      </c>
      <c r="D210" s="3018">
        <f>[2]分摊!H212</f>
        <v>24.67</v>
      </c>
      <c r="E210" s="3017">
        <f t="shared" si="3"/>
        <v>37.39</v>
      </c>
    </row>
    <row r="211" spans="1:5" ht="19.95" customHeight="1">
      <c r="A211" s="3020"/>
      <c r="B211" s="3015" t="str">
        <f>[2]分摊!B213</f>
        <v>车位208</v>
      </c>
      <c r="C211" s="3017">
        <f>[2]分摊!C213</f>
        <v>12.72</v>
      </c>
      <c r="D211" s="3018">
        <f>[2]分摊!H213</f>
        <v>24.67</v>
      </c>
      <c r="E211" s="3017">
        <f t="shared" si="3"/>
        <v>37.39</v>
      </c>
    </row>
    <row r="212" spans="1:5" ht="19.95" customHeight="1">
      <c r="A212" s="3020"/>
      <c r="B212" s="3015" t="str">
        <f>[2]分摊!B214</f>
        <v>车位209</v>
      </c>
      <c r="C212" s="3017">
        <f>[2]分摊!C214</f>
        <v>12.72</v>
      </c>
      <c r="D212" s="3018">
        <f>[2]分摊!H214</f>
        <v>24.67</v>
      </c>
      <c r="E212" s="3017">
        <f t="shared" si="3"/>
        <v>37.39</v>
      </c>
    </row>
    <row r="213" spans="1:5" ht="19.95" customHeight="1">
      <c r="A213" s="3020"/>
      <c r="B213" s="3015" t="str">
        <f>[2]分摊!B215</f>
        <v>车位210</v>
      </c>
      <c r="C213" s="3017">
        <f>[2]分摊!C215</f>
        <v>12.72</v>
      </c>
      <c r="D213" s="3018">
        <f>[2]分摊!H215</f>
        <v>24.67</v>
      </c>
      <c r="E213" s="3017">
        <f t="shared" si="3"/>
        <v>37.39</v>
      </c>
    </row>
    <row r="214" spans="1:5" ht="19.95" customHeight="1">
      <c r="A214" s="3016"/>
      <c r="B214" s="3015" t="str">
        <f>[2]分摊!B216</f>
        <v>车位211</v>
      </c>
      <c r="C214" s="3017">
        <f>[2]分摊!C216</f>
        <v>12.72</v>
      </c>
      <c r="D214" s="3018">
        <f>[2]分摊!H216</f>
        <v>24.67</v>
      </c>
      <c r="E214" s="3017">
        <f t="shared" si="3"/>
        <v>37.39</v>
      </c>
    </row>
    <row r="215" spans="1:5" ht="19.95" customHeight="1">
      <c r="A215" s="3020"/>
      <c r="B215" s="3015" t="str">
        <f>[2]分摊!B217</f>
        <v>车位212</v>
      </c>
      <c r="C215" s="3017">
        <f>[2]分摊!C217</f>
        <v>12.72</v>
      </c>
      <c r="D215" s="3018">
        <f>[2]分摊!H217</f>
        <v>24.67</v>
      </c>
      <c r="E215" s="3017">
        <f t="shared" si="3"/>
        <v>37.39</v>
      </c>
    </row>
    <row r="216" spans="1:5" ht="19.95" customHeight="1">
      <c r="A216" s="3020"/>
      <c r="B216" s="3015" t="str">
        <f>[2]分摊!B218</f>
        <v>车位213</v>
      </c>
      <c r="C216" s="3017">
        <f>[2]分摊!C218</f>
        <v>12.72</v>
      </c>
      <c r="D216" s="3018">
        <f>[2]分摊!H218</f>
        <v>24.67</v>
      </c>
      <c r="E216" s="3017">
        <f t="shared" si="3"/>
        <v>37.39</v>
      </c>
    </row>
    <row r="217" spans="1:5" ht="19.95" customHeight="1">
      <c r="A217" s="3020"/>
      <c r="B217" s="3015" t="str">
        <f>[2]分摊!B219</f>
        <v>车位214</v>
      </c>
      <c r="C217" s="3017">
        <f>[2]分摊!C219</f>
        <v>12.72</v>
      </c>
      <c r="D217" s="3018">
        <f>[2]分摊!H219</f>
        <v>24.67</v>
      </c>
      <c r="E217" s="3017">
        <f t="shared" si="3"/>
        <v>37.39</v>
      </c>
    </row>
    <row r="218" spans="1:5" ht="19.95" customHeight="1">
      <c r="A218" s="3020"/>
      <c r="B218" s="3015" t="str">
        <f>[2]分摊!B220</f>
        <v>车位215</v>
      </c>
      <c r="C218" s="3017">
        <f>[2]分摊!C220</f>
        <v>12.72</v>
      </c>
      <c r="D218" s="3018">
        <f>[2]分摊!H220</f>
        <v>24.67</v>
      </c>
      <c r="E218" s="3017">
        <f t="shared" si="3"/>
        <v>37.39</v>
      </c>
    </row>
    <row r="219" spans="1:5" ht="19.95" customHeight="1">
      <c r="A219" s="3020"/>
      <c r="B219" s="3015" t="str">
        <f>[2]分摊!B221</f>
        <v>车位216</v>
      </c>
      <c r="C219" s="3017">
        <f>[2]分摊!C221</f>
        <v>12.72</v>
      </c>
      <c r="D219" s="3018">
        <f>[2]分摊!H221</f>
        <v>24.67</v>
      </c>
      <c r="E219" s="3017">
        <f t="shared" si="3"/>
        <v>37.39</v>
      </c>
    </row>
    <row r="220" spans="1:5" ht="19.95" customHeight="1">
      <c r="A220" s="3020"/>
      <c r="B220" s="3015" t="str">
        <f>[2]分摊!B222</f>
        <v>车位217</v>
      </c>
      <c r="C220" s="3017">
        <f>[2]分摊!C222</f>
        <v>12.72</v>
      </c>
      <c r="D220" s="3018">
        <f>[2]分摊!H222</f>
        <v>24.67</v>
      </c>
      <c r="E220" s="3017">
        <f t="shared" si="3"/>
        <v>37.39</v>
      </c>
    </row>
    <row r="221" spans="1:5" ht="19.95" customHeight="1">
      <c r="A221" s="3016"/>
      <c r="B221" s="3015" t="str">
        <f>[2]分摊!B223</f>
        <v>车位218</v>
      </c>
      <c r="C221" s="3017">
        <f>[2]分摊!C223</f>
        <v>12.72</v>
      </c>
      <c r="D221" s="3018">
        <f>[2]分摊!H223</f>
        <v>24.67</v>
      </c>
      <c r="E221" s="3017">
        <f t="shared" si="3"/>
        <v>37.39</v>
      </c>
    </row>
    <row r="222" spans="1:5" ht="19.95" customHeight="1">
      <c r="A222" s="3020"/>
      <c r="B222" s="3015" t="str">
        <f>[2]分摊!B224</f>
        <v>车位219</v>
      </c>
      <c r="C222" s="3017">
        <f>[2]分摊!C224</f>
        <v>12.72</v>
      </c>
      <c r="D222" s="3018">
        <f>[2]分摊!H224</f>
        <v>24.67</v>
      </c>
      <c r="E222" s="3017">
        <f t="shared" si="3"/>
        <v>37.39</v>
      </c>
    </row>
    <row r="223" spans="1:5" ht="19.95" customHeight="1">
      <c r="A223" s="3020"/>
      <c r="B223" s="3015" t="str">
        <f>[2]分摊!B225</f>
        <v>车位220</v>
      </c>
      <c r="C223" s="3017">
        <f>[2]分摊!C225</f>
        <v>12.72</v>
      </c>
      <c r="D223" s="3018">
        <f>[2]分摊!H225</f>
        <v>24.67</v>
      </c>
      <c r="E223" s="3017">
        <f t="shared" si="3"/>
        <v>37.39</v>
      </c>
    </row>
    <row r="224" spans="1:5" ht="19.95" customHeight="1">
      <c r="A224" s="3020"/>
      <c r="B224" s="3015" t="str">
        <f>[2]分摊!B226</f>
        <v>车位221</v>
      </c>
      <c r="C224" s="3017">
        <f>[2]分摊!C226</f>
        <v>12.72</v>
      </c>
      <c r="D224" s="3018">
        <f>[2]分摊!H226</f>
        <v>24.67</v>
      </c>
      <c r="E224" s="3017">
        <f t="shared" si="3"/>
        <v>37.39</v>
      </c>
    </row>
    <row r="225" spans="1:5" ht="19.95" customHeight="1">
      <c r="A225" s="3020"/>
      <c r="B225" s="3015" t="str">
        <f>[2]分摊!B227</f>
        <v>车位222</v>
      </c>
      <c r="C225" s="3017">
        <f>[2]分摊!C227</f>
        <v>12.72</v>
      </c>
      <c r="D225" s="3018">
        <f>[2]分摊!H227</f>
        <v>24.67</v>
      </c>
      <c r="E225" s="3017">
        <f t="shared" si="3"/>
        <v>37.39</v>
      </c>
    </row>
    <row r="226" spans="1:5" ht="19.95" customHeight="1">
      <c r="A226" s="3020"/>
      <c r="B226" s="3015" t="str">
        <f>[2]分摊!B228</f>
        <v>车位223</v>
      </c>
      <c r="C226" s="3017">
        <f>[2]分摊!C228</f>
        <v>12.72</v>
      </c>
      <c r="D226" s="3018">
        <f>[2]分摊!H228</f>
        <v>24.67</v>
      </c>
      <c r="E226" s="3017">
        <f t="shared" si="3"/>
        <v>37.39</v>
      </c>
    </row>
    <row r="227" spans="1:5" ht="19.95" customHeight="1">
      <c r="A227" s="3020"/>
      <c r="B227" s="3015" t="str">
        <f>[2]分摊!B229</f>
        <v>车位224</v>
      </c>
      <c r="C227" s="3017">
        <f>[2]分摊!C229</f>
        <v>12.72</v>
      </c>
      <c r="D227" s="3018">
        <f>[2]分摊!H229</f>
        <v>24.67</v>
      </c>
      <c r="E227" s="3017">
        <f t="shared" si="3"/>
        <v>37.39</v>
      </c>
    </row>
    <row r="228" spans="1:5" ht="19.95" customHeight="1">
      <c r="A228" s="3016"/>
      <c r="B228" s="3015" t="str">
        <f>[2]分摊!B230</f>
        <v>车位225</v>
      </c>
      <c r="C228" s="3017">
        <f>[2]分摊!C230</f>
        <v>12.72</v>
      </c>
      <c r="D228" s="3018">
        <f>[2]分摊!H230</f>
        <v>24.67</v>
      </c>
      <c r="E228" s="3017">
        <f t="shared" si="3"/>
        <v>37.39</v>
      </c>
    </row>
    <row r="229" spans="1:5" ht="19.95" customHeight="1">
      <c r="A229" s="3020"/>
      <c r="B229" s="3015" t="str">
        <f>[2]分摊!B231</f>
        <v>车位226</v>
      </c>
      <c r="C229" s="3017">
        <f>[2]分摊!C231</f>
        <v>12.72</v>
      </c>
      <c r="D229" s="3018">
        <f>[2]分摊!H231</f>
        <v>24.67</v>
      </c>
      <c r="E229" s="3017">
        <f t="shared" si="3"/>
        <v>37.39</v>
      </c>
    </row>
    <row r="230" spans="1:5" ht="19.95" customHeight="1">
      <c r="A230" s="3020"/>
      <c r="B230" s="3015" t="str">
        <f>[2]分摊!B232</f>
        <v>车位227</v>
      </c>
      <c r="C230" s="3017">
        <f>[2]分摊!C232</f>
        <v>12.72</v>
      </c>
      <c r="D230" s="3018">
        <f>[2]分摊!H232</f>
        <v>24.67</v>
      </c>
      <c r="E230" s="3017">
        <f t="shared" si="3"/>
        <v>37.39</v>
      </c>
    </row>
    <row r="231" spans="1:5" ht="19.95" customHeight="1">
      <c r="A231" s="3020"/>
      <c r="B231" s="3015" t="str">
        <f>[2]分摊!B233</f>
        <v>车位228</v>
      </c>
      <c r="C231" s="3017">
        <f>[2]分摊!C233</f>
        <v>12.72</v>
      </c>
      <c r="D231" s="3018">
        <f>[2]分摊!H233</f>
        <v>24.67</v>
      </c>
      <c r="E231" s="3017">
        <f t="shared" si="3"/>
        <v>37.39</v>
      </c>
    </row>
    <row r="232" spans="1:5" ht="19.95" customHeight="1">
      <c r="A232" s="3020"/>
      <c r="B232" s="3015" t="str">
        <f>[2]分摊!B234</f>
        <v>车位229</v>
      </c>
      <c r="C232" s="3017">
        <f>[2]分摊!C234</f>
        <v>12.72</v>
      </c>
      <c r="D232" s="3018">
        <f>[2]分摊!H234</f>
        <v>24.67</v>
      </c>
      <c r="E232" s="3017">
        <f t="shared" si="3"/>
        <v>37.39</v>
      </c>
    </row>
    <row r="233" spans="1:5" ht="19.95" customHeight="1">
      <c r="A233" s="3020"/>
      <c r="B233" s="3015" t="str">
        <f>[2]分摊!B235</f>
        <v>车位230</v>
      </c>
      <c r="C233" s="3017">
        <f>[2]分摊!C235</f>
        <v>12.72</v>
      </c>
      <c r="D233" s="3018">
        <f>[2]分摊!H235</f>
        <v>24.67</v>
      </c>
      <c r="E233" s="3017">
        <f t="shared" si="3"/>
        <v>37.39</v>
      </c>
    </row>
    <row r="234" spans="1:5" ht="19.95" customHeight="1">
      <c r="A234" s="3020"/>
      <c r="B234" s="3015" t="str">
        <f>[2]分摊!B236</f>
        <v>车位231</v>
      </c>
      <c r="C234" s="3017">
        <f>[2]分摊!C236</f>
        <v>12.72</v>
      </c>
      <c r="D234" s="3018">
        <f>[2]分摊!H236</f>
        <v>24.67</v>
      </c>
      <c r="E234" s="3017">
        <f t="shared" si="3"/>
        <v>37.39</v>
      </c>
    </row>
    <row r="235" spans="1:5" ht="19.95" customHeight="1">
      <c r="A235" s="3016"/>
      <c r="B235" s="3015" t="str">
        <f>[2]分摊!B237</f>
        <v>车位232</v>
      </c>
      <c r="C235" s="3017">
        <f>[2]分摊!C237</f>
        <v>12.72</v>
      </c>
      <c r="D235" s="3018">
        <f>[2]分摊!H237</f>
        <v>24.67</v>
      </c>
      <c r="E235" s="3017">
        <f t="shared" si="3"/>
        <v>37.39</v>
      </c>
    </row>
    <row r="236" spans="1:5" ht="19.95" customHeight="1">
      <c r="A236" s="3020"/>
      <c r="B236" s="3015" t="str">
        <f>[2]分摊!B238</f>
        <v>车位233</v>
      </c>
      <c r="C236" s="3017">
        <f>[2]分摊!C238</f>
        <v>12.72</v>
      </c>
      <c r="D236" s="3018">
        <f>[2]分摊!H238</f>
        <v>24.67</v>
      </c>
      <c r="E236" s="3017">
        <f t="shared" si="3"/>
        <v>37.39</v>
      </c>
    </row>
    <row r="237" spans="1:5" ht="19.95" customHeight="1">
      <c r="A237" s="3020"/>
      <c r="B237" s="3015" t="str">
        <f>[2]分摊!B239</f>
        <v>车位234</v>
      </c>
      <c r="C237" s="3017">
        <f>[2]分摊!C239</f>
        <v>25.44</v>
      </c>
      <c r="D237" s="3018">
        <f>[2]分摊!H239</f>
        <v>49.33</v>
      </c>
      <c r="E237" s="3017">
        <f t="shared" si="3"/>
        <v>74.77</v>
      </c>
    </row>
    <row r="238" spans="1:5" ht="19.95" customHeight="1">
      <c r="A238" s="3020"/>
      <c r="B238" s="3015" t="str">
        <f>[2]分摊!B240</f>
        <v>车位235</v>
      </c>
      <c r="C238" s="3017">
        <f>[2]分摊!C240</f>
        <v>25.44</v>
      </c>
      <c r="D238" s="3018">
        <f>[2]分摊!H240</f>
        <v>49.33</v>
      </c>
      <c r="E238" s="3017">
        <f t="shared" si="3"/>
        <v>74.77</v>
      </c>
    </row>
    <row r="239" spans="1:5" ht="19.95" customHeight="1">
      <c r="A239" s="3020"/>
      <c r="B239" s="3015" t="str">
        <f>[2]分摊!B241</f>
        <v>车位236</v>
      </c>
      <c r="C239" s="3017">
        <f>[2]分摊!C241</f>
        <v>12.72</v>
      </c>
      <c r="D239" s="3018">
        <f>[2]分摊!H241</f>
        <v>24.67</v>
      </c>
      <c r="E239" s="3017">
        <f t="shared" si="3"/>
        <v>37.39</v>
      </c>
    </row>
    <row r="240" spans="1:5" ht="19.95" customHeight="1">
      <c r="A240" s="3020"/>
      <c r="B240" s="3015" t="str">
        <f>[2]分摊!B242</f>
        <v>车位237</v>
      </c>
      <c r="C240" s="3017">
        <f>[2]分摊!C242</f>
        <v>12.72</v>
      </c>
      <c r="D240" s="3018">
        <f>[2]分摊!H242</f>
        <v>24.67</v>
      </c>
      <c r="E240" s="3017">
        <f t="shared" si="3"/>
        <v>37.39</v>
      </c>
    </row>
    <row r="241" spans="1:5" ht="19.95" customHeight="1">
      <c r="A241" s="3020"/>
      <c r="B241" s="3015" t="str">
        <f>[2]分摊!B243</f>
        <v>车位238</v>
      </c>
      <c r="C241" s="3017">
        <f>[2]分摊!C243</f>
        <v>12.72</v>
      </c>
      <c r="D241" s="3018">
        <f>[2]分摊!H243</f>
        <v>24.67</v>
      </c>
      <c r="E241" s="3017">
        <f t="shared" si="3"/>
        <v>37.39</v>
      </c>
    </row>
    <row r="242" spans="1:5" ht="19.95" customHeight="1">
      <c r="A242" s="3016"/>
      <c r="B242" s="3015" t="str">
        <f>[2]分摊!B244</f>
        <v>车位239</v>
      </c>
      <c r="C242" s="3017">
        <f>[2]分摊!C244</f>
        <v>25.44</v>
      </c>
      <c r="D242" s="3018">
        <f>[2]分摊!H244</f>
        <v>49.33</v>
      </c>
      <c r="E242" s="3017">
        <f t="shared" si="3"/>
        <v>74.77</v>
      </c>
    </row>
    <row r="243" spans="1:5" ht="19.95" customHeight="1">
      <c r="A243" s="3020"/>
      <c r="B243" s="3015" t="str">
        <f>[2]分摊!B245</f>
        <v>车位240</v>
      </c>
      <c r="C243" s="3017">
        <f>[2]分摊!C245</f>
        <v>25.44</v>
      </c>
      <c r="D243" s="3018">
        <f>[2]分摊!H245</f>
        <v>49.33</v>
      </c>
      <c r="E243" s="3017">
        <f t="shared" si="3"/>
        <v>74.77</v>
      </c>
    </row>
    <row r="244" spans="1:5" ht="19.95" customHeight="1">
      <c r="A244" s="3020"/>
      <c r="B244" s="3015" t="str">
        <f>[2]分摊!B246</f>
        <v>车位241</v>
      </c>
      <c r="C244" s="3017">
        <f>[2]分摊!C246</f>
        <v>12.72</v>
      </c>
      <c r="D244" s="3018">
        <f>[2]分摊!H246</f>
        <v>24.67</v>
      </c>
      <c r="E244" s="3017">
        <f t="shared" si="3"/>
        <v>37.39</v>
      </c>
    </row>
    <row r="245" spans="1:5" ht="19.95" customHeight="1">
      <c r="A245" s="3020"/>
      <c r="B245" s="3015" t="str">
        <f>[2]分摊!B247</f>
        <v>车位242</v>
      </c>
      <c r="C245" s="3017">
        <f>[2]分摊!C247</f>
        <v>12.72</v>
      </c>
      <c r="D245" s="3018">
        <f>[2]分摊!H247</f>
        <v>24.67</v>
      </c>
      <c r="E245" s="3017">
        <f t="shared" si="3"/>
        <v>37.39</v>
      </c>
    </row>
    <row r="246" spans="1:5" ht="19.95" customHeight="1">
      <c r="A246" s="3020"/>
      <c r="B246" s="3015" t="str">
        <f>[2]分摊!B248</f>
        <v>车位243</v>
      </c>
      <c r="C246" s="3017">
        <f>[2]分摊!C248</f>
        <v>12.72</v>
      </c>
      <c r="D246" s="3018">
        <f>[2]分摊!H248</f>
        <v>24.67</v>
      </c>
      <c r="E246" s="3017">
        <f t="shared" si="3"/>
        <v>37.39</v>
      </c>
    </row>
    <row r="247" spans="1:5" ht="19.95" customHeight="1">
      <c r="A247" s="3020"/>
      <c r="B247" s="3015" t="str">
        <f>[2]分摊!B249</f>
        <v>车位244</v>
      </c>
      <c r="C247" s="3017">
        <f>[2]分摊!C249</f>
        <v>25.44</v>
      </c>
      <c r="D247" s="3018">
        <f>[2]分摊!H249</f>
        <v>49.33</v>
      </c>
      <c r="E247" s="3017">
        <f t="shared" si="3"/>
        <v>74.77</v>
      </c>
    </row>
    <row r="248" spans="1:5" ht="19.95" customHeight="1">
      <c r="A248" s="3020"/>
      <c r="B248" s="3015" t="str">
        <f>[2]分摊!B250</f>
        <v>车位245</v>
      </c>
      <c r="C248" s="3017">
        <f>[2]分摊!C250</f>
        <v>25.44</v>
      </c>
      <c r="D248" s="3018">
        <f>[2]分摊!H250</f>
        <v>49.33</v>
      </c>
      <c r="E248" s="3017">
        <f t="shared" si="3"/>
        <v>74.77</v>
      </c>
    </row>
    <row r="249" spans="1:5" ht="19.95" customHeight="1">
      <c r="A249" s="3020"/>
      <c r="B249" s="3015" t="str">
        <f>[2]分摊!B251</f>
        <v>车位246</v>
      </c>
      <c r="C249" s="3017">
        <f>[2]分摊!C251</f>
        <v>25.44</v>
      </c>
      <c r="D249" s="3018">
        <f>[2]分摊!H251</f>
        <v>49.33</v>
      </c>
      <c r="E249" s="3017">
        <f t="shared" si="3"/>
        <v>74.77</v>
      </c>
    </row>
    <row r="250" spans="1:5" ht="19.95" customHeight="1">
      <c r="A250" s="3020"/>
      <c r="B250" s="3015" t="str">
        <f>[2]分摊!B252</f>
        <v>车位247</v>
      </c>
      <c r="C250" s="3017">
        <f>[2]分摊!C252</f>
        <v>25.44</v>
      </c>
      <c r="D250" s="3018">
        <f>[2]分摊!H252</f>
        <v>49.33</v>
      </c>
      <c r="E250" s="3017">
        <f t="shared" si="3"/>
        <v>74.77</v>
      </c>
    </row>
    <row r="251" spans="1:5" ht="19.95" customHeight="1">
      <c r="A251" s="3020"/>
      <c r="B251" s="3015" t="str">
        <f>[2]分摊!B253</f>
        <v>车位248</v>
      </c>
      <c r="C251" s="3017">
        <f>[2]分摊!C253</f>
        <v>12.72</v>
      </c>
      <c r="D251" s="3018">
        <f>[2]分摊!H253</f>
        <v>24.67</v>
      </c>
      <c r="E251" s="3017">
        <f t="shared" si="3"/>
        <v>37.39</v>
      </c>
    </row>
    <row r="252" spans="1:5" ht="19.95" customHeight="1">
      <c r="A252" s="3020"/>
      <c r="B252" s="3015" t="str">
        <f>[2]分摊!B254</f>
        <v>车位249</v>
      </c>
      <c r="C252" s="3017">
        <f>[2]分摊!C254</f>
        <v>25.44</v>
      </c>
      <c r="D252" s="3018">
        <f>[2]分摊!H254</f>
        <v>49.33</v>
      </c>
      <c r="E252" s="3017">
        <f t="shared" si="3"/>
        <v>74.77</v>
      </c>
    </row>
    <row r="253" spans="1:5" ht="19.95" customHeight="1">
      <c r="A253" s="3020"/>
      <c r="B253" s="3015" t="str">
        <f>[2]分摊!B255</f>
        <v>车位250</v>
      </c>
      <c r="C253" s="3017">
        <f>[2]分摊!C255</f>
        <v>25.44</v>
      </c>
      <c r="D253" s="3018">
        <f>[2]分摊!H255</f>
        <v>49.33</v>
      </c>
      <c r="E253" s="3017">
        <f t="shared" si="3"/>
        <v>74.77</v>
      </c>
    </row>
    <row r="254" spans="1:5" ht="19.95" customHeight="1">
      <c r="A254" s="3020"/>
      <c r="B254" s="3015" t="str">
        <f>[2]分摊!B256</f>
        <v>车位251</v>
      </c>
      <c r="C254" s="3017">
        <f>[2]分摊!C256</f>
        <v>25.44</v>
      </c>
      <c r="D254" s="3018">
        <f>[2]分摊!H256</f>
        <v>49.33</v>
      </c>
      <c r="E254" s="3017">
        <f t="shared" si="3"/>
        <v>74.77</v>
      </c>
    </row>
    <row r="255" spans="1:5" ht="19.95" customHeight="1">
      <c r="A255" s="3020"/>
      <c r="B255" s="3015" t="str">
        <f>[2]分摊!B257</f>
        <v>车位252</v>
      </c>
      <c r="C255" s="3017">
        <f>[2]分摊!C257</f>
        <v>25.44</v>
      </c>
      <c r="D255" s="3018">
        <f>[2]分摊!H257</f>
        <v>49.33</v>
      </c>
      <c r="E255" s="3017">
        <f t="shared" si="3"/>
        <v>74.77</v>
      </c>
    </row>
    <row r="256" spans="1:5" ht="19.95" customHeight="1">
      <c r="A256" s="3020"/>
      <c r="B256" s="3015" t="str">
        <f>[2]分摊!B258</f>
        <v>车位253</v>
      </c>
      <c r="C256" s="3017">
        <f>[2]分摊!C258</f>
        <v>12.72</v>
      </c>
      <c r="D256" s="3018">
        <f>[2]分摊!H258</f>
        <v>24.67</v>
      </c>
      <c r="E256" s="3017">
        <f t="shared" si="3"/>
        <v>37.39</v>
      </c>
    </row>
    <row r="257" spans="1:5" ht="19.95" customHeight="1">
      <c r="A257" s="3020"/>
      <c r="B257" s="3015" t="str">
        <f>[2]分摊!B259</f>
        <v>车位254</v>
      </c>
      <c r="C257" s="3017">
        <f>[2]分摊!C259</f>
        <v>12.72</v>
      </c>
      <c r="D257" s="3018">
        <f>[2]分摊!H259</f>
        <v>24.67</v>
      </c>
      <c r="E257" s="3017">
        <f t="shared" si="3"/>
        <v>37.39</v>
      </c>
    </row>
    <row r="258" spans="1:5" ht="19.95" customHeight="1">
      <c r="A258" s="3020"/>
      <c r="B258" s="3015" t="str">
        <f>[2]分摊!B260</f>
        <v>车位255</v>
      </c>
      <c r="C258" s="3017">
        <f>[2]分摊!C260</f>
        <v>12.72</v>
      </c>
      <c r="D258" s="3018">
        <f>[2]分摊!H260</f>
        <v>24.67</v>
      </c>
      <c r="E258" s="3017">
        <f t="shared" si="3"/>
        <v>37.39</v>
      </c>
    </row>
    <row r="259" spans="1:5" ht="19.95" customHeight="1">
      <c r="A259" s="3020"/>
      <c r="B259" s="3015" t="str">
        <f>[2]分摊!B261</f>
        <v>车位256</v>
      </c>
      <c r="C259" s="3017">
        <f>[2]分摊!C261</f>
        <v>25.44</v>
      </c>
      <c r="D259" s="3018">
        <f>[2]分摊!H261</f>
        <v>49.33</v>
      </c>
      <c r="E259" s="3017">
        <f t="shared" si="3"/>
        <v>74.77</v>
      </c>
    </row>
    <row r="260" spans="1:5" ht="19.95" customHeight="1">
      <c r="A260" s="3020"/>
      <c r="B260" s="3015" t="str">
        <f>[2]分摊!B262</f>
        <v>车位257</v>
      </c>
      <c r="C260" s="3017">
        <f>[2]分摊!C262</f>
        <v>25.44</v>
      </c>
      <c r="D260" s="3018">
        <f>[2]分摊!H262</f>
        <v>49.33</v>
      </c>
      <c r="E260" s="3017">
        <f t="shared" si="3"/>
        <v>74.77</v>
      </c>
    </row>
    <row r="261" spans="1:5" ht="19.95" customHeight="1">
      <c r="A261" s="3020"/>
      <c r="B261" s="3015" t="str">
        <f>[2]分摊!B263</f>
        <v>车位258</v>
      </c>
      <c r="C261" s="3017">
        <f>[2]分摊!C263</f>
        <v>12.72</v>
      </c>
      <c r="D261" s="3018">
        <f>[2]分摊!H263</f>
        <v>24.67</v>
      </c>
      <c r="E261" s="3017">
        <f t="shared" ref="E261:E324" si="4">SUM(C261:D261)</f>
        <v>37.39</v>
      </c>
    </row>
    <row r="262" spans="1:5" ht="19.95" customHeight="1">
      <c r="A262" s="3020"/>
      <c r="B262" s="3015" t="str">
        <f>[2]分摊!B264</f>
        <v>车位259</v>
      </c>
      <c r="C262" s="3017">
        <f>[2]分摊!C264</f>
        <v>12.72</v>
      </c>
      <c r="D262" s="3018">
        <f>[2]分摊!H264</f>
        <v>24.67</v>
      </c>
      <c r="E262" s="3017">
        <f t="shared" si="4"/>
        <v>37.39</v>
      </c>
    </row>
    <row r="263" spans="1:5" ht="19.95" customHeight="1">
      <c r="A263" s="3020"/>
      <c r="B263" s="3015" t="str">
        <f>[2]分摊!B265</f>
        <v>车位260</v>
      </c>
      <c r="C263" s="3017">
        <f>[2]分摊!C265</f>
        <v>12.72</v>
      </c>
      <c r="D263" s="3018">
        <f>[2]分摊!H265</f>
        <v>24.67</v>
      </c>
      <c r="E263" s="3017">
        <f t="shared" si="4"/>
        <v>37.39</v>
      </c>
    </row>
    <row r="264" spans="1:5" ht="19.95" customHeight="1">
      <c r="A264" s="3020"/>
      <c r="B264" s="3015" t="str">
        <f>[2]分摊!B266</f>
        <v>车位261</v>
      </c>
      <c r="C264" s="3017">
        <f>[2]分摊!C266</f>
        <v>25.44</v>
      </c>
      <c r="D264" s="3018">
        <f>[2]分摊!H266</f>
        <v>49.33</v>
      </c>
      <c r="E264" s="3017">
        <f t="shared" si="4"/>
        <v>74.77</v>
      </c>
    </row>
    <row r="265" spans="1:5" ht="19.95" customHeight="1">
      <c r="A265" s="3020"/>
      <c r="B265" s="3015" t="str">
        <f>[2]分摊!B267</f>
        <v>车位262</v>
      </c>
      <c r="C265" s="3017">
        <f>[2]分摊!C267</f>
        <v>25.44</v>
      </c>
      <c r="D265" s="3018">
        <f>[2]分摊!H267</f>
        <v>49.33</v>
      </c>
      <c r="E265" s="3017">
        <f t="shared" si="4"/>
        <v>74.77</v>
      </c>
    </row>
    <row r="266" spans="1:5" ht="19.95" customHeight="1">
      <c r="A266" s="3020"/>
      <c r="B266" s="3015" t="str">
        <f>[2]分摊!B268</f>
        <v>车位263</v>
      </c>
      <c r="C266" s="3017">
        <f>[2]分摊!C268</f>
        <v>12.72</v>
      </c>
      <c r="D266" s="3018">
        <f>[2]分摊!H268</f>
        <v>24.67</v>
      </c>
      <c r="E266" s="3017">
        <f t="shared" si="4"/>
        <v>37.39</v>
      </c>
    </row>
    <row r="267" spans="1:5" ht="19.95" customHeight="1">
      <c r="A267" s="3020"/>
      <c r="B267" s="3015" t="str">
        <f>[2]分摊!B269</f>
        <v>车位264</v>
      </c>
      <c r="C267" s="3017">
        <f>[2]分摊!C269</f>
        <v>12.72</v>
      </c>
      <c r="D267" s="3018">
        <f>[2]分摊!H269</f>
        <v>24.67</v>
      </c>
      <c r="E267" s="3017">
        <f t="shared" si="4"/>
        <v>37.39</v>
      </c>
    </row>
    <row r="268" spans="1:5" ht="19.95" customHeight="1">
      <c r="A268" s="3020"/>
      <c r="B268" s="3015" t="str">
        <f>[2]分摊!B270</f>
        <v>车位265</v>
      </c>
      <c r="C268" s="3017">
        <f>[2]分摊!C270</f>
        <v>12.72</v>
      </c>
      <c r="D268" s="3018">
        <f>[2]分摊!H270</f>
        <v>24.67</v>
      </c>
      <c r="E268" s="3017">
        <f t="shared" si="4"/>
        <v>37.39</v>
      </c>
    </row>
    <row r="269" spans="1:5" ht="19.95" customHeight="1">
      <c r="A269" s="3020"/>
      <c r="B269" s="3015" t="str">
        <f>[2]分摊!B271</f>
        <v>车位266</v>
      </c>
      <c r="C269" s="3017">
        <f>[2]分摊!C271</f>
        <v>12.72</v>
      </c>
      <c r="D269" s="3018">
        <f>[2]分摊!H271</f>
        <v>24.67</v>
      </c>
      <c r="E269" s="3017">
        <f t="shared" si="4"/>
        <v>37.39</v>
      </c>
    </row>
    <row r="270" spans="1:5" ht="19.95" customHeight="1">
      <c r="A270" s="3020"/>
      <c r="B270" s="3015" t="str">
        <f>[2]分摊!B272</f>
        <v>车位267</v>
      </c>
      <c r="C270" s="3017">
        <f>[2]分摊!C272</f>
        <v>12.72</v>
      </c>
      <c r="D270" s="3018">
        <f>[2]分摊!H272</f>
        <v>24.67</v>
      </c>
      <c r="E270" s="3017">
        <f t="shared" si="4"/>
        <v>37.39</v>
      </c>
    </row>
    <row r="271" spans="1:5" ht="19.95" customHeight="1">
      <c r="A271" s="3020"/>
      <c r="B271" s="3015" t="str">
        <f>[2]分摊!B273</f>
        <v>车位268</v>
      </c>
      <c r="C271" s="3017">
        <f>[2]分摊!C273</f>
        <v>12.72</v>
      </c>
      <c r="D271" s="3018">
        <f>[2]分摊!H273</f>
        <v>24.67</v>
      </c>
      <c r="E271" s="3017">
        <f t="shared" si="4"/>
        <v>37.39</v>
      </c>
    </row>
    <row r="272" spans="1:5" ht="19.95" customHeight="1">
      <c r="A272" s="3020"/>
      <c r="B272" s="3015" t="str">
        <f>[2]分摊!B274</f>
        <v>车位269</v>
      </c>
      <c r="C272" s="3017">
        <f>[2]分摊!C274</f>
        <v>12.72</v>
      </c>
      <c r="D272" s="3018">
        <f>[2]分摊!H274</f>
        <v>24.67</v>
      </c>
      <c r="E272" s="3017">
        <f t="shared" si="4"/>
        <v>37.39</v>
      </c>
    </row>
    <row r="273" spans="1:5" ht="19.95" customHeight="1">
      <c r="A273" s="3020"/>
      <c r="B273" s="3015" t="str">
        <f>[2]分摊!B275</f>
        <v>车位270</v>
      </c>
      <c r="C273" s="3017">
        <f>[2]分摊!C275</f>
        <v>12.72</v>
      </c>
      <c r="D273" s="3018">
        <f>[2]分摊!H275</f>
        <v>24.67</v>
      </c>
      <c r="E273" s="3017">
        <f t="shared" si="4"/>
        <v>37.39</v>
      </c>
    </row>
    <row r="274" spans="1:5" ht="19.95" customHeight="1">
      <c r="A274" s="3020"/>
      <c r="B274" s="3015" t="str">
        <f>[2]分摊!B276</f>
        <v>车位271</v>
      </c>
      <c r="C274" s="3017">
        <f>[2]分摊!C276</f>
        <v>12.72</v>
      </c>
      <c r="D274" s="3018">
        <f>[2]分摊!H276</f>
        <v>24.67</v>
      </c>
      <c r="E274" s="3017">
        <f t="shared" si="4"/>
        <v>37.39</v>
      </c>
    </row>
    <row r="275" spans="1:5" ht="19.95" customHeight="1">
      <c r="A275" s="3020"/>
      <c r="B275" s="3015" t="str">
        <f>[2]分摊!B277</f>
        <v>车位272</v>
      </c>
      <c r="C275" s="3017">
        <f>[2]分摊!C277</f>
        <v>12.72</v>
      </c>
      <c r="D275" s="3018">
        <f>[2]分摊!H277</f>
        <v>24.67</v>
      </c>
      <c r="E275" s="3017">
        <f t="shared" si="4"/>
        <v>37.39</v>
      </c>
    </row>
    <row r="276" spans="1:5" ht="19.95" customHeight="1">
      <c r="A276" s="3020"/>
      <c r="B276" s="3015" t="str">
        <f>[2]分摊!B278</f>
        <v>车位273</v>
      </c>
      <c r="C276" s="3017">
        <f>[2]分摊!C278</f>
        <v>12.72</v>
      </c>
      <c r="D276" s="3018">
        <f>[2]分摊!H278</f>
        <v>24.67</v>
      </c>
      <c r="E276" s="3017">
        <f t="shared" si="4"/>
        <v>37.39</v>
      </c>
    </row>
    <row r="277" spans="1:5" ht="19.95" customHeight="1">
      <c r="A277" s="3020"/>
      <c r="B277" s="3015" t="str">
        <f>[2]分摊!B279</f>
        <v>车位274</v>
      </c>
      <c r="C277" s="3017">
        <f>[2]分摊!C279</f>
        <v>12.72</v>
      </c>
      <c r="D277" s="3018">
        <f>[2]分摊!H279</f>
        <v>24.67</v>
      </c>
      <c r="E277" s="3017">
        <f t="shared" si="4"/>
        <v>37.39</v>
      </c>
    </row>
    <row r="278" spans="1:5" ht="19.95" customHeight="1">
      <c r="A278" s="3020"/>
      <c r="B278" s="3015" t="str">
        <f>[2]分摊!B280</f>
        <v>车位275</v>
      </c>
      <c r="C278" s="3017">
        <f>[2]分摊!C280</f>
        <v>12.72</v>
      </c>
      <c r="D278" s="3018">
        <f>[2]分摊!H280</f>
        <v>24.67</v>
      </c>
      <c r="E278" s="3017">
        <f t="shared" si="4"/>
        <v>37.39</v>
      </c>
    </row>
    <row r="279" spans="1:5" ht="19.95" customHeight="1">
      <c r="A279" s="3020"/>
      <c r="B279" s="3015" t="str">
        <f>[2]分摊!B281</f>
        <v>车位276</v>
      </c>
      <c r="C279" s="3017">
        <f>[2]分摊!C281</f>
        <v>12.72</v>
      </c>
      <c r="D279" s="3018">
        <f>[2]分摊!H281</f>
        <v>24.67</v>
      </c>
      <c r="E279" s="3017">
        <f t="shared" si="4"/>
        <v>37.39</v>
      </c>
    </row>
    <row r="280" spans="1:5" ht="19.95" customHeight="1">
      <c r="A280" s="3020"/>
      <c r="B280" s="3015" t="str">
        <f>[2]分摊!B282</f>
        <v>车位277</v>
      </c>
      <c r="C280" s="3017">
        <f>[2]分摊!C282</f>
        <v>12.72</v>
      </c>
      <c r="D280" s="3018">
        <f>[2]分摊!H282</f>
        <v>24.67</v>
      </c>
      <c r="E280" s="3017">
        <f t="shared" si="4"/>
        <v>37.39</v>
      </c>
    </row>
    <row r="281" spans="1:5" ht="19.95" customHeight="1">
      <c r="A281" s="3020"/>
      <c r="B281" s="3015" t="str">
        <f>[2]分摊!B283</f>
        <v>车位278</v>
      </c>
      <c r="C281" s="3017">
        <f>[2]分摊!C283</f>
        <v>12.72</v>
      </c>
      <c r="D281" s="3018">
        <f>[2]分摊!H283</f>
        <v>24.67</v>
      </c>
      <c r="E281" s="3017">
        <f t="shared" si="4"/>
        <v>37.39</v>
      </c>
    </row>
    <row r="282" spans="1:5" ht="19.95" customHeight="1">
      <c r="A282" s="3020"/>
      <c r="B282" s="3015" t="str">
        <f>[2]分摊!B284</f>
        <v>车位279</v>
      </c>
      <c r="C282" s="3017">
        <f>[2]分摊!C284</f>
        <v>12.72</v>
      </c>
      <c r="D282" s="3018">
        <f>[2]分摊!H284</f>
        <v>24.67</v>
      </c>
      <c r="E282" s="3017">
        <f t="shared" si="4"/>
        <v>37.39</v>
      </c>
    </row>
    <row r="283" spans="1:5" ht="19.95" customHeight="1">
      <c r="A283" s="3020"/>
      <c r="B283" s="3015" t="str">
        <f>[2]分摊!B285</f>
        <v>车位280</v>
      </c>
      <c r="C283" s="3017">
        <f>[2]分摊!C285</f>
        <v>12.72</v>
      </c>
      <c r="D283" s="3018">
        <f>[2]分摊!H285</f>
        <v>24.67</v>
      </c>
      <c r="E283" s="3017">
        <f t="shared" si="4"/>
        <v>37.39</v>
      </c>
    </row>
    <row r="284" spans="1:5" ht="19.95" customHeight="1">
      <c r="A284" s="3020"/>
      <c r="B284" s="3015" t="str">
        <f>[2]分摊!B286</f>
        <v>车位281</v>
      </c>
      <c r="C284" s="3017">
        <f>[2]分摊!C286</f>
        <v>12.72</v>
      </c>
      <c r="D284" s="3018">
        <f>[2]分摊!H286</f>
        <v>24.67</v>
      </c>
      <c r="E284" s="3017">
        <f t="shared" si="4"/>
        <v>37.39</v>
      </c>
    </row>
    <row r="285" spans="1:5" ht="19.95" customHeight="1">
      <c r="A285" s="3020"/>
      <c r="B285" s="3015" t="str">
        <f>[2]分摊!B287</f>
        <v>车位282</v>
      </c>
      <c r="C285" s="3017">
        <f>[2]分摊!C287</f>
        <v>12.72</v>
      </c>
      <c r="D285" s="3018">
        <f>[2]分摊!H287</f>
        <v>24.67</v>
      </c>
      <c r="E285" s="3017">
        <f t="shared" si="4"/>
        <v>37.39</v>
      </c>
    </row>
    <row r="286" spans="1:5" ht="19.95" customHeight="1">
      <c r="A286" s="3020"/>
      <c r="B286" s="3015" t="str">
        <f>[2]分摊!B288</f>
        <v>车位283</v>
      </c>
      <c r="C286" s="3017">
        <f>[2]分摊!C288</f>
        <v>12.72</v>
      </c>
      <c r="D286" s="3018">
        <f>[2]分摊!H288</f>
        <v>24.67</v>
      </c>
      <c r="E286" s="3017">
        <f t="shared" si="4"/>
        <v>37.39</v>
      </c>
    </row>
    <row r="287" spans="1:5" ht="19.95" customHeight="1">
      <c r="A287" s="3020"/>
      <c r="B287" s="3015" t="str">
        <f>[2]分摊!B289</f>
        <v>车位284</v>
      </c>
      <c r="C287" s="3017">
        <f>[2]分摊!C289</f>
        <v>12.72</v>
      </c>
      <c r="D287" s="3018">
        <f>[2]分摊!H289</f>
        <v>24.67</v>
      </c>
      <c r="E287" s="3017">
        <f t="shared" si="4"/>
        <v>37.39</v>
      </c>
    </row>
    <row r="288" spans="1:5" ht="19.95" customHeight="1">
      <c r="A288" s="3020"/>
      <c r="B288" s="3015" t="str">
        <f>[2]分摊!B290</f>
        <v>车位285</v>
      </c>
      <c r="C288" s="3017">
        <f>[2]分摊!C290</f>
        <v>12.72</v>
      </c>
      <c r="D288" s="3018">
        <f>[2]分摊!H290</f>
        <v>24.67</v>
      </c>
      <c r="E288" s="3017">
        <f t="shared" si="4"/>
        <v>37.39</v>
      </c>
    </row>
    <row r="289" spans="1:5" ht="19.95" customHeight="1">
      <c r="A289" s="3020"/>
      <c r="B289" s="3015" t="str">
        <f>[2]分摊!B291</f>
        <v>车位286</v>
      </c>
      <c r="C289" s="3017">
        <f>[2]分摊!C291</f>
        <v>12.72</v>
      </c>
      <c r="D289" s="3018">
        <f>[2]分摊!H291</f>
        <v>24.67</v>
      </c>
      <c r="E289" s="3017">
        <f t="shared" si="4"/>
        <v>37.39</v>
      </c>
    </row>
    <row r="290" spans="1:5" ht="19.95" customHeight="1">
      <c r="A290" s="3020"/>
      <c r="B290" s="3015" t="str">
        <f>[2]分摊!B292</f>
        <v>车位287</v>
      </c>
      <c r="C290" s="3017">
        <f>[2]分摊!C292</f>
        <v>12.72</v>
      </c>
      <c r="D290" s="3018">
        <f>[2]分摊!H292</f>
        <v>24.67</v>
      </c>
      <c r="E290" s="3017">
        <f t="shared" si="4"/>
        <v>37.39</v>
      </c>
    </row>
    <row r="291" spans="1:5" ht="19.95" customHeight="1">
      <c r="A291" s="3020"/>
      <c r="B291" s="3015" t="str">
        <f>[2]分摊!B293</f>
        <v>车位288</v>
      </c>
      <c r="C291" s="3017">
        <f>[2]分摊!C293</f>
        <v>12.72</v>
      </c>
      <c r="D291" s="3018">
        <f>[2]分摊!H293</f>
        <v>24.67</v>
      </c>
      <c r="E291" s="3017">
        <f t="shared" si="4"/>
        <v>37.39</v>
      </c>
    </row>
    <row r="292" spans="1:5" ht="19.95" customHeight="1">
      <c r="A292" s="3020"/>
      <c r="B292" s="3015" t="str">
        <f>[2]分摊!B294</f>
        <v>车位289</v>
      </c>
      <c r="C292" s="3017">
        <f>[2]分摊!C294</f>
        <v>12.72</v>
      </c>
      <c r="D292" s="3018">
        <f>[2]分摊!H294</f>
        <v>24.67</v>
      </c>
      <c r="E292" s="3017">
        <f t="shared" si="4"/>
        <v>37.39</v>
      </c>
    </row>
    <row r="293" spans="1:5" ht="19.95" customHeight="1">
      <c r="A293" s="3020"/>
      <c r="B293" s="3015" t="str">
        <f>[2]分摊!B295</f>
        <v>车位290</v>
      </c>
      <c r="C293" s="3017">
        <f>[2]分摊!C295</f>
        <v>12.72</v>
      </c>
      <c r="D293" s="3018">
        <f>[2]分摊!H295</f>
        <v>24.67</v>
      </c>
      <c r="E293" s="3017">
        <f t="shared" si="4"/>
        <v>37.39</v>
      </c>
    </row>
    <row r="294" spans="1:5" ht="19.95" customHeight="1">
      <c r="A294" s="3020"/>
      <c r="B294" s="3015" t="str">
        <f>[2]分摊!B296</f>
        <v>车位291</v>
      </c>
      <c r="C294" s="3017">
        <f>[2]分摊!C296</f>
        <v>12.72</v>
      </c>
      <c r="D294" s="3018">
        <f>[2]分摊!H296</f>
        <v>24.67</v>
      </c>
      <c r="E294" s="3017">
        <f t="shared" si="4"/>
        <v>37.39</v>
      </c>
    </row>
    <row r="295" spans="1:5" ht="19.95" customHeight="1">
      <c r="A295" s="3020"/>
      <c r="B295" s="3015" t="str">
        <f>[2]分摊!B297</f>
        <v>车位292</v>
      </c>
      <c r="C295" s="3017">
        <f>[2]分摊!C297</f>
        <v>12.72</v>
      </c>
      <c r="D295" s="3018">
        <f>[2]分摊!H297</f>
        <v>24.67</v>
      </c>
      <c r="E295" s="3017">
        <f t="shared" si="4"/>
        <v>37.39</v>
      </c>
    </row>
    <row r="296" spans="1:5" ht="19.95" customHeight="1">
      <c r="A296" s="3020"/>
      <c r="B296" s="3015" t="str">
        <f>[2]分摊!B298</f>
        <v>车位293</v>
      </c>
      <c r="C296" s="3017">
        <f>[2]分摊!C298</f>
        <v>25.44</v>
      </c>
      <c r="D296" s="3018">
        <f>[2]分摊!H298</f>
        <v>49.33</v>
      </c>
      <c r="E296" s="3017">
        <f t="shared" si="4"/>
        <v>74.77</v>
      </c>
    </row>
    <row r="297" spans="1:5" ht="19.95" customHeight="1">
      <c r="A297" s="3020"/>
      <c r="B297" s="3015" t="str">
        <f>[2]分摊!B299</f>
        <v>车位294</v>
      </c>
      <c r="C297" s="3017">
        <f>[2]分摊!C299</f>
        <v>25.44</v>
      </c>
      <c r="D297" s="3018">
        <f>[2]分摊!H299</f>
        <v>49.33</v>
      </c>
      <c r="E297" s="3017">
        <f t="shared" si="4"/>
        <v>74.77</v>
      </c>
    </row>
    <row r="298" spans="1:5" ht="19.95" customHeight="1">
      <c r="A298" s="3020"/>
      <c r="B298" s="3015" t="str">
        <f>[2]分摊!B300</f>
        <v>车位295</v>
      </c>
      <c r="C298" s="3017">
        <f>[2]分摊!C300</f>
        <v>12.72</v>
      </c>
      <c r="D298" s="3018">
        <f>[2]分摊!H300</f>
        <v>24.67</v>
      </c>
      <c r="E298" s="3017">
        <f t="shared" si="4"/>
        <v>37.39</v>
      </c>
    </row>
    <row r="299" spans="1:5" ht="19.95" customHeight="1">
      <c r="A299" s="3020"/>
      <c r="B299" s="3015" t="str">
        <f>[2]分摊!B301</f>
        <v>车位296</v>
      </c>
      <c r="C299" s="3017">
        <f>[2]分摊!C301</f>
        <v>12.72</v>
      </c>
      <c r="D299" s="3018">
        <f>[2]分摊!H301</f>
        <v>24.67</v>
      </c>
      <c r="E299" s="3017">
        <f t="shared" si="4"/>
        <v>37.39</v>
      </c>
    </row>
    <row r="300" spans="1:5" ht="19.95" customHeight="1">
      <c r="A300" s="3020"/>
      <c r="B300" s="3015" t="str">
        <f>[2]分摊!B302</f>
        <v>车位297</v>
      </c>
      <c r="C300" s="3017">
        <f>[2]分摊!C302</f>
        <v>12.72</v>
      </c>
      <c r="D300" s="3018">
        <f>[2]分摊!H302</f>
        <v>24.67</v>
      </c>
      <c r="E300" s="3017">
        <f t="shared" si="4"/>
        <v>37.39</v>
      </c>
    </row>
    <row r="301" spans="1:5" ht="19.95" customHeight="1">
      <c r="A301" s="3020"/>
      <c r="B301" s="3015" t="str">
        <f>[2]分摊!B303</f>
        <v>车位298</v>
      </c>
      <c r="C301" s="3017">
        <f>[2]分摊!C303</f>
        <v>25.44</v>
      </c>
      <c r="D301" s="3018">
        <f>[2]分摊!H303</f>
        <v>49.33</v>
      </c>
      <c r="E301" s="3017">
        <f t="shared" si="4"/>
        <v>74.77</v>
      </c>
    </row>
    <row r="302" spans="1:5" ht="19.95" customHeight="1">
      <c r="A302" s="3020"/>
      <c r="B302" s="3015" t="str">
        <f>[2]分摊!B304</f>
        <v>车位299</v>
      </c>
      <c r="C302" s="3017">
        <f>[2]分摊!C304</f>
        <v>25.44</v>
      </c>
      <c r="D302" s="3018">
        <f>[2]分摊!H304</f>
        <v>49.33</v>
      </c>
      <c r="E302" s="3017">
        <f t="shared" si="4"/>
        <v>74.77</v>
      </c>
    </row>
    <row r="303" spans="1:5" ht="19.95" customHeight="1">
      <c r="A303" s="3020"/>
      <c r="B303" s="3015" t="str">
        <f>[2]分摊!B305</f>
        <v>车位300</v>
      </c>
      <c r="C303" s="3017">
        <f>[2]分摊!C305</f>
        <v>12.72</v>
      </c>
      <c r="D303" s="3018">
        <f>[2]分摊!H305</f>
        <v>24.67</v>
      </c>
      <c r="E303" s="3017">
        <f t="shared" si="4"/>
        <v>37.39</v>
      </c>
    </row>
    <row r="304" spans="1:5" ht="19.95" customHeight="1">
      <c r="A304" s="3020"/>
      <c r="B304" s="3015" t="str">
        <f>[2]分摊!B306</f>
        <v>车位301</v>
      </c>
      <c r="C304" s="3017">
        <f>[2]分摊!C306</f>
        <v>12.72</v>
      </c>
      <c r="D304" s="3018">
        <f>[2]分摊!H306</f>
        <v>24.67</v>
      </c>
      <c r="E304" s="3017">
        <f t="shared" si="4"/>
        <v>37.39</v>
      </c>
    </row>
    <row r="305" spans="1:5" ht="19.95" customHeight="1">
      <c r="A305" s="3020"/>
      <c r="B305" s="3015" t="str">
        <f>[2]分摊!B307</f>
        <v>车位302</v>
      </c>
      <c r="C305" s="3017">
        <f>[2]分摊!C307</f>
        <v>12.72</v>
      </c>
      <c r="D305" s="3018">
        <f>[2]分摊!H307</f>
        <v>24.67</v>
      </c>
      <c r="E305" s="3017">
        <f t="shared" si="4"/>
        <v>37.39</v>
      </c>
    </row>
    <row r="306" spans="1:5" ht="19.95" customHeight="1">
      <c r="A306" s="3020"/>
      <c r="B306" s="3015" t="str">
        <f>[2]分摊!B308</f>
        <v>车位303</v>
      </c>
      <c r="C306" s="3017">
        <f>[2]分摊!C308</f>
        <v>25.44</v>
      </c>
      <c r="D306" s="3018">
        <f>[2]分摊!H308</f>
        <v>49.33</v>
      </c>
      <c r="E306" s="3017">
        <f t="shared" si="4"/>
        <v>74.77</v>
      </c>
    </row>
    <row r="307" spans="1:5" ht="19.95" customHeight="1">
      <c r="A307" s="3020"/>
      <c r="B307" s="3015" t="str">
        <f>[2]分摊!B309</f>
        <v>车位304</v>
      </c>
      <c r="C307" s="3017">
        <f>[2]分摊!C309</f>
        <v>25.44</v>
      </c>
      <c r="D307" s="3018">
        <f>[2]分摊!H309</f>
        <v>49.33</v>
      </c>
      <c r="E307" s="3017">
        <f t="shared" si="4"/>
        <v>74.77</v>
      </c>
    </row>
    <row r="308" spans="1:5" ht="19.95" customHeight="1">
      <c r="A308" s="3020"/>
      <c r="B308" s="3015" t="str">
        <f>[2]分摊!B310</f>
        <v>车位305</v>
      </c>
      <c r="C308" s="3017">
        <f>[2]分摊!C310</f>
        <v>12.72</v>
      </c>
      <c r="D308" s="3018">
        <f>[2]分摊!H310</f>
        <v>24.67</v>
      </c>
      <c r="E308" s="3017">
        <f t="shared" si="4"/>
        <v>37.39</v>
      </c>
    </row>
    <row r="309" spans="1:5" ht="19.95" customHeight="1">
      <c r="A309" s="3020"/>
      <c r="B309" s="3015" t="str">
        <f>[2]分摊!B311</f>
        <v>车位306</v>
      </c>
      <c r="C309" s="3017">
        <f>[2]分摊!C311</f>
        <v>12.72</v>
      </c>
      <c r="D309" s="3018">
        <f>[2]分摊!H311</f>
        <v>24.67</v>
      </c>
      <c r="E309" s="3017">
        <f t="shared" si="4"/>
        <v>37.39</v>
      </c>
    </row>
    <row r="310" spans="1:5" ht="19.95" customHeight="1">
      <c r="A310" s="3020"/>
      <c r="B310" s="3015" t="str">
        <f>[2]分摊!B312</f>
        <v>车位307</v>
      </c>
      <c r="C310" s="3017">
        <f>[2]分摊!C312</f>
        <v>12.72</v>
      </c>
      <c r="D310" s="3018">
        <f>[2]分摊!H312</f>
        <v>24.67</v>
      </c>
      <c r="E310" s="3017">
        <f t="shared" si="4"/>
        <v>37.39</v>
      </c>
    </row>
    <row r="311" spans="1:5" ht="19.95" customHeight="1">
      <c r="A311" s="3020"/>
      <c r="B311" s="3015" t="str">
        <f>[2]分摊!B313</f>
        <v>车位308</v>
      </c>
      <c r="C311" s="3017">
        <f>[2]分摊!C313</f>
        <v>25.44</v>
      </c>
      <c r="D311" s="3018">
        <f>[2]分摊!H313</f>
        <v>49.33</v>
      </c>
      <c r="E311" s="3017">
        <f t="shared" si="4"/>
        <v>74.77</v>
      </c>
    </row>
    <row r="312" spans="1:5" ht="19.95" customHeight="1">
      <c r="A312" s="3020"/>
      <c r="B312" s="3015" t="str">
        <f>[2]分摊!B314</f>
        <v>车位309</v>
      </c>
      <c r="C312" s="3017">
        <f>[2]分摊!C314</f>
        <v>25.44</v>
      </c>
      <c r="D312" s="3018">
        <f>[2]分摊!H314</f>
        <v>49.33</v>
      </c>
      <c r="E312" s="3017">
        <f t="shared" si="4"/>
        <v>74.77</v>
      </c>
    </row>
    <row r="313" spans="1:5" ht="19.95" customHeight="1">
      <c r="A313" s="3020"/>
      <c r="B313" s="3015" t="str">
        <f>[2]分摊!B315</f>
        <v>车位310</v>
      </c>
      <c r="C313" s="3017">
        <f>[2]分摊!C315</f>
        <v>12.72</v>
      </c>
      <c r="D313" s="3018">
        <f>[2]分摊!H315</f>
        <v>24.67</v>
      </c>
      <c r="E313" s="3017">
        <f t="shared" si="4"/>
        <v>37.39</v>
      </c>
    </row>
    <row r="314" spans="1:5" ht="19.95" customHeight="1">
      <c r="A314" s="3020"/>
      <c r="B314" s="3015" t="str">
        <f>[2]分摊!B316</f>
        <v>车位311</v>
      </c>
      <c r="C314" s="3017">
        <f>[2]分摊!C316</f>
        <v>12.72</v>
      </c>
      <c r="D314" s="3018">
        <f>[2]分摊!H316</f>
        <v>24.67</v>
      </c>
      <c r="E314" s="3017">
        <f t="shared" si="4"/>
        <v>37.39</v>
      </c>
    </row>
    <row r="315" spans="1:5" ht="19.95" customHeight="1">
      <c r="A315" s="3020"/>
      <c r="B315" s="3015" t="str">
        <f>[2]分摊!B317</f>
        <v>车位312</v>
      </c>
      <c r="C315" s="3017">
        <f>[2]分摊!C317</f>
        <v>25.44</v>
      </c>
      <c r="D315" s="3018">
        <f>[2]分摊!H317</f>
        <v>49.33</v>
      </c>
      <c r="E315" s="3017">
        <f t="shared" si="4"/>
        <v>74.77</v>
      </c>
    </row>
    <row r="316" spans="1:5" ht="19.95" customHeight="1">
      <c r="A316" s="3020"/>
      <c r="B316" s="3015" t="str">
        <f>[2]分摊!B318</f>
        <v>车位313</v>
      </c>
      <c r="C316" s="3017">
        <f>[2]分摊!C318</f>
        <v>25.44</v>
      </c>
      <c r="D316" s="3018">
        <f>[2]分摊!H318</f>
        <v>49.33</v>
      </c>
      <c r="E316" s="3017">
        <f t="shared" si="4"/>
        <v>74.77</v>
      </c>
    </row>
    <row r="317" spans="1:5" ht="19.95" customHeight="1">
      <c r="A317" s="3020"/>
      <c r="B317" s="3015" t="str">
        <f>[2]分摊!B319</f>
        <v>车位314</v>
      </c>
      <c r="C317" s="3017">
        <f>[2]分摊!C319</f>
        <v>12.72</v>
      </c>
      <c r="D317" s="3018">
        <f>[2]分摊!H319</f>
        <v>24.67</v>
      </c>
      <c r="E317" s="3017">
        <f t="shared" si="4"/>
        <v>37.39</v>
      </c>
    </row>
    <row r="318" spans="1:5" ht="19.95" customHeight="1">
      <c r="A318" s="3020"/>
      <c r="B318" s="3015" t="str">
        <f>[2]分摊!B320</f>
        <v>车位315</v>
      </c>
      <c r="C318" s="3017">
        <f>[2]分摊!C320</f>
        <v>12.72</v>
      </c>
      <c r="D318" s="3018">
        <f>[2]分摊!H320</f>
        <v>24.67</v>
      </c>
      <c r="E318" s="3017">
        <f t="shared" si="4"/>
        <v>37.39</v>
      </c>
    </row>
    <row r="319" spans="1:5" ht="19.95" customHeight="1">
      <c r="A319" s="3020"/>
      <c r="B319" s="3015" t="str">
        <f>[2]分摊!B321</f>
        <v>车位316</v>
      </c>
      <c r="C319" s="3017">
        <f>[2]分摊!C321</f>
        <v>12.72</v>
      </c>
      <c r="D319" s="3018">
        <f>[2]分摊!H321</f>
        <v>24.67</v>
      </c>
      <c r="E319" s="3017">
        <f t="shared" si="4"/>
        <v>37.39</v>
      </c>
    </row>
    <row r="320" spans="1:5" ht="19.95" customHeight="1">
      <c r="A320" s="3020"/>
      <c r="B320" s="3015" t="str">
        <f>[2]分摊!B322</f>
        <v>车位317</v>
      </c>
      <c r="C320" s="3017">
        <f>[2]分摊!C322</f>
        <v>25.44</v>
      </c>
      <c r="D320" s="3018">
        <f>[2]分摊!H322</f>
        <v>49.33</v>
      </c>
      <c r="E320" s="3017">
        <f t="shared" si="4"/>
        <v>74.77</v>
      </c>
    </row>
    <row r="321" spans="1:5" ht="19.95" customHeight="1">
      <c r="A321" s="3020"/>
      <c r="B321" s="3015" t="str">
        <f>[2]分摊!B323</f>
        <v>车位318</v>
      </c>
      <c r="C321" s="3017">
        <f>[2]分摊!C323</f>
        <v>25.44</v>
      </c>
      <c r="D321" s="3018">
        <f>[2]分摊!H323</f>
        <v>49.33</v>
      </c>
      <c r="E321" s="3017">
        <f t="shared" si="4"/>
        <v>74.77</v>
      </c>
    </row>
    <row r="322" spans="1:5" ht="19.95" customHeight="1">
      <c r="A322" s="3020"/>
      <c r="B322" s="3015" t="str">
        <f>[2]分摊!B324</f>
        <v>车位319</v>
      </c>
      <c r="C322" s="3017">
        <f>[2]分摊!C324</f>
        <v>12.72</v>
      </c>
      <c r="D322" s="3018">
        <f>[2]分摊!H324</f>
        <v>24.67</v>
      </c>
      <c r="E322" s="3017">
        <f t="shared" si="4"/>
        <v>37.39</v>
      </c>
    </row>
    <row r="323" spans="1:5" ht="19.95" customHeight="1">
      <c r="A323" s="3020"/>
      <c r="B323" s="3015" t="str">
        <f>[2]分摊!B325</f>
        <v>车位320</v>
      </c>
      <c r="C323" s="3017">
        <f>[2]分摊!C325</f>
        <v>12.72</v>
      </c>
      <c r="D323" s="3018">
        <f>[2]分摊!H325</f>
        <v>24.67</v>
      </c>
      <c r="E323" s="3017">
        <f t="shared" si="4"/>
        <v>37.39</v>
      </c>
    </row>
    <row r="324" spans="1:5" ht="19.95" customHeight="1">
      <c r="A324" s="3020"/>
      <c r="B324" s="3015" t="str">
        <f>[2]分摊!B326</f>
        <v>车位321</v>
      </c>
      <c r="C324" s="3017">
        <f>[2]分摊!C326</f>
        <v>12.72</v>
      </c>
      <c r="D324" s="3018">
        <f>[2]分摊!H326</f>
        <v>24.67</v>
      </c>
      <c r="E324" s="3017">
        <f t="shared" si="4"/>
        <v>37.39</v>
      </c>
    </row>
    <row r="325" spans="1:5" ht="19.95" customHeight="1">
      <c r="A325" s="3020"/>
      <c r="B325" s="3015" t="str">
        <f>[2]分摊!B327</f>
        <v>车位322</v>
      </c>
      <c r="C325" s="3017">
        <f>[2]分摊!C327</f>
        <v>25.44</v>
      </c>
      <c r="D325" s="3018">
        <f>[2]分摊!H327</f>
        <v>49.33</v>
      </c>
      <c r="E325" s="3017">
        <f t="shared" ref="E325:E388" si="5">SUM(C325:D325)</f>
        <v>74.77</v>
      </c>
    </row>
    <row r="326" spans="1:5" ht="19.95" customHeight="1">
      <c r="A326" s="3020"/>
      <c r="B326" s="3015" t="str">
        <f>[2]分摊!B328</f>
        <v>车位323</v>
      </c>
      <c r="C326" s="3017">
        <f>[2]分摊!C328</f>
        <v>25.44</v>
      </c>
      <c r="D326" s="3018">
        <f>[2]分摊!H328</f>
        <v>49.33</v>
      </c>
      <c r="E326" s="3017">
        <f t="shared" si="5"/>
        <v>74.77</v>
      </c>
    </row>
    <row r="327" spans="1:5" ht="19.95" customHeight="1">
      <c r="A327" s="3020"/>
      <c r="B327" s="3015" t="str">
        <f>[2]分摊!B329</f>
        <v>车位324</v>
      </c>
      <c r="C327" s="3017">
        <f>[2]分摊!C329</f>
        <v>12.72</v>
      </c>
      <c r="D327" s="3018">
        <f>[2]分摊!H329</f>
        <v>24.67</v>
      </c>
      <c r="E327" s="3017">
        <f t="shared" si="5"/>
        <v>37.39</v>
      </c>
    </row>
    <row r="328" spans="1:5" ht="19.95" customHeight="1">
      <c r="A328" s="3020"/>
      <c r="B328" s="3015" t="str">
        <f>[2]分摊!B330</f>
        <v>车位325</v>
      </c>
      <c r="C328" s="3017">
        <f>[2]分摊!C330</f>
        <v>12.72</v>
      </c>
      <c r="D328" s="3018">
        <f>[2]分摊!H330</f>
        <v>24.67</v>
      </c>
      <c r="E328" s="3017">
        <f t="shared" si="5"/>
        <v>37.39</v>
      </c>
    </row>
    <row r="329" spans="1:5" ht="19.95" customHeight="1">
      <c r="A329" s="3020"/>
      <c r="B329" s="3015" t="str">
        <f>[2]分摊!B331</f>
        <v>车位326</v>
      </c>
      <c r="C329" s="3017">
        <f>[2]分摊!C331</f>
        <v>12.72</v>
      </c>
      <c r="D329" s="3018">
        <f>[2]分摊!H331</f>
        <v>24.67</v>
      </c>
      <c r="E329" s="3017">
        <f t="shared" si="5"/>
        <v>37.39</v>
      </c>
    </row>
    <row r="330" spans="1:5" ht="19.95" customHeight="1">
      <c r="A330" s="3020"/>
      <c r="B330" s="3015" t="str">
        <f>[2]分摊!B332</f>
        <v>车位327</v>
      </c>
      <c r="C330" s="3017">
        <f>[2]分摊!C332</f>
        <v>25.44</v>
      </c>
      <c r="D330" s="3018">
        <f>[2]分摊!H332</f>
        <v>49.33</v>
      </c>
      <c r="E330" s="3017">
        <f t="shared" si="5"/>
        <v>74.77</v>
      </c>
    </row>
    <row r="331" spans="1:5" ht="19.95" customHeight="1">
      <c r="A331" s="3020"/>
      <c r="B331" s="3015" t="str">
        <f>[2]分摊!B333</f>
        <v>车位328</v>
      </c>
      <c r="C331" s="3017">
        <f>[2]分摊!C333</f>
        <v>25.44</v>
      </c>
      <c r="D331" s="3018">
        <f>[2]分摊!H333</f>
        <v>49.33</v>
      </c>
      <c r="E331" s="3017">
        <f t="shared" si="5"/>
        <v>74.77</v>
      </c>
    </row>
    <row r="332" spans="1:5" ht="19.95" customHeight="1">
      <c r="A332" s="3020"/>
      <c r="B332" s="3015" t="str">
        <f>[2]分摊!B334</f>
        <v>车位329</v>
      </c>
      <c r="C332" s="3017">
        <f>[2]分摊!C334</f>
        <v>12.72</v>
      </c>
      <c r="D332" s="3018">
        <f>[2]分摊!H334</f>
        <v>24.67</v>
      </c>
      <c r="E332" s="3017">
        <f t="shared" si="5"/>
        <v>37.39</v>
      </c>
    </row>
    <row r="333" spans="1:5" ht="19.95" customHeight="1">
      <c r="A333" s="3020"/>
      <c r="B333" s="3015" t="str">
        <f>[2]分摊!B335</f>
        <v>车位330</v>
      </c>
      <c r="C333" s="3017">
        <f>[2]分摊!C335</f>
        <v>12.72</v>
      </c>
      <c r="D333" s="3018">
        <f>[2]分摊!H335</f>
        <v>24.67</v>
      </c>
      <c r="E333" s="3017">
        <f t="shared" si="5"/>
        <v>37.39</v>
      </c>
    </row>
    <row r="334" spans="1:5" ht="19.95" customHeight="1">
      <c r="A334" s="3020"/>
      <c r="B334" s="3015" t="str">
        <f>[2]分摊!B336</f>
        <v>车位331</v>
      </c>
      <c r="C334" s="3017">
        <f>[2]分摊!C336</f>
        <v>12.72</v>
      </c>
      <c r="D334" s="3018">
        <f>[2]分摊!H336</f>
        <v>24.67</v>
      </c>
      <c r="E334" s="3017">
        <f t="shared" si="5"/>
        <v>37.39</v>
      </c>
    </row>
    <row r="335" spans="1:5" ht="19.95" customHeight="1">
      <c r="A335" s="3020"/>
      <c r="B335" s="3015" t="str">
        <f>[2]分摊!B337</f>
        <v>车位332</v>
      </c>
      <c r="C335" s="3017">
        <f>[2]分摊!C337</f>
        <v>12.72</v>
      </c>
      <c r="D335" s="3018">
        <f>[2]分摊!H337</f>
        <v>24.67</v>
      </c>
      <c r="E335" s="3017">
        <f t="shared" si="5"/>
        <v>37.39</v>
      </c>
    </row>
    <row r="336" spans="1:5" ht="19.95" customHeight="1">
      <c r="A336" s="3020"/>
      <c r="B336" s="3015" t="str">
        <f>[2]分摊!B338</f>
        <v>车位333</v>
      </c>
      <c r="C336" s="3017">
        <f>[2]分摊!C338</f>
        <v>12.72</v>
      </c>
      <c r="D336" s="3018">
        <f>[2]分摊!H338</f>
        <v>24.67</v>
      </c>
      <c r="E336" s="3017">
        <f t="shared" si="5"/>
        <v>37.39</v>
      </c>
    </row>
    <row r="337" spans="1:5" ht="19.95" customHeight="1">
      <c r="A337" s="3020"/>
      <c r="B337" s="3015" t="str">
        <f>[2]分摊!B339</f>
        <v>车位334</v>
      </c>
      <c r="C337" s="3017">
        <f>[2]分摊!C339</f>
        <v>12.72</v>
      </c>
      <c r="D337" s="3018">
        <f>[2]分摊!H339</f>
        <v>24.67</v>
      </c>
      <c r="E337" s="3017">
        <f t="shared" si="5"/>
        <v>37.39</v>
      </c>
    </row>
    <row r="338" spans="1:5" ht="19.95" customHeight="1">
      <c r="A338" s="3020"/>
      <c r="B338" s="3015" t="str">
        <f>[2]分摊!B340</f>
        <v>车位335</v>
      </c>
      <c r="C338" s="3017">
        <f>[2]分摊!C340</f>
        <v>12.72</v>
      </c>
      <c r="D338" s="3018">
        <f>[2]分摊!H340</f>
        <v>24.67</v>
      </c>
      <c r="E338" s="3017">
        <f t="shared" si="5"/>
        <v>37.39</v>
      </c>
    </row>
    <row r="339" spans="1:5" ht="19.95" customHeight="1">
      <c r="A339" s="3020"/>
      <c r="B339" s="3015" t="str">
        <f>[2]分摊!B341</f>
        <v>车位336</v>
      </c>
      <c r="C339" s="3017">
        <f>[2]分摊!C341</f>
        <v>12.72</v>
      </c>
      <c r="D339" s="3018">
        <f>[2]分摊!H341</f>
        <v>24.67</v>
      </c>
      <c r="E339" s="3017">
        <f t="shared" si="5"/>
        <v>37.39</v>
      </c>
    </row>
    <row r="340" spans="1:5" ht="19.95" customHeight="1">
      <c r="A340" s="3020"/>
      <c r="B340" s="3015" t="str">
        <f>[2]分摊!B342</f>
        <v>车位337</v>
      </c>
      <c r="C340" s="3017">
        <f>[2]分摊!C342</f>
        <v>12.72</v>
      </c>
      <c r="D340" s="3018">
        <f>[2]分摊!H342</f>
        <v>24.67</v>
      </c>
      <c r="E340" s="3017">
        <f t="shared" si="5"/>
        <v>37.39</v>
      </c>
    </row>
    <row r="341" spans="1:5" ht="19.95" customHeight="1">
      <c r="A341" s="3020"/>
      <c r="B341" s="3015" t="str">
        <f>[2]分摊!B343</f>
        <v>车位338</v>
      </c>
      <c r="C341" s="3017">
        <f>[2]分摊!C343</f>
        <v>12.72</v>
      </c>
      <c r="D341" s="3018">
        <f>[2]分摊!H343</f>
        <v>24.67</v>
      </c>
      <c r="E341" s="3017">
        <f t="shared" si="5"/>
        <v>37.39</v>
      </c>
    </row>
    <row r="342" spans="1:5" ht="19.95" customHeight="1">
      <c r="A342" s="3020"/>
      <c r="B342" s="3015" t="str">
        <f>[2]分摊!B344</f>
        <v>车位339</v>
      </c>
      <c r="C342" s="3017">
        <f>[2]分摊!C344</f>
        <v>12.72</v>
      </c>
      <c r="D342" s="3018">
        <f>[2]分摊!H344</f>
        <v>24.67</v>
      </c>
      <c r="E342" s="3017">
        <f t="shared" si="5"/>
        <v>37.39</v>
      </c>
    </row>
    <row r="343" spans="1:5" ht="19.95" customHeight="1">
      <c r="A343" s="3020"/>
      <c r="B343" s="3015" t="str">
        <f>[2]分摊!B345</f>
        <v>车位340</v>
      </c>
      <c r="C343" s="3017">
        <f>[2]分摊!C345</f>
        <v>12.72</v>
      </c>
      <c r="D343" s="3018">
        <f>[2]分摊!H345</f>
        <v>24.67</v>
      </c>
      <c r="E343" s="3017">
        <f t="shared" si="5"/>
        <v>37.39</v>
      </c>
    </row>
    <row r="344" spans="1:5" ht="19.95" customHeight="1">
      <c r="A344" s="3020"/>
      <c r="B344" s="3015" t="str">
        <f>[2]分摊!B346</f>
        <v>车位341</v>
      </c>
      <c r="C344" s="3017">
        <f>[2]分摊!C346</f>
        <v>12.72</v>
      </c>
      <c r="D344" s="3018">
        <f>[2]分摊!H346</f>
        <v>24.67</v>
      </c>
      <c r="E344" s="3017">
        <f t="shared" si="5"/>
        <v>37.39</v>
      </c>
    </row>
    <row r="345" spans="1:5" ht="19.95" customHeight="1">
      <c r="A345" s="3020"/>
      <c r="B345" s="3015" t="str">
        <f>[2]分摊!B347</f>
        <v>车位342</v>
      </c>
      <c r="C345" s="3017">
        <f>[2]分摊!C347</f>
        <v>12.72</v>
      </c>
      <c r="D345" s="3018">
        <f>[2]分摊!H347</f>
        <v>24.67</v>
      </c>
      <c r="E345" s="3017">
        <f t="shared" si="5"/>
        <v>37.39</v>
      </c>
    </row>
    <row r="346" spans="1:5" ht="19.95" customHeight="1">
      <c r="A346" s="3020"/>
      <c r="B346" s="3015" t="str">
        <f>[2]分摊!B348</f>
        <v>车位343</v>
      </c>
      <c r="C346" s="3017">
        <f>[2]分摊!C348</f>
        <v>12.72</v>
      </c>
      <c r="D346" s="3018">
        <f>[2]分摊!H348</f>
        <v>24.67</v>
      </c>
      <c r="E346" s="3017">
        <f t="shared" si="5"/>
        <v>37.39</v>
      </c>
    </row>
    <row r="347" spans="1:5" ht="19.95" customHeight="1">
      <c r="A347" s="3020"/>
      <c r="B347" s="3015" t="str">
        <f>[2]分摊!B349</f>
        <v>车位344</v>
      </c>
      <c r="C347" s="3017">
        <f>[2]分摊!C349</f>
        <v>12.72</v>
      </c>
      <c r="D347" s="3018">
        <f>[2]分摊!H349</f>
        <v>24.67</v>
      </c>
      <c r="E347" s="3017">
        <f t="shared" si="5"/>
        <v>37.39</v>
      </c>
    </row>
    <row r="348" spans="1:5" ht="19.95" customHeight="1">
      <c r="A348" s="3020"/>
      <c r="B348" s="3015" t="str">
        <f>[2]分摊!B350</f>
        <v>车位345</v>
      </c>
      <c r="C348" s="3017">
        <f>[2]分摊!C350</f>
        <v>12.72</v>
      </c>
      <c r="D348" s="3018">
        <f>[2]分摊!H350</f>
        <v>24.67</v>
      </c>
      <c r="E348" s="3017">
        <f t="shared" si="5"/>
        <v>37.39</v>
      </c>
    </row>
    <row r="349" spans="1:5" ht="19.95" customHeight="1">
      <c r="A349" s="3020"/>
      <c r="B349" s="3015" t="str">
        <f>[2]分摊!B351</f>
        <v>车位346</v>
      </c>
      <c r="C349" s="3017">
        <f>[2]分摊!C351</f>
        <v>12.72</v>
      </c>
      <c r="D349" s="3018">
        <f>[2]分摊!H351</f>
        <v>24.67</v>
      </c>
      <c r="E349" s="3017">
        <f t="shared" si="5"/>
        <v>37.39</v>
      </c>
    </row>
    <row r="350" spans="1:5" ht="19.95" customHeight="1">
      <c r="A350" s="3020"/>
      <c r="B350" s="3015" t="str">
        <f>[2]分摊!B352</f>
        <v>车位347</v>
      </c>
      <c r="C350" s="3017">
        <f>[2]分摊!C352</f>
        <v>12.72</v>
      </c>
      <c r="D350" s="3018">
        <f>[2]分摊!H352</f>
        <v>24.67</v>
      </c>
      <c r="E350" s="3017">
        <f t="shared" si="5"/>
        <v>37.39</v>
      </c>
    </row>
    <row r="351" spans="1:5" ht="19.95" customHeight="1">
      <c r="A351" s="3020"/>
      <c r="B351" s="3015" t="str">
        <f>[2]分摊!B353</f>
        <v>车位348</v>
      </c>
      <c r="C351" s="3017">
        <f>[2]分摊!C353</f>
        <v>12.72</v>
      </c>
      <c r="D351" s="3018">
        <f>[2]分摊!H353</f>
        <v>24.67</v>
      </c>
      <c r="E351" s="3017">
        <f t="shared" si="5"/>
        <v>37.39</v>
      </c>
    </row>
    <row r="352" spans="1:5" ht="19.95" customHeight="1">
      <c r="A352" s="3020"/>
      <c r="B352" s="3015" t="str">
        <f>[2]分摊!B354</f>
        <v>车位349</v>
      </c>
      <c r="C352" s="3017">
        <f>[2]分摊!C354</f>
        <v>12.72</v>
      </c>
      <c r="D352" s="3018">
        <f>[2]分摊!H354</f>
        <v>24.67</v>
      </c>
      <c r="E352" s="3017">
        <f t="shared" si="5"/>
        <v>37.39</v>
      </c>
    </row>
    <row r="353" spans="1:5" ht="19.95" customHeight="1">
      <c r="A353" s="3020"/>
      <c r="B353" s="3015" t="str">
        <f>[2]分摊!B355</f>
        <v>车位350</v>
      </c>
      <c r="C353" s="3017">
        <f>[2]分摊!C355</f>
        <v>12.72</v>
      </c>
      <c r="D353" s="3018">
        <f>[2]分摊!H355</f>
        <v>24.67</v>
      </c>
      <c r="E353" s="3017">
        <f t="shared" si="5"/>
        <v>37.39</v>
      </c>
    </row>
    <row r="354" spans="1:5" ht="19.95" customHeight="1">
      <c r="A354" s="3020"/>
      <c r="B354" s="3015" t="str">
        <f>[2]分摊!B356</f>
        <v>车位351</v>
      </c>
      <c r="C354" s="3017">
        <f>[2]分摊!C356</f>
        <v>12.72</v>
      </c>
      <c r="D354" s="3018">
        <f>[2]分摊!H356</f>
        <v>24.67</v>
      </c>
      <c r="E354" s="3017">
        <f t="shared" si="5"/>
        <v>37.39</v>
      </c>
    </row>
    <row r="355" spans="1:5" ht="19.95" customHeight="1">
      <c r="A355" s="3020"/>
      <c r="B355" s="3015" t="str">
        <f>[2]分摊!B357</f>
        <v>车位352</v>
      </c>
      <c r="C355" s="3017">
        <f>[2]分摊!C357</f>
        <v>12.72</v>
      </c>
      <c r="D355" s="3018">
        <f>[2]分摊!H357</f>
        <v>24.67</v>
      </c>
      <c r="E355" s="3017">
        <f t="shared" si="5"/>
        <v>37.39</v>
      </c>
    </row>
    <row r="356" spans="1:5" ht="19.95" customHeight="1">
      <c r="A356" s="3020"/>
      <c r="B356" s="3015" t="str">
        <f>[2]分摊!B358</f>
        <v>车位353</v>
      </c>
      <c r="C356" s="3017">
        <f>[2]分摊!C358</f>
        <v>12.72</v>
      </c>
      <c r="D356" s="3018">
        <f>[2]分摊!H358</f>
        <v>24.67</v>
      </c>
      <c r="E356" s="3017">
        <f t="shared" si="5"/>
        <v>37.39</v>
      </c>
    </row>
    <row r="357" spans="1:5" ht="19.95" customHeight="1">
      <c r="A357" s="3020"/>
      <c r="B357" s="3015" t="str">
        <f>[2]分摊!B359</f>
        <v>车位354</v>
      </c>
      <c r="C357" s="3017">
        <f>[2]分摊!C359</f>
        <v>12.72</v>
      </c>
      <c r="D357" s="3018">
        <f>[2]分摊!H359</f>
        <v>24.67</v>
      </c>
      <c r="E357" s="3017">
        <f t="shared" si="5"/>
        <v>37.39</v>
      </c>
    </row>
    <row r="358" spans="1:5" ht="19.95" customHeight="1">
      <c r="A358" s="3020"/>
      <c r="B358" s="3015" t="str">
        <f>[2]分摊!B360</f>
        <v>车位355</v>
      </c>
      <c r="C358" s="3017">
        <f>[2]分摊!C360</f>
        <v>12.72</v>
      </c>
      <c r="D358" s="3018">
        <f>[2]分摊!H360</f>
        <v>24.67</v>
      </c>
      <c r="E358" s="3017">
        <f t="shared" si="5"/>
        <v>37.39</v>
      </c>
    </row>
    <row r="359" spans="1:5" ht="19.95" customHeight="1">
      <c r="A359" s="3020"/>
      <c r="B359" s="3015" t="str">
        <f>[2]分摊!B361</f>
        <v>车位356</v>
      </c>
      <c r="C359" s="3017">
        <f>[2]分摊!C361</f>
        <v>12.72</v>
      </c>
      <c r="D359" s="3018">
        <f>[2]分摊!H361</f>
        <v>24.67</v>
      </c>
      <c r="E359" s="3017">
        <f t="shared" si="5"/>
        <v>37.39</v>
      </c>
    </row>
    <row r="360" spans="1:5" ht="19.95" customHeight="1">
      <c r="A360" s="3020"/>
      <c r="B360" s="3015" t="str">
        <f>[2]分摊!B362</f>
        <v>车位357</v>
      </c>
      <c r="C360" s="3017">
        <f>[2]分摊!C362</f>
        <v>25.44</v>
      </c>
      <c r="D360" s="3018">
        <f>[2]分摊!H362</f>
        <v>49.33</v>
      </c>
      <c r="E360" s="3017">
        <f t="shared" si="5"/>
        <v>74.77</v>
      </c>
    </row>
    <row r="361" spans="1:5" ht="19.95" customHeight="1">
      <c r="A361" s="3020"/>
      <c r="B361" s="3015" t="str">
        <f>[2]分摊!B363</f>
        <v>车位358</v>
      </c>
      <c r="C361" s="3017">
        <f>[2]分摊!C363</f>
        <v>25.44</v>
      </c>
      <c r="D361" s="3018">
        <f>[2]分摊!H363</f>
        <v>49.33</v>
      </c>
      <c r="E361" s="3017">
        <f t="shared" si="5"/>
        <v>74.77</v>
      </c>
    </row>
    <row r="362" spans="1:5" ht="19.95" customHeight="1">
      <c r="A362" s="3020"/>
      <c r="B362" s="3015" t="str">
        <f>[2]分摊!B364</f>
        <v>车位359</v>
      </c>
      <c r="C362" s="3017">
        <f>[2]分摊!C364</f>
        <v>12.72</v>
      </c>
      <c r="D362" s="3018">
        <f>[2]分摊!H364</f>
        <v>24.67</v>
      </c>
      <c r="E362" s="3017">
        <f t="shared" si="5"/>
        <v>37.39</v>
      </c>
    </row>
    <row r="363" spans="1:5" ht="19.95" customHeight="1">
      <c r="A363" s="3020"/>
      <c r="B363" s="3015" t="str">
        <f>[2]分摊!B365</f>
        <v>车位360</v>
      </c>
      <c r="C363" s="3017">
        <f>[2]分摊!C365</f>
        <v>12.72</v>
      </c>
      <c r="D363" s="3018">
        <f>[2]分摊!H365</f>
        <v>24.67</v>
      </c>
      <c r="E363" s="3017">
        <f t="shared" si="5"/>
        <v>37.39</v>
      </c>
    </row>
    <row r="364" spans="1:5" ht="19.95" customHeight="1">
      <c r="A364" s="3020"/>
      <c r="B364" s="3015" t="str">
        <f>[2]分摊!B366</f>
        <v>车位361</v>
      </c>
      <c r="C364" s="3017">
        <f>[2]分摊!C366</f>
        <v>12.72</v>
      </c>
      <c r="D364" s="3018">
        <f>[2]分摊!H366</f>
        <v>24.67</v>
      </c>
      <c r="E364" s="3017">
        <f t="shared" si="5"/>
        <v>37.39</v>
      </c>
    </row>
    <row r="365" spans="1:5" ht="19.95" customHeight="1">
      <c r="A365" s="3020"/>
      <c r="B365" s="3015" t="str">
        <f>[2]分摊!B367</f>
        <v>车位362</v>
      </c>
      <c r="C365" s="3017">
        <f>[2]分摊!C367</f>
        <v>25.44</v>
      </c>
      <c r="D365" s="3018">
        <f>[2]分摊!H367</f>
        <v>49.33</v>
      </c>
      <c r="E365" s="3017">
        <f t="shared" si="5"/>
        <v>74.77</v>
      </c>
    </row>
    <row r="366" spans="1:5" ht="19.95" customHeight="1">
      <c r="A366" s="3020"/>
      <c r="B366" s="3015" t="str">
        <f>[2]分摊!B368</f>
        <v>车位363</v>
      </c>
      <c r="C366" s="3017">
        <f>[2]分摊!C368</f>
        <v>25.44</v>
      </c>
      <c r="D366" s="3018">
        <f>[2]分摊!H368</f>
        <v>49.33</v>
      </c>
      <c r="E366" s="3017">
        <f t="shared" si="5"/>
        <v>74.77</v>
      </c>
    </row>
    <row r="367" spans="1:5" ht="19.95" customHeight="1">
      <c r="A367" s="3020"/>
      <c r="B367" s="3015" t="str">
        <f>[2]分摊!B369</f>
        <v>车位364</v>
      </c>
      <c r="C367" s="3017">
        <f>[2]分摊!C369</f>
        <v>12.72</v>
      </c>
      <c r="D367" s="3018">
        <f>[2]分摊!H369</f>
        <v>24.67</v>
      </c>
      <c r="E367" s="3017">
        <f t="shared" si="5"/>
        <v>37.39</v>
      </c>
    </row>
    <row r="368" spans="1:5" ht="19.95" customHeight="1">
      <c r="A368" s="3020"/>
      <c r="B368" s="3015" t="str">
        <f>[2]分摊!B370</f>
        <v>车位365</v>
      </c>
      <c r="C368" s="3017">
        <f>[2]分摊!C370</f>
        <v>12.72</v>
      </c>
      <c r="D368" s="3018">
        <f>[2]分摊!H370</f>
        <v>24.67</v>
      </c>
      <c r="E368" s="3017">
        <f t="shared" si="5"/>
        <v>37.39</v>
      </c>
    </row>
    <row r="369" spans="1:5" ht="19.95" customHeight="1">
      <c r="A369" s="3020"/>
      <c r="B369" s="3015" t="str">
        <f>[2]分摊!B371</f>
        <v>车位366</v>
      </c>
      <c r="C369" s="3017">
        <f>[2]分摊!C371</f>
        <v>12.72</v>
      </c>
      <c r="D369" s="3018">
        <f>[2]分摊!H371</f>
        <v>24.67</v>
      </c>
      <c r="E369" s="3017">
        <f t="shared" si="5"/>
        <v>37.39</v>
      </c>
    </row>
    <row r="370" spans="1:5" ht="19.95" customHeight="1">
      <c r="A370" s="3020"/>
      <c r="B370" s="3015" t="str">
        <f>[2]分摊!B372</f>
        <v>车位367</v>
      </c>
      <c r="C370" s="3017">
        <f>[2]分摊!C372</f>
        <v>25.44</v>
      </c>
      <c r="D370" s="3018">
        <f>[2]分摊!H372</f>
        <v>49.33</v>
      </c>
      <c r="E370" s="3017">
        <f t="shared" si="5"/>
        <v>74.77</v>
      </c>
    </row>
    <row r="371" spans="1:5" ht="19.95" customHeight="1">
      <c r="A371" s="3020"/>
      <c r="B371" s="3015" t="str">
        <f>[2]分摊!B373</f>
        <v>车位368</v>
      </c>
      <c r="C371" s="3017">
        <f>[2]分摊!C373</f>
        <v>25.44</v>
      </c>
      <c r="D371" s="3018">
        <f>[2]分摊!H373</f>
        <v>49.33</v>
      </c>
      <c r="E371" s="3017">
        <f t="shared" si="5"/>
        <v>74.77</v>
      </c>
    </row>
    <row r="372" spans="1:5" ht="19.95" customHeight="1">
      <c r="A372" s="3020"/>
      <c r="B372" s="3015" t="str">
        <f>[2]分摊!B374</f>
        <v>车位369</v>
      </c>
      <c r="C372" s="3017">
        <f>[2]分摊!C374</f>
        <v>25.44</v>
      </c>
      <c r="D372" s="3018">
        <f>[2]分摊!H374</f>
        <v>49.33</v>
      </c>
      <c r="E372" s="3017">
        <f t="shared" si="5"/>
        <v>74.77</v>
      </c>
    </row>
    <row r="373" spans="1:5" ht="19.95" customHeight="1">
      <c r="A373" s="3020"/>
      <c r="B373" s="3015" t="str">
        <f>[2]分摊!B375</f>
        <v>车位370</v>
      </c>
      <c r="C373" s="3017">
        <f>[2]分摊!C375</f>
        <v>25.44</v>
      </c>
      <c r="D373" s="3018">
        <f>[2]分摊!H375</f>
        <v>49.33</v>
      </c>
      <c r="E373" s="3017">
        <f t="shared" si="5"/>
        <v>74.77</v>
      </c>
    </row>
    <row r="374" spans="1:5" ht="19.95" customHeight="1">
      <c r="A374" s="3020"/>
      <c r="B374" s="3015" t="str">
        <f>[2]分摊!B376</f>
        <v>车位371</v>
      </c>
      <c r="C374" s="3017">
        <f>[2]分摊!C376</f>
        <v>12.72</v>
      </c>
      <c r="D374" s="3018">
        <f>[2]分摊!H376</f>
        <v>24.67</v>
      </c>
      <c r="E374" s="3017">
        <f t="shared" si="5"/>
        <v>37.39</v>
      </c>
    </row>
    <row r="375" spans="1:5" ht="19.95" customHeight="1">
      <c r="A375" s="3020"/>
      <c r="B375" s="3015" t="str">
        <f>[2]分摊!B377</f>
        <v>车位372</v>
      </c>
      <c r="C375" s="3017">
        <f>[2]分摊!C377</f>
        <v>25.44</v>
      </c>
      <c r="D375" s="3018">
        <f>[2]分摊!H377</f>
        <v>49.33</v>
      </c>
      <c r="E375" s="3017">
        <f t="shared" si="5"/>
        <v>74.77</v>
      </c>
    </row>
    <row r="376" spans="1:5" ht="19.95" customHeight="1">
      <c r="A376" s="3020"/>
      <c r="B376" s="3015" t="str">
        <f>[2]分摊!B378</f>
        <v>车位373</v>
      </c>
      <c r="C376" s="3017">
        <f>[2]分摊!C378</f>
        <v>25.44</v>
      </c>
      <c r="D376" s="3018">
        <f>[2]分摊!H378</f>
        <v>49.33</v>
      </c>
      <c r="E376" s="3017">
        <f t="shared" si="5"/>
        <v>74.77</v>
      </c>
    </row>
    <row r="377" spans="1:5" ht="19.95" customHeight="1">
      <c r="A377" s="3020"/>
      <c r="B377" s="3015" t="str">
        <f>[2]分摊!B379</f>
        <v>车位374</v>
      </c>
      <c r="C377" s="3017">
        <f>[2]分摊!C379</f>
        <v>12.72</v>
      </c>
      <c r="D377" s="3018">
        <f>[2]分摊!H379</f>
        <v>24.67</v>
      </c>
      <c r="E377" s="3017">
        <f t="shared" si="5"/>
        <v>37.39</v>
      </c>
    </row>
    <row r="378" spans="1:5" ht="19.95" customHeight="1">
      <c r="A378" s="3020"/>
      <c r="B378" s="3015" t="str">
        <f>[2]分摊!B380</f>
        <v>车位375</v>
      </c>
      <c r="C378" s="3017">
        <f>[2]分摊!C380</f>
        <v>12.72</v>
      </c>
      <c r="D378" s="3018">
        <f>[2]分摊!H380</f>
        <v>24.67</v>
      </c>
      <c r="E378" s="3017">
        <f t="shared" si="5"/>
        <v>37.39</v>
      </c>
    </row>
    <row r="379" spans="1:5" ht="19.95" customHeight="1">
      <c r="A379" s="3020"/>
      <c r="B379" s="3015" t="str">
        <f>[2]分摊!B381</f>
        <v>车位376</v>
      </c>
      <c r="C379" s="3017">
        <f>[2]分摊!C381</f>
        <v>12.72</v>
      </c>
      <c r="D379" s="3018">
        <f>[2]分摊!H381</f>
        <v>24.67</v>
      </c>
      <c r="E379" s="3017">
        <f t="shared" si="5"/>
        <v>37.39</v>
      </c>
    </row>
    <row r="380" spans="1:5" ht="19.95" customHeight="1">
      <c r="A380" s="3020"/>
      <c r="B380" s="3015" t="str">
        <f>[2]分摊!B382</f>
        <v>车位377</v>
      </c>
      <c r="C380" s="3017">
        <f>[2]分摊!C382</f>
        <v>25.44</v>
      </c>
      <c r="D380" s="3018">
        <f>[2]分摊!H382</f>
        <v>49.33</v>
      </c>
      <c r="E380" s="3017">
        <f t="shared" si="5"/>
        <v>74.77</v>
      </c>
    </row>
    <row r="381" spans="1:5" ht="19.95" customHeight="1">
      <c r="A381" s="3020"/>
      <c r="B381" s="3015" t="str">
        <f>[2]分摊!B383</f>
        <v>车位378</v>
      </c>
      <c r="C381" s="3017">
        <f>[2]分摊!C383</f>
        <v>25.44</v>
      </c>
      <c r="D381" s="3018">
        <f>[2]分摊!H383</f>
        <v>49.33</v>
      </c>
      <c r="E381" s="3017">
        <f t="shared" si="5"/>
        <v>74.77</v>
      </c>
    </row>
    <row r="382" spans="1:5" ht="19.95" customHeight="1">
      <c r="A382" s="3020"/>
      <c r="B382" s="3015" t="str">
        <f>[2]分摊!B384</f>
        <v>车位379</v>
      </c>
      <c r="C382" s="3017">
        <f>[2]分摊!C384</f>
        <v>25.44</v>
      </c>
      <c r="D382" s="3018">
        <f>[2]分摊!H384</f>
        <v>49.33</v>
      </c>
      <c r="E382" s="3017">
        <f t="shared" si="5"/>
        <v>74.77</v>
      </c>
    </row>
    <row r="383" spans="1:5" ht="19.95" customHeight="1">
      <c r="A383" s="3020"/>
      <c r="B383" s="3015" t="str">
        <f>[2]分摊!B385</f>
        <v>车位380</v>
      </c>
      <c r="C383" s="3017">
        <f>[2]分摊!C385</f>
        <v>25.44</v>
      </c>
      <c r="D383" s="3018">
        <f>[2]分摊!H385</f>
        <v>49.33</v>
      </c>
      <c r="E383" s="3017">
        <f t="shared" si="5"/>
        <v>74.77</v>
      </c>
    </row>
    <row r="384" spans="1:5" ht="19.95" customHeight="1">
      <c r="A384" s="3020"/>
      <c r="B384" s="3015" t="str">
        <f>[2]分摊!B386</f>
        <v>车位381</v>
      </c>
      <c r="C384" s="3017">
        <f>[2]分摊!C386</f>
        <v>12.72</v>
      </c>
      <c r="D384" s="3018">
        <f>[2]分摊!H386</f>
        <v>24.67</v>
      </c>
      <c r="E384" s="3017">
        <f t="shared" si="5"/>
        <v>37.39</v>
      </c>
    </row>
    <row r="385" spans="1:5" ht="19.95" customHeight="1">
      <c r="A385" s="3020"/>
      <c r="B385" s="3015" t="str">
        <f>[2]分摊!B387</f>
        <v>车位382</v>
      </c>
      <c r="C385" s="3017">
        <f>[2]分摊!C387</f>
        <v>12.72</v>
      </c>
      <c r="D385" s="3018">
        <f>[2]分摊!H387</f>
        <v>24.67</v>
      </c>
      <c r="E385" s="3017">
        <f t="shared" si="5"/>
        <v>37.39</v>
      </c>
    </row>
    <row r="386" spans="1:5" ht="19.95" customHeight="1">
      <c r="A386" s="3020"/>
      <c r="B386" s="3015" t="str">
        <f>[2]分摊!B388</f>
        <v>车位383</v>
      </c>
      <c r="C386" s="3017">
        <f>[2]分摊!C388</f>
        <v>12.72</v>
      </c>
      <c r="D386" s="3018">
        <f>[2]分摊!H388</f>
        <v>24.67</v>
      </c>
      <c r="E386" s="3017">
        <f t="shared" si="5"/>
        <v>37.39</v>
      </c>
    </row>
    <row r="387" spans="1:5" ht="19.95" customHeight="1">
      <c r="A387" s="3020"/>
      <c r="B387" s="3015" t="str">
        <f>[2]分摊!B389</f>
        <v>车位384</v>
      </c>
      <c r="C387" s="3017">
        <f>[2]分摊!C389</f>
        <v>25.44</v>
      </c>
      <c r="D387" s="3018">
        <f>[2]分摊!H389</f>
        <v>49.33</v>
      </c>
      <c r="E387" s="3017">
        <f t="shared" si="5"/>
        <v>74.77</v>
      </c>
    </row>
    <row r="388" spans="1:5" ht="19.95" customHeight="1">
      <c r="A388" s="3020"/>
      <c r="B388" s="3015" t="str">
        <f>[2]分摊!B390</f>
        <v>车位385</v>
      </c>
      <c r="C388" s="3017">
        <f>[2]分摊!C390</f>
        <v>25.44</v>
      </c>
      <c r="D388" s="3018">
        <f>[2]分摊!H390</f>
        <v>49.33</v>
      </c>
      <c r="E388" s="3017">
        <f t="shared" si="5"/>
        <v>74.77</v>
      </c>
    </row>
    <row r="389" spans="1:5" ht="19.95" customHeight="1">
      <c r="A389" s="3020"/>
      <c r="B389" s="3015" t="str">
        <f>[2]分摊!B391</f>
        <v>车位386</v>
      </c>
      <c r="C389" s="3017">
        <f>[2]分摊!C391</f>
        <v>12.72</v>
      </c>
      <c r="D389" s="3018">
        <f>[2]分摊!H391</f>
        <v>24.67</v>
      </c>
      <c r="E389" s="3017">
        <f t="shared" ref="E389:E452" si="6">SUM(C389:D389)</f>
        <v>37.39</v>
      </c>
    </row>
    <row r="390" spans="1:5" ht="19.95" customHeight="1">
      <c r="A390" s="3020"/>
      <c r="B390" s="3015" t="str">
        <f>[2]分摊!B392</f>
        <v>车位387</v>
      </c>
      <c r="C390" s="3017">
        <f>[2]分摊!C392</f>
        <v>12.72</v>
      </c>
      <c r="D390" s="3018">
        <f>[2]分摊!H392</f>
        <v>24.67</v>
      </c>
      <c r="E390" s="3017">
        <f t="shared" si="6"/>
        <v>37.39</v>
      </c>
    </row>
    <row r="391" spans="1:5" ht="19.95" customHeight="1">
      <c r="A391" s="3020"/>
      <c r="B391" s="3015" t="str">
        <f>[2]分摊!B393</f>
        <v>车位388</v>
      </c>
      <c r="C391" s="3017">
        <f>[2]分摊!C393</f>
        <v>12.72</v>
      </c>
      <c r="D391" s="3018">
        <f>[2]分摊!H393</f>
        <v>24.67</v>
      </c>
      <c r="E391" s="3017">
        <f t="shared" si="6"/>
        <v>37.39</v>
      </c>
    </row>
    <row r="392" spans="1:5" ht="19.95" customHeight="1">
      <c r="A392" s="3020"/>
      <c r="B392" s="3015" t="str">
        <f>[2]分摊!B394</f>
        <v>车位389</v>
      </c>
      <c r="C392" s="3017">
        <f>[2]分摊!C394</f>
        <v>12.72</v>
      </c>
      <c r="D392" s="3018">
        <f>[2]分摊!H394</f>
        <v>24.67</v>
      </c>
      <c r="E392" s="3017">
        <f t="shared" si="6"/>
        <v>37.39</v>
      </c>
    </row>
    <row r="393" spans="1:5" ht="19.95" customHeight="1">
      <c r="A393" s="3020"/>
      <c r="B393" s="3015" t="str">
        <f>[2]分摊!B395</f>
        <v>车位390</v>
      </c>
      <c r="C393" s="3017">
        <f>[2]分摊!C395</f>
        <v>12.72</v>
      </c>
      <c r="D393" s="3018">
        <f>[2]分摊!H395</f>
        <v>24.67</v>
      </c>
      <c r="E393" s="3017">
        <f t="shared" si="6"/>
        <v>37.39</v>
      </c>
    </row>
    <row r="394" spans="1:5" ht="19.95" customHeight="1">
      <c r="A394" s="3020"/>
      <c r="B394" s="3015" t="str">
        <f>[2]分摊!B396</f>
        <v>车位391</v>
      </c>
      <c r="C394" s="3017">
        <f>[2]分摊!C396</f>
        <v>12.72</v>
      </c>
      <c r="D394" s="3018">
        <f>[2]分摊!H396</f>
        <v>24.67</v>
      </c>
      <c r="E394" s="3017">
        <f t="shared" si="6"/>
        <v>37.39</v>
      </c>
    </row>
    <row r="395" spans="1:5" ht="19.95" customHeight="1">
      <c r="A395" s="3020"/>
      <c r="B395" s="3015" t="str">
        <f>[2]分摊!B397</f>
        <v>车位392</v>
      </c>
      <c r="C395" s="3017">
        <f>[2]分摊!C397</f>
        <v>12.72</v>
      </c>
      <c r="D395" s="3018">
        <f>[2]分摊!H397</f>
        <v>24.67</v>
      </c>
      <c r="E395" s="3017">
        <f t="shared" si="6"/>
        <v>37.39</v>
      </c>
    </row>
    <row r="396" spans="1:5" ht="19.95" customHeight="1">
      <c r="A396" s="3020"/>
      <c r="B396" s="3015" t="str">
        <f>[2]分摊!B398</f>
        <v>车位393</v>
      </c>
      <c r="C396" s="3017">
        <f>[2]分摊!C398</f>
        <v>12.72</v>
      </c>
      <c r="D396" s="3018">
        <f>[2]分摊!H398</f>
        <v>24.67</v>
      </c>
      <c r="E396" s="3017">
        <f t="shared" si="6"/>
        <v>37.39</v>
      </c>
    </row>
    <row r="397" spans="1:5" ht="19.95" customHeight="1">
      <c r="A397" s="3020"/>
      <c r="B397" s="3015" t="str">
        <f>[2]分摊!B399</f>
        <v>车位394</v>
      </c>
      <c r="C397" s="3017">
        <f>[2]分摊!C399</f>
        <v>12.72</v>
      </c>
      <c r="D397" s="3018">
        <f>[2]分摊!H399</f>
        <v>24.67</v>
      </c>
      <c r="E397" s="3017">
        <f t="shared" si="6"/>
        <v>37.39</v>
      </c>
    </row>
    <row r="398" spans="1:5" ht="19.95" customHeight="1">
      <c r="A398" s="3020"/>
      <c r="B398" s="3015" t="str">
        <f>[2]分摊!B400</f>
        <v>车位395</v>
      </c>
      <c r="C398" s="3017">
        <f>[2]分摊!C400</f>
        <v>12.72</v>
      </c>
      <c r="D398" s="3018">
        <f>[2]分摊!H400</f>
        <v>24.67</v>
      </c>
      <c r="E398" s="3017">
        <f t="shared" si="6"/>
        <v>37.39</v>
      </c>
    </row>
    <row r="399" spans="1:5" ht="19.95" customHeight="1">
      <c r="A399" s="3020"/>
      <c r="B399" s="3015" t="str">
        <f>[2]分摊!B401</f>
        <v>车位396</v>
      </c>
      <c r="C399" s="3017">
        <f>[2]分摊!C401</f>
        <v>12.72</v>
      </c>
      <c r="D399" s="3018">
        <f>[2]分摊!H401</f>
        <v>24.67</v>
      </c>
      <c r="E399" s="3017">
        <f t="shared" si="6"/>
        <v>37.39</v>
      </c>
    </row>
    <row r="400" spans="1:5" ht="19.95" customHeight="1">
      <c r="A400" s="3020"/>
      <c r="B400" s="3015" t="str">
        <f>[2]分摊!B402</f>
        <v>车位397</v>
      </c>
      <c r="C400" s="3017">
        <f>[2]分摊!C402</f>
        <v>12.72</v>
      </c>
      <c r="D400" s="3018">
        <f>[2]分摊!H402</f>
        <v>24.67</v>
      </c>
      <c r="E400" s="3017">
        <f t="shared" si="6"/>
        <v>37.39</v>
      </c>
    </row>
    <row r="401" spans="1:5" ht="19.95" customHeight="1">
      <c r="A401" s="3020"/>
      <c r="B401" s="3015" t="str">
        <f>[2]分摊!B403</f>
        <v>车位398</v>
      </c>
      <c r="C401" s="3017">
        <f>[2]分摊!C403</f>
        <v>12.72</v>
      </c>
      <c r="D401" s="3018">
        <f>[2]分摊!H403</f>
        <v>24.67</v>
      </c>
      <c r="E401" s="3017">
        <f t="shared" si="6"/>
        <v>37.39</v>
      </c>
    </row>
    <row r="402" spans="1:5" ht="19.95" customHeight="1">
      <c r="A402" s="3020"/>
      <c r="B402" s="3015" t="str">
        <f>[2]分摊!B404</f>
        <v>车位399</v>
      </c>
      <c r="C402" s="3017">
        <f>[2]分摊!C404</f>
        <v>12.72</v>
      </c>
      <c r="D402" s="3018">
        <f>[2]分摊!H404</f>
        <v>24.67</v>
      </c>
      <c r="E402" s="3017">
        <f t="shared" si="6"/>
        <v>37.39</v>
      </c>
    </row>
    <row r="403" spans="1:5" ht="19.95" customHeight="1">
      <c r="A403" s="3020"/>
      <c r="B403" s="3015" t="str">
        <f>[2]分摊!B405</f>
        <v>车位400</v>
      </c>
      <c r="C403" s="3017">
        <f>[2]分摊!C405</f>
        <v>12.72</v>
      </c>
      <c r="D403" s="3018">
        <f>[2]分摊!H405</f>
        <v>24.67</v>
      </c>
      <c r="E403" s="3017">
        <f t="shared" si="6"/>
        <v>37.39</v>
      </c>
    </row>
    <row r="404" spans="1:5" ht="19.95" customHeight="1">
      <c r="A404" s="3020"/>
      <c r="B404" s="3015" t="str">
        <f>[2]分摊!B406</f>
        <v>车位401</v>
      </c>
      <c r="C404" s="3017">
        <f>[2]分摊!C406</f>
        <v>12.72</v>
      </c>
      <c r="D404" s="3018">
        <f>[2]分摊!H406</f>
        <v>24.67</v>
      </c>
      <c r="E404" s="3017">
        <f t="shared" si="6"/>
        <v>37.39</v>
      </c>
    </row>
    <row r="405" spans="1:5" ht="19.95" customHeight="1">
      <c r="A405" s="3020"/>
      <c r="B405" s="3015" t="str">
        <f>[2]分摊!B407</f>
        <v>车位402</v>
      </c>
      <c r="C405" s="3017">
        <f>[2]分摊!C407</f>
        <v>12.72</v>
      </c>
      <c r="D405" s="3018">
        <f>[2]分摊!H407</f>
        <v>24.67</v>
      </c>
      <c r="E405" s="3017">
        <f t="shared" si="6"/>
        <v>37.39</v>
      </c>
    </row>
    <row r="406" spans="1:5" ht="19.95" customHeight="1">
      <c r="A406" s="3020"/>
      <c r="B406" s="3015" t="str">
        <f>[2]分摊!B408</f>
        <v>车位403</v>
      </c>
      <c r="C406" s="3017">
        <f>[2]分摊!C408</f>
        <v>12.72</v>
      </c>
      <c r="D406" s="3018">
        <f>[2]分摊!H408</f>
        <v>24.67</v>
      </c>
      <c r="E406" s="3017">
        <f t="shared" si="6"/>
        <v>37.39</v>
      </c>
    </row>
    <row r="407" spans="1:5" ht="19.95" customHeight="1">
      <c r="A407" s="3020"/>
      <c r="B407" s="3015" t="str">
        <f>[2]分摊!B409</f>
        <v>车位404</v>
      </c>
      <c r="C407" s="3017">
        <f>[2]分摊!C409</f>
        <v>12.72</v>
      </c>
      <c r="D407" s="3018">
        <f>[2]分摊!H409</f>
        <v>24.67</v>
      </c>
      <c r="E407" s="3017">
        <f t="shared" si="6"/>
        <v>37.39</v>
      </c>
    </row>
    <row r="408" spans="1:5" ht="19.95" customHeight="1">
      <c r="A408" s="3020"/>
      <c r="B408" s="3015" t="str">
        <f>[2]分摊!B410</f>
        <v>车位405</v>
      </c>
      <c r="C408" s="3017">
        <f>[2]分摊!C410</f>
        <v>12.72</v>
      </c>
      <c r="D408" s="3018">
        <f>[2]分摊!H410</f>
        <v>24.67</v>
      </c>
      <c r="E408" s="3017">
        <f t="shared" si="6"/>
        <v>37.39</v>
      </c>
    </row>
    <row r="409" spans="1:5" ht="19.95" customHeight="1">
      <c r="A409" s="3020"/>
      <c r="B409" s="3015" t="str">
        <f>[2]分摊!B411</f>
        <v>车位406</v>
      </c>
      <c r="C409" s="3017">
        <f>[2]分摊!C411</f>
        <v>12.72</v>
      </c>
      <c r="D409" s="3018">
        <f>[2]分摊!H411</f>
        <v>24.67</v>
      </c>
      <c r="E409" s="3017">
        <f t="shared" si="6"/>
        <v>37.39</v>
      </c>
    </row>
    <row r="410" spans="1:5" ht="19.95" customHeight="1">
      <c r="A410" s="3020"/>
      <c r="B410" s="3015" t="str">
        <f>[2]分摊!B412</f>
        <v>车位407</v>
      </c>
      <c r="C410" s="3017">
        <f>[2]分摊!C412</f>
        <v>12.72</v>
      </c>
      <c r="D410" s="3018">
        <f>[2]分摊!H412</f>
        <v>24.67</v>
      </c>
      <c r="E410" s="3017">
        <f t="shared" si="6"/>
        <v>37.39</v>
      </c>
    </row>
    <row r="411" spans="1:5" ht="19.95" customHeight="1">
      <c r="A411" s="3020"/>
      <c r="B411" s="3015" t="str">
        <f>[2]分摊!B413</f>
        <v>车位408</v>
      </c>
      <c r="C411" s="3017">
        <f>[2]分摊!C413</f>
        <v>12.72</v>
      </c>
      <c r="D411" s="3018">
        <f>[2]分摊!H413</f>
        <v>24.67</v>
      </c>
      <c r="E411" s="3017">
        <f t="shared" si="6"/>
        <v>37.39</v>
      </c>
    </row>
    <row r="412" spans="1:5" ht="19.95" customHeight="1">
      <c r="A412" s="3020"/>
      <c r="B412" s="3015" t="str">
        <f>[2]分摊!B414</f>
        <v>车位409</v>
      </c>
      <c r="C412" s="3017">
        <f>[2]分摊!C414</f>
        <v>12.72</v>
      </c>
      <c r="D412" s="3018">
        <f>[2]分摊!H414</f>
        <v>24.67</v>
      </c>
      <c r="E412" s="3017">
        <f t="shared" si="6"/>
        <v>37.39</v>
      </c>
    </row>
    <row r="413" spans="1:5" ht="19.95" customHeight="1">
      <c r="A413" s="3020"/>
      <c r="B413" s="3015" t="str">
        <f>[2]分摊!B415</f>
        <v>车位410</v>
      </c>
      <c r="C413" s="3017">
        <f>[2]分摊!C415</f>
        <v>12.72</v>
      </c>
      <c r="D413" s="3018">
        <f>[2]分摊!H415</f>
        <v>24.67</v>
      </c>
      <c r="E413" s="3017">
        <f t="shared" si="6"/>
        <v>37.39</v>
      </c>
    </row>
    <row r="414" spans="1:5" ht="19.95" customHeight="1">
      <c r="A414" s="3020"/>
      <c r="B414" s="3015" t="str">
        <f>[2]分摊!B416</f>
        <v>车位411</v>
      </c>
      <c r="C414" s="3017">
        <f>[2]分摊!C416</f>
        <v>12.72</v>
      </c>
      <c r="D414" s="3018">
        <f>[2]分摊!H416</f>
        <v>24.67</v>
      </c>
      <c r="E414" s="3017">
        <f t="shared" si="6"/>
        <v>37.39</v>
      </c>
    </row>
    <row r="415" spans="1:5" ht="19.95" customHeight="1">
      <c r="A415" s="3020"/>
      <c r="B415" s="3015" t="str">
        <f>[2]分摊!B417</f>
        <v>车位412</v>
      </c>
      <c r="C415" s="3017">
        <f>[2]分摊!C417</f>
        <v>25.44</v>
      </c>
      <c r="D415" s="3018">
        <f>[2]分摊!H417</f>
        <v>49.33</v>
      </c>
      <c r="E415" s="3017">
        <f t="shared" si="6"/>
        <v>74.77</v>
      </c>
    </row>
    <row r="416" spans="1:5" ht="19.95" customHeight="1">
      <c r="A416" s="3020"/>
      <c r="B416" s="3015" t="str">
        <f>[2]分摊!B418</f>
        <v>车位413</v>
      </c>
      <c r="C416" s="3017">
        <f>[2]分摊!C418</f>
        <v>25.44</v>
      </c>
      <c r="D416" s="3018">
        <f>[2]分摊!H418</f>
        <v>49.33</v>
      </c>
      <c r="E416" s="3017">
        <f t="shared" si="6"/>
        <v>74.77</v>
      </c>
    </row>
    <row r="417" spans="1:5" ht="19.95" customHeight="1">
      <c r="A417" s="3020"/>
      <c r="B417" s="3015" t="str">
        <f>[2]分摊!B419</f>
        <v>车位414</v>
      </c>
      <c r="C417" s="3017">
        <f>[2]分摊!C419</f>
        <v>12.72</v>
      </c>
      <c r="D417" s="3018">
        <f>[2]分摊!H419</f>
        <v>24.67</v>
      </c>
      <c r="E417" s="3017">
        <f t="shared" si="6"/>
        <v>37.39</v>
      </c>
    </row>
    <row r="418" spans="1:5" ht="19.95" customHeight="1">
      <c r="A418" s="3020"/>
      <c r="B418" s="3015" t="str">
        <f>[2]分摊!B420</f>
        <v>车位415</v>
      </c>
      <c r="C418" s="3017">
        <f>[2]分摊!C420</f>
        <v>12.72</v>
      </c>
      <c r="D418" s="3018">
        <f>[2]分摊!H420</f>
        <v>24.67</v>
      </c>
      <c r="E418" s="3017">
        <f t="shared" si="6"/>
        <v>37.39</v>
      </c>
    </row>
    <row r="419" spans="1:5" ht="19.95" customHeight="1">
      <c r="A419" s="3020"/>
      <c r="B419" s="3015" t="str">
        <f>[2]分摊!B421</f>
        <v>车位416</v>
      </c>
      <c r="C419" s="3017">
        <f>[2]分摊!C421</f>
        <v>12.72</v>
      </c>
      <c r="D419" s="3018">
        <f>[2]分摊!H421</f>
        <v>24.67</v>
      </c>
      <c r="E419" s="3017">
        <f t="shared" si="6"/>
        <v>37.39</v>
      </c>
    </row>
    <row r="420" spans="1:5" ht="19.95" customHeight="1">
      <c r="A420" s="3020"/>
      <c r="B420" s="3015" t="str">
        <f>[2]分摊!B422</f>
        <v>车位417</v>
      </c>
      <c r="C420" s="3017">
        <f>[2]分摊!C422</f>
        <v>25.44</v>
      </c>
      <c r="D420" s="3018">
        <f>[2]分摊!H422</f>
        <v>49.33</v>
      </c>
      <c r="E420" s="3017">
        <f t="shared" si="6"/>
        <v>74.77</v>
      </c>
    </row>
    <row r="421" spans="1:5" ht="19.95" customHeight="1">
      <c r="A421" s="3020"/>
      <c r="B421" s="3015" t="str">
        <f>[2]分摊!B423</f>
        <v>车位418</v>
      </c>
      <c r="C421" s="3017">
        <f>[2]分摊!C423</f>
        <v>25.44</v>
      </c>
      <c r="D421" s="3018">
        <f>[2]分摊!H423</f>
        <v>49.33</v>
      </c>
      <c r="E421" s="3017">
        <f t="shared" si="6"/>
        <v>74.77</v>
      </c>
    </row>
    <row r="422" spans="1:5" ht="19.95" customHeight="1">
      <c r="A422" s="3020"/>
      <c r="B422" s="3015" t="str">
        <f>[2]分摊!B424</f>
        <v>车位419</v>
      </c>
      <c r="C422" s="3017">
        <f>[2]分摊!C424</f>
        <v>25.44</v>
      </c>
      <c r="D422" s="3018">
        <f>[2]分摊!H424</f>
        <v>49.33</v>
      </c>
      <c r="E422" s="3017">
        <f t="shared" si="6"/>
        <v>74.77</v>
      </c>
    </row>
    <row r="423" spans="1:5" ht="19.95" customHeight="1">
      <c r="A423" s="3020"/>
      <c r="B423" s="3015" t="str">
        <f>[2]分摊!B425</f>
        <v>车位420</v>
      </c>
      <c r="C423" s="3017">
        <f>[2]分摊!C425</f>
        <v>25.44</v>
      </c>
      <c r="D423" s="3018">
        <f>[2]分摊!H425</f>
        <v>49.33</v>
      </c>
      <c r="E423" s="3017">
        <f t="shared" si="6"/>
        <v>74.77</v>
      </c>
    </row>
    <row r="424" spans="1:5" ht="19.95" customHeight="1">
      <c r="A424" s="3020"/>
      <c r="B424" s="3015" t="str">
        <f>[2]分摊!B426</f>
        <v>车位421</v>
      </c>
      <c r="C424" s="3017">
        <f>[2]分摊!C426</f>
        <v>12.72</v>
      </c>
      <c r="D424" s="3018">
        <f>[2]分摊!H426</f>
        <v>24.67</v>
      </c>
      <c r="E424" s="3017">
        <f t="shared" si="6"/>
        <v>37.39</v>
      </c>
    </row>
    <row r="425" spans="1:5" ht="19.95" customHeight="1">
      <c r="A425" s="3020"/>
      <c r="B425" s="3015" t="str">
        <f>[2]分摊!B427</f>
        <v>车位422</v>
      </c>
      <c r="C425" s="3017">
        <f>[2]分摊!C427</f>
        <v>12.72</v>
      </c>
      <c r="D425" s="3018">
        <f>[2]分摊!H427</f>
        <v>24.67</v>
      </c>
      <c r="E425" s="3017">
        <f t="shared" si="6"/>
        <v>37.39</v>
      </c>
    </row>
    <row r="426" spans="1:5" ht="19.95" customHeight="1">
      <c r="A426" s="3020"/>
      <c r="B426" s="3015" t="str">
        <f>[2]分摊!B428</f>
        <v>车位423</v>
      </c>
      <c r="C426" s="3017">
        <f>[2]分摊!C428</f>
        <v>12.72</v>
      </c>
      <c r="D426" s="3018">
        <f>[2]分摊!H428</f>
        <v>24.67</v>
      </c>
      <c r="E426" s="3017">
        <f t="shared" si="6"/>
        <v>37.39</v>
      </c>
    </row>
    <row r="427" spans="1:5" ht="19.95" customHeight="1">
      <c r="A427" s="3020"/>
      <c r="B427" s="3015" t="str">
        <f>[2]分摊!B429</f>
        <v>车位424</v>
      </c>
      <c r="C427" s="3017">
        <f>[2]分摊!C429</f>
        <v>25.44</v>
      </c>
      <c r="D427" s="3018">
        <f>[2]分摊!H429</f>
        <v>49.33</v>
      </c>
      <c r="E427" s="3017">
        <f t="shared" si="6"/>
        <v>74.77</v>
      </c>
    </row>
    <row r="428" spans="1:5" ht="19.95" customHeight="1">
      <c r="A428" s="3020"/>
      <c r="B428" s="3015" t="str">
        <f>[2]分摊!B430</f>
        <v>车位425</v>
      </c>
      <c r="C428" s="3017">
        <f>[2]分摊!C430</f>
        <v>25.44</v>
      </c>
      <c r="D428" s="3018">
        <f>[2]分摊!H430</f>
        <v>49.33</v>
      </c>
      <c r="E428" s="3017">
        <f t="shared" si="6"/>
        <v>74.77</v>
      </c>
    </row>
    <row r="429" spans="1:5" ht="19.95" customHeight="1">
      <c r="A429" s="3020"/>
      <c r="B429" s="3015" t="str">
        <f>[2]分摊!B431</f>
        <v>车位426</v>
      </c>
      <c r="C429" s="3017">
        <f>[2]分摊!C431</f>
        <v>12.72</v>
      </c>
      <c r="D429" s="3018">
        <f>[2]分摊!H431</f>
        <v>24.67</v>
      </c>
      <c r="E429" s="3017">
        <f t="shared" si="6"/>
        <v>37.39</v>
      </c>
    </row>
    <row r="430" spans="1:5" ht="19.95" customHeight="1">
      <c r="A430" s="3020"/>
      <c r="B430" s="3015" t="str">
        <f>[2]分摊!B432</f>
        <v>车位427</v>
      </c>
      <c r="C430" s="3017">
        <f>[2]分摊!C432</f>
        <v>12.72</v>
      </c>
      <c r="D430" s="3018">
        <f>[2]分摊!H432</f>
        <v>24.67</v>
      </c>
      <c r="E430" s="3017">
        <f t="shared" si="6"/>
        <v>37.39</v>
      </c>
    </row>
    <row r="431" spans="1:5" ht="19.95" customHeight="1">
      <c r="A431" s="3020"/>
      <c r="B431" s="3015" t="str">
        <f>[2]分摊!B433</f>
        <v>车位428</v>
      </c>
      <c r="C431" s="3017">
        <f>[2]分摊!C433</f>
        <v>25.44</v>
      </c>
      <c r="D431" s="3018">
        <f>[2]分摊!H433</f>
        <v>49.33</v>
      </c>
      <c r="E431" s="3017">
        <f t="shared" si="6"/>
        <v>74.77</v>
      </c>
    </row>
    <row r="432" spans="1:5" ht="19.95" customHeight="1">
      <c r="A432" s="3020"/>
      <c r="B432" s="3015" t="str">
        <f>[2]分摊!B434</f>
        <v>车位429</v>
      </c>
      <c r="C432" s="3017">
        <f>[2]分摊!C434</f>
        <v>25.44</v>
      </c>
      <c r="D432" s="3018">
        <f>[2]分摊!H434</f>
        <v>49.33</v>
      </c>
      <c r="E432" s="3017">
        <f t="shared" si="6"/>
        <v>74.77</v>
      </c>
    </row>
    <row r="433" spans="1:5" ht="19.95" customHeight="1">
      <c r="A433" s="3020"/>
      <c r="B433" s="3015" t="str">
        <f>[2]分摊!B435</f>
        <v>车位430</v>
      </c>
      <c r="C433" s="3017">
        <f>[2]分摊!C435</f>
        <v>12.72</v>
      </c>
      <c r="D433" s="3018">
        <f>[2]分摊!H435</f>
        <v>24.67</v>
      </c>
      <c r="E433" s="3017">
        <f t="shared" si="6"/>
        <v>37.39</v>
      </c>
    </row>
    <row r="434" spans="1:5" ht="19.95" customHeight="1">
      <c r="A434" s="3020"/>
      <c r="B434" s="3015" t="str">
        <f>[2]分摊!B436</f>
        <v>车位431</v>
      </c>
      <c r="C434" s="3017">
        <f>[2]分摊!C436</f>
        <v>12.72</v>
      </c>
      <c r="D434" s="3018">
        <f>[2]分摊!H436</f>
        <v>24.67</v>
      </c>
      <c r="E434" s="3017">
        <f t="shared" si="6"/>
        <v>37.39</v>
      </c>
    </row>
    <row r="435" spans="1:5" ht="19.95" customHeight="1">
      <c r="A435" s="3020"/>
      <c r="B435" s="3015" t="str">
        <f>[2]分摊!B437</f>
        <v>车位432</v>
      </c>
      <c r="C435" s="3017">
        <f>[2]分摊!C437</f>
        <v>12.72</v>
      </c>
      <c r="D435" s="3018">
        <f>[2]分摊!H437</f>
        <v>24.67</v>
      </c>
      <c r="E435" s="3017">
        <f t="shared" si="6"/>
        <v>37.39</v>
      </c>
    </row>
    <row r="436" spans="1:5" ht="19.95" customHeight="1">
      <c r="A436" s="3020"/>
      <c r="B436" s="3015" t="str">
        <f>[2]分摊!B438</f>
        <v>车位433</v>
      </c>
      <c r="C436" s="3017">
        <f>[2]分摊!C438</f>
        <v>25.44</v>
      </c>
      <c r="D436" s="3018">
        <f>[2]分摊!H438</f>
        <v>49.33</v>
      </c>
      <c r="E436" s="3017">
        <f t="shared" si="6"/>
        <v>74.77</v>
      </c>
    </row>
    <row r="437" spans="1:5" ht="19.95" customHeight="1">
      <c r="A437" s="3020"/>
      <c r="B437" s="3015" t="str">
        <f>[2]分摊!B439</f>
        <v>车位434</v>
      </c>
      <c r="C437" s="3017">
        <f>[2]分摊!C439</f>
        <v>25.44</v>
      </c>
      <c r="D437" s="3018">
        <f>[2]分摊!H439</f>
        <v>49.33</v>
      </c>
      <c r="E437" s="3017">
        <f t="shared" si="6"/>
        <v>74.77</v>
      </c>
    </row>
    <row r="438" spans="1:5" ht="19.95" customHeight="1">
      <c r="A438" s="3020"/>
      <c r="B438" s="3015" t="str">
        <f>[2]分摊!B440</f>
        <v>车位435</v>
      </c>
      <c r="C438" s="3017">
        <f>[2]分摊!C440</f>
        <v>12.72</v>
      </c>
      <c r="D438" s="3018">
        <f>[2]分摊!H440</f>
        <v>24.67</v>
      </c>
      <c r="E438" s="3017">
        <f t="shared" si="6"/>
        <v>37.39</v>
      </c>
    </row>
    <row r="439" spans="1:5" ht="19.95" customHeight="1">
      <c r="A439" s="3020"/>
      <c r="B439" s="3015" t="str">
        <f>[2]分摊!B441</f>
        <v>车位436</v>
      </c>
      <c r="C439" s="3017">
        <f>[2]分摊!C441</f>
        <v>12.72</v>
      </c>
      <c r="D439" s="3018">
        <f>[2]分摊!H441</f>
        <v>24.67</v>
      </c>
      <c r="E439" s="3017">
        <f t="shared" si="6"/>
        <v>37.39</v>
      </c>
    </row>
    <row r="440" spans="1:5" ht="19.95" customHeight="1">
      <c r="A440" s="3020"/>
      <c r="B440" s="3015" t="str">
        <f>[2]分摊!B442</f>
        <v>车位437</v>
      </c>
      <c r="C440" s="3017">
        <f>[2]分摊!C442</f>
        <v>12.72</v>
      </c>
      <c r="D440" s="3018">
        <f>[2]分摊!H442</f>
        <v>24.67</v>
      </c>
      <c r="E440" s="3017">
        <f t="shared" si="6"/>
        <v>37.39</v>
      </c>
    </row>
    <row r="441" spans="1:5" ht="19.95" customHeight="1">
      <c r="A441" s="3020"/>
      <c r="B441" s="3015" t="str">
        <f>[2]分摊!B443</f>
        <v>车位438</v>
      </c>
      <c r="C441" s="3017">
        <f>[2]分摊!C443</f>
        <v>25.44</v>
      </c>
      <c r="D441" s="3018">
        <f>[2]分摊!H443</f>
        <v>49.33</v>
      </c>
      <c r="E441" s="3017">
        <f t="shared" si="6"/>
        <v>74.77</v>
      </c>
    </row>
    <row r="442" spans="1:5" ht="19.95" customHeight="1">
      <c r="A442" s="3020"/>
      <c r="B442" s="3015" t="str">
        <f>[2]分摊!B444</f>
        <v>车位439</v>
      </c>
      <c r="C442" s="3017">
        <f>[2]分摊!C444</f>
        <v>25.44</v>
      </c>
      <c r="D442" s="3018">
        <f>[2]分摊!H444</f>
        <v>49.33</v>
      </c>
      <c r="E442" s="3017">
        <f t="shared" si="6"/>
        <v>74.77</v>
      </c>
    </row>
    <row r="443" spans="1:5" ht="19.95" customHeight="1">
      <c r="A443" s="3020"/>
      <c r="B443" s="3015" t="str">
        <f>[2]分摊!B445</f>
        <v>车位440</v>
      </c>
      <c r="C443" s="3017">
        <f>[2]分摊!C445</f>
        <v>12.72</v>
      </c>
      <c r="D443" s="3018">
        <f>[2]分摊!H445</f>
        <v>24.67</v>
      </c>
      <c r="E443" s="3017">
        <f t="shared" si="6"/>
        <v>37.39</v>
      </c>
    </row>
    <row r="444" spans="1:5" ht="19.95" customHeight="1">
      <c r="A444" s="3020"/>
      <c r="B444" s="3015" t="str">
        <f>[2]分摊!B446</f>
        <v>车位441</v>
      </c>
      <c r="C444" s="3017">
        <f>[2]分摊!C446</f>
        <v>12.72</v>
      </c>
      <c r="D444" s="3018">
        <f>[2]分摊!H446</f>
        <v>24.67</v>
      </c>
      <c r="E444" s="3017">
        <f t="shared" si="6"/>
        <v>37.39</v>
      </c>
    </row>
    <row r="445" spans="1:5" ht="19.95" customHeight="1">
      <c r="A445" s="3020"/>
      <c r="B445" s="3015" t="str">
        <f>[2]分摊!B447</f>
        <v>车位442</v>
      </c>
      <c r="C445" s="3017">
        <f>[2]分摊!C447</f>
        <v>12.72</v>
      </c>
      <c r="D445" s="3018">
        <f>[2]分摊!H447</f>
        <v>24.67</v>
      </c>
      <c r="E445" s="3017">
        <f t="shared" si="6"/>
        <v>37.39</v>
      </c>
    </row>
    <row r="446" spans="1:5" ht="19.95" customHeight="1">
      <c r="A446" s="3020"/>
      <c r="B446" s="3015" t="str">
        <f>[2]分摊!B448</f>
        <v>车位443</v>
      </c>
      <c r="C446" s="3017">
        <f>[2]分摊!C448</f>
        <v>25.44</v>
      </c>
      <c r="D446" s="3018">
        <f>[2]分摊!H448</f>
        <v>49.33</v>
      </c>
      <c r="E446" s="3017">
        <f t="shared" si="6"/>
        <v>74.77</v>
      </c>
    </row>
    <row r="447" spans="1:5" ht="19.95" customHeight="1">
      <c r="A447" s="3020"/>
      <c r="B447" s="3015" t="str">
        <f>[2]分摊!B449</f>
        <v>车位444</v>
      </c>
      <c r="C447" s="3017">
        <f>[2]分摊!C449</f>
        <v>25.44</v>
      </c>
      <c r="D447" s="3018">
        <f>[2]分摊!H449</f>
        <v>49.33</v>
      </c>
      <c r="E447" s="3017">
        <f t="shared" si="6"/>
        <v>74.77</v>
      </c>
    </row>
    <row r="448" spans="1:5" ht="19.95" customHeight="1">
      <c r="A448" s="3020"/>
      <c r="B448" s="3015" t="str">
        <f>[2]分摊!B450</f>
        <v>车位445</v>
      </c>
      <c r="C448" s="3017">
        <f>[2]分摊!C450</f>
        <v>12.72</v>
      </c>
      <c r="D448" s="3018">
        <f>[2]分摊!H450</f>
        <v>24.67</v>
      </c>
      <c r="E448" s="3017">
        <f t="shared" si="6"/>
        <v>37.39</v>
      </c>
    </row>
    <row r="449" spans="1:5" ht="19.95" customHeight="1">
      <c r="A449" s="3020"/>
      <c r="B449" s="3015" t="str">
        <f>[2]分摊!B451</f>
        <v>车位446</v>
      </c>
      <c r="C449" s="3017">
        <f>[2]分摊!C451</f>
        <v>12.72</v>
      </c>
      <c r="D449" s="3018">
        <f>[2]分摊!H451</f>
        <v>24.67</v>
      </c>
      <c r="E449" s="3017">
        <f t="shared" si="6"/>
        <v>37.39</v>
      </c>
    </row>
    <row r="450" spans="1:5" ht="19.95" customHeight="1">
      <c r="A450" s="3020"/>
      <c r="B450" s="3015" t="str">
        <f>[2]分摊!B452</f>
        <v>车位447</v>
      </c>
      <c r="C450" s="3017">
        <f>[2]分摊!C452</f>
        <v>12.72</v>
      </c>
      <c r="D450" s="3018">
        <f>[2]分摊!H452</f>
        <v>24.67</v>
      </c>
      <c r="E450" s="3017">
        <f t="shared" si="6"/>
        <v>37.39</v>
      </c>
    </row>
    <row r="451" spans="1:5" ht="19.95" customHeight="1">
      <c r="A451" s="3020"/>
      <c r="B451" s="3015" t="str">
        <f>[2]分摊!B453</f>
        <v>车位448</v>
      </c>
      <c r="C451" s="3017">
        <f>[2]分摊!C453</f>
        <v>12.72</v>
      </c>
      <c r="D451" s="3018">
        <f>[2]分摊!H453</f>
        <v>24.67</v>
      </c>
      <c r="E451" s="3017">
        <f t="shared" si="6"/>
        <v>37.39</v>
      </c>
    </row>
    <row r="452" spans="1:5" ht="19.95" customHeight="1">
      <c r="A452" s="3020"/>
      <c r="B452" s="3015" t="str">
        <f>[2]分摊!B454</f>
        <v>车位449</v>
      </c>
      <c r="C452" s="3017">
        <f>[2]分摊!C454</f>
        <v>12.72</v>
      </c>
      <c r="D452" s="3018">
        <f>[2]分摊!H454</f>
        <v>24.67</v>
      </c>
      <c r="E452" s="3017">
        <f t="shared" si="6"/>
        <v>37.39</v>
      </c>
    </row>
    <row r="453" spans="1:5" ht="19.95" customHeight="1">
      <c r="A453" s="3020"/>
      <c r="B453" s="3015" t="str">
        <f>[2]分摊!B455</f>
        <v>车位450</v>
      </c>
      <c r="C453" s="3017">
        <f>[2]分摊!C455</f>
        <v>12.72</v>
      </c>
      <c r="D453" s="3018">
        <f>[2]分摊!H455</f>
        <v>24.67</v>
      </c>
      <c r="E453" s="3017">
        <f t="shared" ref="E453:E516" si="7">SUM(C453:D453)</f>
        <v>37.39</v>
      </c>
    </row>
    <row r="454" spans="1:5" ht="19.95" customHeight="1">
      <c r="A454" s="3020"/>
      <c r="B454" s="3015" t="str">
        <f>[2]分摊!B456</f>
        <v>车位451</v>
      </c>
      <c r="C454" s="3017">
        <f>[2]分摊!C456</f>
        <v>12.72</v>
      </c>
      <c r="D454" s="3018">
        <f>[2]分摊!H456</f>
        <v>24.67</v>
      </c>
      <c r="E454" s="3017">
        <f t="shared" si="7"/>
        <v>37.39</v>
      </c>
    </row>
    <row r="455" spans="1:5" ht="19.95" customHeight="1">
      <c r="A455" s="3020"/>
      <c r="B455" s="3015" t="str">
        <f>[2]分摊!B457</f>
        <v>车位452</v>
      </c>
      <c r="C455" s="3017">
        <f>[2]分摊!C457</f>
        <v>12.72</v>
      </c>
      <c r="D455" s="3018">
        <f>[2]分摊!H457</f>
        <v>24.67</v>
      </c>
      <c r="E455" s="3017">
        <f t="shared" si="7"/>
        <v>37.39</v>
      </c>
    </row>
    <row r="456" spans="1:5" ht="19.95" customHeight="1">
      <c r="A456" s="3020"/>
      <c r="B456" s="3015" t="str">
        <f>[2]分摊!B458</f>
        <v>车位453</v>
      </c>
      <c r="C456" s="3017">
        <f>[2]分摊!C458</f>
        <v>12.72</v>
      </c>
      <c r="D456" s="3018">
        <f>[2]分摊!H458</f>
        <v>24.67</v>
      </c>
      <c r="E456" s="3017">
        <f t="shared" si="7"/>
        <v>37.39</v>
      </c>
    </row>
    <row r="457" spans="1:5" ht="19.95" customHeight="1">
      <c r="A457" s="3020"/>
      <c r="B457" s="3015" t="str">
        <f>[2]分摊!B459</f>
        <v>车位454</v>
      </c>
      <c r="C457" s="3017">
        <f>[2]分摊!C459</f>
        <v>12.72</v>
      </c>
      <c r="D457" s="3018">
        <f>[2]分摊!H459</f>
        <v>24.67</v>
      </c>
      <c r="E457" s="3017">
        <f t="shared" si="7"/>
        <v>37.39</v>
      </c>
    </row>
    <row r="458" spans="1:5" ht="19.95" customHeight="1">
      <c r="A458" s="3020"/>
      <c r="B458" s="3015" t="str">
        <f>[2]分摊!B460</f>
        <v>车位455</v>
      </c>
      <c r="C458" s="3017">
        <f>[2]分摊!C460</f>
        <v>12.72</v>
      </c>
      <c r="D458" s="3018">
        <f>[2]分摊!H460</f>
        <v>24.67</v>
      </c>
      <c r="E458" s="3017">
        <f t="shared" si="7"/>
        <v>37.39</v>
      </c>
    </row>
    <row r="459" spans="1:5" ht="19.95" customHeight="1">
      <c r="A459" s="3020"/>
      <c r="B459" s="3015" t="str">
        <f>[2]分摊!B461</f>
        <v>车位456</v>
      </c>
      <c r="C459" s="3017">
        <f>[2]分摊!C461</f>
        <v>12.72</v>
      </c>
      <c r="D459" s="3018">
        <f>[2]分摊!H461</f>
        <v>24.67</v>
      </c>
      <c r="E459" s="3017">
        <f t="shared" si="7"/>
        <v>37.39</v>
      </c>
    </row>
    <row r="460" spans="1:5" ht="19.95" customHeight="1">
      <c r="A460" s="3020"/>
      <c r="B460" s="3015" t="str">
        <f>[2]分摊!B462</f>
        <v>车位457</v>
      </c>
      <c r="C460" s="3017">
        <f>[2]分摊!C462</f>
        <v>12.72</v>
      </c>
      <c r="D460" s="3018">
        <f>[2]分摊!H462</f>
        <v>24.67</v>
      </c>
      <c r="E460" s="3017">
        <f t="shared" si="7"/>
        <v>37.39</v>
      </c>
    </row>
    <row r="461" spans="1:5" ht="19.95" customHeight="1">
      <c r="A461" s="3020"/>
      <c r="B461" s="3015" t="str">
        <f>[2]分摊!B463</f>
        <v>车位458</v>
      </c>
      <c r="C461" s="3017">
        <f>[2]分摊!C463</f>
        <v>12.72</v>
      </c>
      <c r="D461" s="3018">
        <f>[2]分摊!H463</f>
        <v>24.67</v>
      </c>
      <c r="E461" s="3017">
        <f t="shared" si="7"/>
        <v>37.39</v>
      </c>
    </row>
    <row r="462" spans="1:5" ht="19.95" customHeight="1">
      <c r="A462" s="3020"/>
      <c r="B462" s="3015" t="str">
        <f>[2]分摊!B464</f>
        <v>车位459</v>
      </c>
      <c r="C462" s="3017">
        <f>[2]分摊!C464</f>
        <v>25.44</v>
      </c>
      <c r="D462" s="3018">
        <f>[2]分摊!H464</f>
        <v>49.33</v>
      </c>
      <c r="E462" s="3017">
        <f t="shared" si="7"/>
        <v>74.77</v>
      </c>
    </row>
    <row r="463" spans="1:5" ht="19.95" customHeight="1">
      <c r="A463" s="3020"/>
      <c r="B463" s="3015" t="str">
        <f>[2]分摊!B465</f>
        <v>车位460</v>
      </c>
      <c r="C463" s="3017">
        <f>[2]分摊!C465</f>
        <v>12.72</v>
      </c>
      <c r="D463" s="3018">
        <f>[2]分摊!H465</f>
        <v>24.67</v>
      </c>
      <c r="E463" s="3017">
        <f t="shared" si="7"/>
        <v>37.39</v>
      </c>
    </row>
    <row r="464" spans="1:5" ht="19.95" customHeight="1">
      <c r="A464" s="3020"/>
      <c r="B464" s="3015" t="str">
        <f>[2]分摊!B466</f>
        <v>车位461</v>
      </c>
      <c r="C464" s="3017">
        <f>[2]分摊!C466</f>
        <v>12.72</v>
      </c>
      <c r="D464" s="3018">
        <f>[2]分摊!H466</f>
        <v>24.67</v>
      </c>
      <c r="E464" s="3017">
        <f t="shared" si="7"/>
        <v>37.39</v>
      </c>
    </row>
    <row r="465" spans="1:5" ht="19.95" customHeight="1">
      <c r="A465" s="3020"/>
      <c r="B465" s="3015" t="str">
        <f>[2]分摊!B467</f>
        <v>车位462</v>
      </c>
      <c r="C465" s="3017">
        <f>[2]分摊!C467</f>
        <v>12.72</v>
      </c>
      <c r="D465" s="3018">
        <f>[2]分摊!H467</f>
        <v>24.67</v>
      </c>
      <c r="E465" s="3017">
        <f t="shared" si="7"/>
        <v>37.39</v>
      </c>
    </row>
    <row r="466" spans="1:5" ht="19.95" customHeight="1">
      <c r="A466" s="3020"/>
      <c r="B466" s="3015" t="str">
        <f>[2]分摊!B468</f>
        <v>车位463</v>
      </c>
      <c r="C466" s="3017">
        <f>[2]分摊!C468</f>
        <v>12.72</v>
      </c>
      <c r="D466" s="3018">
        <f>[2]分摊!H468</f>
        <v>24.67</v>
      </c>
      <c r="E466" s="3017">
        <f t="shared" si="7"/>
        <v>37.39</v>
      </c>
    </row>
    <row r="467" spans="1:5" ht="19.95" customHeight="1">
      <c r="A467" s="3020"/>
      <c r="B467" s="3015" t="str">
        <f>[2]分摊!B469</f>
        <v>车位464</v>
      </c>
      <c r="C467" s="3017">
        <f>[2]分摊!C469</f>
        <v>12.72</v>
      </c>
      <c r="D467" s="3018">
        <f>[2]分摊!H469</f>
        <v>24.67</v>
      </c>
      <c r="E467" s="3017">
        <f t="shared" si="7"/>
        <v>37.39</v>
      </c>
    </row>
    <row r="468" spans="1:5" ht="19.95" customHeight="1">
      <c r="A468" s="3020"/>
      <c r="B468" s="3015" t="str">
        <f>[2]分摊!B470</f>
        <v>车位465</v>
      </c>
      <c r="C468" s="3017">
        <f>[2]分摊!C470</f>
        <v>12.72</v>
      </c>
      <c r="D468" s="3018">
        <f>[2]分摊!H470</f>
        <v>24.67</v>
      </c>
      <c r="E468" s="3017">
        <f t="shared" si="7"/>
        <v>37.39</v>
      </c>
    </row>
    <row r="469" spans="1:5" ht="19.95" customHeight="1">
      <c r="A469" s="3020"/>
      <c r="B469" s="3015" t="str">
        <f>[2]分摊!B471</f>
        <v>车位466</v>
      </c>
      <c r="C469" s="3017">
        <f>[2]分摊!C471</f>
        <v>12.72</v>
      </c>
      <c r="D469" s="3018">
        <f>[2]分摊!H471</f>
        <v>24.67</v>
      </c>
      <c r="E469" s="3017">
        <f t="shared" si="7"/>
        <v>37.39</v>
      </c>
    </row>
    <row r="470" spans="1:5" ht="19.95" customHeight="1">
      <c r="A470" s="3020"/>
      <c r="B470" s="3015" t="str">
        <f>[2]分摊!B472</f>
        <v>车位467</v>
      </c>
      <c r="C470" s="3017">
        <f>[2]分摊!C472</f>
        <v>12.72</v>
      </c>
      <c r="D470" s="3018">
        <f>[2]分摊!H472</f>
        <v>24.67</v>
      </c>
      <c r="E470" s="3017">
        <f t="shared" si="7"/>
        <v>37.39</v>
      </c>
    </row>
    <row r="471" spans="1:5" ht="19.95" customHeight="1">
      <c r="A471" s="3020"/>
      <c r="B471" s="3015" t="str">
        <f>[2]分摊!B473</f>
        <v>车位468</v>
      </c>
      <c r="C471" s="3017">
        <f>[2]分摊!C473</f>
        <v>25.44</v>
      </c>
      <c r="D471" s="3018">
        <f>[2]分摊!H473</f>
        <v>49.33</v>
      </c>
      <c r="E471" s="3017">
        <f t="shared" si="7"/>
        <v>74.77</v>
      </c>
    </row>
    <row r="472" spans="1:5" ht="19.95" customHeight="1">
      <c r="A472" s="3020"/>
      <c r="B472" s="3015" t="str">
        <f>[2]分摊!B474</f>
        <v>车位469</v>
      </c>
      <c r="C472" s="3017">
        <f>[2]分摊!C474</f>
        <v>12.72</v>
      </c>
      <c r="D472" s="3018">
        <f>[2]分摊!H474</f>
        <v>24.67</v>
      </c>
      <c r="E472" s="3017">
        <f t="shared" si="7"/>
        <v>37.39</v>
      </c>
    </row>
    <row r="473" spans="1:5" ht="19.95" customHeight="1">
      <c r="A473" s="3020"/>
      <c r="B473" s="3015" t="str">
        <f>[2]分摊!B475</f>
        <v>车位470</v>
      </c>
      <c r="C473" s="3017">
        <f>[2]分摊!C475</f>
        <v>12.72</v>
      </c>
      <c r="D473" s="3018">
        <f>[2]分摊!H475</f>
        <v>24.67</v>
      </c>
      <c r="E473" s="3017">
        <f t="shared" si="7"/>
        <v>37.39</v>
      </c>
    </row>
    <row r="474" spans="1:5" ht="19.95" customHeight="1">
      <c r="A474" s="3020"/>
      <c r="B474" s="3015" t="str">
        <f>[2]分摊!B476</f>
        <v>车位471</v>
      </c>
      <c r="C474" s="3017">
        <f>[2]分摊!C476</f>
        <v>12.72</v>
      </c>
      <c r="D474" s="3018">
        <f>[2]分摊!H476</f>
        <v>24.67</v>
      </c>
      <c r="E474" s="3017">
        <f t="shared" si="7"/>
        <v>37.39</v>
      </c>
    </row>
    <row r="475" spans="1:5" ht="19.95" customHeight="1">
      <c r="A475" s="3020"/>
      <c r="B475" s="3015" t="str">
        <f>[2]分摊!B477</f>
        <v>车位472</v>
      </c>
      <c r="C475" s="3017">
        <f>[2]分摊!C477</f>
        <v>25.44</v>
      </c>
      <c r="D475" s="3018">
        <f>[2]分摊!H477</f>
        <v>49.33</v>
      </c>
      <c r="E475" s="3017">
        <f t="shared" si="7"/>
        <v>74.77</v>
      </c>
    </row>
    <row r="476" spans="1:5" ht="19.95" customHeight="1">
      <c r="A476" s="3020"/>
      <c r="B476" s="3015" t="str">
        <f>[2]分摊!B478</f>
        <v>车位473</v>
      </c>
      <c r="C476" s="3017">
        <f>[2]分摊!C478</f>
        <v>25.44</v>
      </c>
      <c r="D476" s="3018">
        <f>[2]分摊!H478</f>
        <v>49.33</v>
      </c>
      <c r="E476" s="3017">
        <f t="shared" si="7"/>
        <v>74.77</v>
      </c>
    </row>
    <row r="477" spans="1:5" ht="19.95" customHeight="1">
      <c r="A477" s="3020"/>
      <c r="B477" s="3015" t="str">
        <f>[2]分摊!B479</f>
        <v>车位474</v>
      </c>
      <c r="C477" s="3017">
        <f>[2]分摊!C479</f>
        <v>12.72</v>
      </c>
      <c r="D477" s="3018">
        <f>[2]分摊!H479</f>
        <v>24.67</v>
      </c>
      <c r="E477" s="3017">
        <f t="shared" si="7"/>
        <v>37.39</v>
      </c>
    </row>
    <row r="478" spans="1:5" ht="19.95" customHeight="1">
      <c r="A478" s="3020"/>
      <c r="B478" s="3015" t="str">
        <f>[2]分摊!B480</f>
        <v>车位475</v>
      </c>
      <c r="C478" s="3017">
        <f>[2]分摊!C480</f>
        <v>12.72</v>
      </c>
      <c r="D478" s="3018">
        <f>[2]分摊!H480</f>
        <v>24.67</v>
      </c>
      <c r="E478" s="3017">
        <f t="shared" si="7"/>
        <v>37.39</v>
      </c>
    </row>
    <row r="479" spans="1:5" ht="19.95" customHeight="1">
      <c r="A479" s="3020"/>
      <c r="B479" s="3015" t="str">
        <f>[2]分摊!B481</f>
        <v>车位476</v>
      </c>
      <c r="C479" s="3017">
        <f>[2]分摊!C481</f>
        <v>12.72</v>
      </c>
      <c r="D479" s="3018">
        <f>[2]分摊!H481</f>
        <v>24.67</v>
      </c>
      <c r="E479" s="3017">
        <f t="shared" si="7"/>
        <v>37.39</v>
      </c>
    </row>
    <row r="480" spans="1:5" ht="19.95" customHeight="1">
      <c r="A480" s="3020"/>
      <c r="B480" s="3015" t="str">
        <f>[2]分摊!B482</f>
        <v>车位477</v>
      </c>
      <c r="C480" s="3017">
        <f>[2]分摊!C482</f>
        <v>25.44</v>
      </c>
      <c r="D480" s="3018">
        <f>[2]分摊!H482</f>
        <v>49.33</v>
      </c>
      <c r="E480" s="3017">
        <f t="shared" si="7"/>
        <v>74.77</v>
      </c>
    </row>
    <row r="481" spans="1:5" ht="19.95" customHeight="1">
      <c r="A481" s="3020"/>
      <c r="B481" s="3015" t="str">
        <f>[2]分摊!B483</f>
        <v>车位478</v>
      </c>
      <c r="C481" s="3017">
        <f>[2]分摊!C483</f>
        <v>25.44</v>
      </c>
      <c r="D481" s="3018">
        <f>[2]分摊!H483</f>
        <v>49.33</v>
      </c>
      <c r="E481" s="3017">
        <f t="shared" si="7"/>
        <v>74.77</v>
      </c>
    </row>
    <row r="482" spans="1:5" ht="19.95" customHeight="1">
      <c r="A482" s="3020"/>
      <c r="B482" s="3015" t="str">
        <f>[2]分摊!B484</f>
        <v>车位479</v>
      </c>
      <c r="C482" s="3017">
        <f>[2]分摊!C484</f>
        <v>12.72</v>
      </c>
      <c r="D482" s="3018">
        <f>[2]分摊!H484</f>
        <v>24.67</v>
      </c>
      <c r="E482" s="3017">
        <f t="shared" si="7"/>
        <v>37.39</v>
      </c>
    </row>
    <row r="483" spans="1:5" ht="19.95" customHeight="1">
      <c r="A483" s="3020"/>
      <c r="B483" s="3015" t="str">
        <f>[2]分摊!B485</f>
        <v>车位480</v>
      </c>
      <c r="C483" s="3017">
        <f>[2]分摊!C485</f>
        <v>12.72</v>
      </c>
      <c r="D483" s="3018">
        <f>[2]分摊!H485</f>
        <v>24.67</v>
      </c>
      <c r="E483" s="3017">
        <f t="shared" si="7"/>
        <v>37.39</v>
      </c>
    </row>
    <row r="484" spans="1:5" ht="19.95" customHeight="1">
      <c r="A484" s="3020"/>
      <c r="B484" s="3015" t="str">
        <f>[2]分摊!B486</f>
        <v>车位481</v>
      </c>
      <c r="C484" s="3017">
        <f>[2]分摊!C486</f>
        <v>12.72</v>
      </c>
      <c r="D484" s="3018">
        <f>[2]分摊!H486</f>
        <v>24.67</v>
      </c>
      <c r="E484" s="3017">
        <f t="shared" si="7"/>
        <v>37.39</v>
      </c>
    </row>
    <row r="485" spans="1:5" ht="19.95" customHeight="1">
      <c r="A485" s="3020"/>
      <c r="B485" s="3015" t="str">
        <f>[2]分摊!B487</f>
        <v>车位482</v>
      </c>
      <c r="C485" s="3017">
        <f>[2]分摊!C487</f>
        <v>25.44</v>
      </c>
      <c r="D485" s="3018">
        <f>[2]分摊!H487</f>
        <v>49.33</v>
      </c>
      <c r="E485" s="3017">
        <f t="shared" si="7"/>
        <v>74.77</v>
      </c>
    </row>
    <row r="486" spans="1:5" ht="19.95" customHeight="1">
      <c r="A486" s="3020"/>
      <c r="B486" s="3015" t="str">
        <f>[2]分摊!B488</f>
        <v>车位483</v>
      </c>
      <c r="C486" s="3017">
        <f>[2]分摊!C488</f>
        <v>25.44</v>
      </c>
      <c r="D486" s="3018">
        <f>[2]分摊!H488</f>
        <v>49.33</v>
      </c>
      <c r="E486" s="3017">
        <f t="shared" si="7"/>
        <v>74.77</v>
      </c>
    </row>
    <row r="487" spans="1:5" ht="19.95" customHeight="1">
      <c r="A487" s="3020"/>
      <c r="B487" s="3015" t="str">
        <f>[2]分摊!B489</f>
        <v>车位484</v>
      </c>
      <c r="C487" s="3017">
        <f>[2]分摊!C489</f>
        <v>12.72</v>
      </c>
      <c r="D487" s="3018">
        <f>[2]分摊!H489</f>
        <v>24.67</v>
      </c>
      <c r="E487" s="3017">
        <f t="shared" si="7"/>
        <v>37.39</v>
      </c>
    </row>
    <row r="488" spans="1:5" ht="19.95" customHeight="1">
      <c r="A488" s="3020"/>
      <c r="B488" s="3015" t="str">
        <f>[2]分摊!B490</f>
        <v>车位485</v>
      </c>
      <c r="C488" s="3017">
        <f>[2]分摊!C490</f>
        <v>12.72</v>
      </c>
      <c r="D488" s="3018">
        <f>[2]分摊!H490</f>
        <v>24.67</v>
      </c>
      <c r="E488" s="3017">
        <f t="shared" si="7"/>
        <v>37.39</v>
      </c>
    </row>
    <row r="489" spans="1:5" ht="19.95" customHeight="1">
      <c r="A489" s="3020"/>
      <c r="B489" s="3015" t="str">
        <f>[2]分摊!B491</f>
        <v>车位486</v>
      </c>
      <c r="C489" s="3017">
        <f>[2]分摊!C491</f>
        <v>12.72</v>
      </c>
      <c r="D489" s="3018">
        <f>[2]分摊!H491</f>
        <v>24.67</v>
      </c>
      <c r="E489" s="3017">
        <f t="shared" si="7"/>
        <v>37.39</v>
      </c>
    </row>
    <row r="490" spans="1:5" ht="19.95" customHeight="1">
      <c r="A490" s="3020"/>
      <c r="B490" s="3015" t="str">
        <f>[2]分摊!B492</f>
        <v>车位487</v>
      </c>
      <c r="C490" s="3017">
        <f>[2]分摊!C492</f>
        <v>25.44</v>
      </c>
      <c r="D490" s="3018">
        <f>[2]分摊!H492</f>
        <v>49.33</v>
      </c>
      <c r="E490" s="3017">
        <f t="shared" si="7"/>
        <v>74.77</v>
      </c>
    </row>
    <row r="491" spans="1:5" ht="19.95" customHeight="1">
      <c r="A491" s="3020"/>
      <c r="B491" s="3015" t="str">
        <f>[2]分摊!B493</f>
        <v>车位488</v>
      </c>
      <c r="C491" s="3017">
        <f>[2]分摊!C493</f>
        <v>25.44</v>
      </c>
      <c r="D491" s="3018">
        <f>[2]分摊!H493</f>
        <v>49.33</v>
      </c>
      <c r="E491" s="3017">
        <f t="shared" si="7"/>
        <v>74.77</v>
      </c>
    </row>
    <row r="492" spans="1:5" ht="19.95" customHeight="1">
      <c r="A492" s="3020"/>
      <c r="B492" s="3015" t="str">
        <f>[2]分摊!B494</f>
        <v>车位489</v>
      </c>
      <c r="C492" s="3017">
        <f>[2]分摊!C494</f>
        <v>12.72</v>
      </c>
      <c r="D492" s="3018">
        <f>[2]分摊!H494</f>
        <v>24.67</v>
      </c>
      <c r="E492" s="3017">
        <f t="shared" si="7"/>
        <v>37.39</v>
      </c>
    </row>
    <row r="493" spans="1:5" ht="19.95" customHeight="1">
      <c r="A493" s="3020"/>
      <c r="B493" s="3015" t="str">
        <f>[2]分摊!B495</f>
        <v>车位490</v>
      </c>
      <c r="C493" s="3017">
        <f>[2]分摊!C495</f>
        <v>25.44</v>
      </c>
      <c r="D493" s="3018">
        <f>[2]分摊!H495</f>
        <v>49.33</v>
      </c>
      <c r="E493" s="3017">
        <f t="shared" si="7"/>
        <v>74.77</v>
      </c>
    </row>
    <row r="494" spans="1:5" ht="19.95" customHeight="1">
      <c r="A494" s="3020"/>
      <c r="B494" s="3015" t="str">
        <f>[2]分摊!B496</f>
        <v>车位491</v>
      </c>
      <c r="C494" s="3017">
        <f>[2]分摊!C496</f>
        <v>25.44</v>
      </c>
      <c r="D494" s="3018">
        <f>[2]分摊!H496</f>
        <v>49.33</v>
      </c>
      <c r="E494" s="3017">
        <f t="shared" si="7"/>
        <v>74.77</v>
      </c>
    </row>
    <row r="495" spans="1:5" ht="19.95" customHeight="1">
      <c r="A495" s="3020"/>
      <c r="B495" s="3015" t="str">
        <f>[2]分摊!B497</f>
        <v>车位492</v>
      </c>
      <c r="C495" s="3017">
        <f>[2]分摊!C497</f>
        <v>12.72</v>
      </c>
      <c r="D495" s="3018">
        <f>[2]分摊!H497</f>
        <v>24.67</v>
      </c>
      <c r="E495" s="3017">
        <f t="shared" si="7"/>
        <v>37.39</v>
      </c>
    </row>
    <row r="496" spans="1:5" ht="19.95" customHeight="1">
      <c r="A496" s="3020"/>
      <c r="B496" s="3015" t="str">
        <f>[2]分摊!B498</f>
        <v>车位493</v>
      </c>
      <c r="C496" s="3017">
        <f>[2]分摊!C498</f>
        <v>12.72</v>
      </c>
      <c r="D496" s="3018">
        <f>[2]分摊!H498</f>
        <v>24.67</v>
      </c>
      <c r="E496" s="3017">
        <f t="shared" si="7"/>
        <v>37.39</v>
      </c>
    </row>
    <row r="497" spans="1:5" ht="19.95" customHeight="1">
      <c r="A497" s="3020"/>
      <c r="B497" s="3015" t="str">
        <f>[2]分摊!B499</f>
        <v>车位494</v>
      </c>
      <c r="C497" s="3017">
        <f>[2]分摊!C499</f>
        <v>12.72</v>
      </c>
      <c r="D497" s="3018">
        <f>[2]分摊!H499</f>
        <v>24.67</v>
      </c>
      <c r="E497" s="3017">
        <f t="shared" si="7"/>
        <v>37.39</v>
      </c>
    </row>
    <row r="498" spans="1:5" ht="19.95" customHeight="1">
      <c r="A498" s="3020"/>
      <c r="B498" s="3015" t="str">
        <f>[2]分摊!B500</f>
        <v>车位495</v>
      </c>
      <c r="C498" s="3017">
        <f>[2]分摊!C500</f>
        <v>25.44</v>
      </c>
      <c r="D498" s="3018">
        <f>[2]分摊!H500</f>
        <v>49.33</v>
      </c>
      <c r="E498" s="3017">
        <f t="shared" si="7"/>
        <v>74.77</v>
      </c>
    </row>
    <row r="499" spans="1:5" ht="19.95" customHeight="1">
      <c r="A499" s="3020"/>
      <c r="B499" s="3015" t="str">
        <f>[2]分摊!B501</f>
        <v>车位496</v>
      </c>
      <c r="C499" s="3017">
        <f>[2]分摊!C501</f>
        <v>25.44</v>
      </c>
      <c r="D499" s="3018">
        <f>[2]分摊!H501</f>
        <v>49.33</v>
      </c>
      <c r="E499" s="3017">
        <f t="shared" si="7"/>
        <v>74.77</v>
      </c>
    </row>
    <row r="500" spans="1:5" ht="19.95" customHeight="1">
      <c r="A500" s="3020"/>
      <c r="B500" s="3015" t="str">
        <f>[2]分摊!B502</f>
        <v>车位497</v>
      </c>
      <c r="C500" s="3017">
        <f>[2]分摊!C502</f>
        <v>25.44</v>
      </c>
      <c r="D500" s="3018">
        <f>[2]分摊!H502</f>
        <v>49.33</v>
      </c>
      <c r="E500" s="3017">
        <f t="shared" si="7"/>
        <v>74.77</v>
      </c>
    </row>
    <row r="501" spans="1:5" ht="19.95" customHeight="1">
      <c r="A501" s="3020"/>
      <c r="B501" s="3015" t="str">
        <f>[2]分摊!B503</f>
        <v>车位498</v>
      </c>
      <c r="C501" s="3017">
        <f>[2]分摊!C503</f>
        <v>25.44</v>
      </c>
      <c r="D501" s="3018">
        <f>[2]分摊!H503</f>
        <v>49.33</v>
      </c>
      <c r="E501" s="3017">
        <f t="shared" si="7"/>
        <v>74.77</v>
      </c>
    </row>
    <row r="502" spans="1:5" ht="19.95" customHeight="1">
      <c r="A502" s="3020"/>
      <c r="B502" s="3015" t="str">
        <f>[2]分摊!B504</f>
        <v>车位499</v>
      </c>
      <c r="C502" s="3017">
        <f>[2]分摊!C504</f>
        <v>12.72</v>
      </c>
      <c r="D502" s="3018">
        <f>[2]分摊!H504</f>
        <v>24.67</v>
      </c>
      <c r="E502" s="3017">
        <f t="shared" si="7"/>
        <v>37.39</v>
      </c>
    </row>
    <row r="503" spans="1:5" ht="19.95" customHeight="1">
      <c r="A503" s="3020"/>
      <c r="B503" s="3015" t="str">
        <f>[2]分摊!B505</f>
        <v>车位500</v>
      </c>
      <c r="C503" s="3017">
        <f>[2]分摊!C505</f>
        <v>12.72</v>
      </c>
      <c r="D503" s="3018">
        <f>[2]分摊!H505</f>
        <v>24.67</v>
      </c>
      <c r="E503" s="3017">
        <f t="shared" si="7"/>
        <v>37.39</v>
      </c>
    </row>
    <row r="504" spans="1:5" ht="19.95" customHeight="1">
      <c r="A504" s="3020"/>
      <c r="B504" s="3015" t="str">
        <f>[2]分摊!B506</f>
        <v>车位501</v>
      </c>
      <c r="C504" s="3017">
        <f>[2]分摊!C506</f>
        <v>12.72</v>
      </c>
      <c r="D504" s="3018">
        <f>[2]分摊!H506</f>
        <v>24.67</v>
      </c>
      <c r="E504" s="3017">
        <f t="shared" si="7"/>
        <v>37.39</v>
      </c>
    </row>
    <row r="505" spans="1:5" ht="19.95" customHeight="1">
      <c r="A505" s="3020"/>
      <c r="B505" s="3015" t="str">
        <f>[2]分摊!B507</f>
        <v>车位502</v>
      </c>
      <c r="C505" s="3017">
        <f>[2]分摊!C507</f>
        <v>25.44</v>
      </c>
      <c r="D505" s="3018">
        <f>[2]分摊!H507</f>
        <v>49.33</v>
      </c>
      <c r="E505" s="3017">
        <f t="shared" si="7"/>
        <v>74.77</v>
      </c>
    </row>
    <row r="506" spans="1:5" ht="19.95" customHeight="1">
      <c r="A506" s="3020"/>
      <c r="B506" s="3015" t="str">
        <f>[2]分摊!B508</f>
        <v>车位503</v>
      </c>
      <c r="C506" s="3017">
        <f>[2]分摊!C508</f>
        <v>25.44</v>
      </c>
      <c r="D506" s="3018">
        <f>[2]分摊!H508</f>
        <v>49.33</v>
      </c>
      <c r="E506" s="3017">
        <f t="shared" si="7"/>
        <v>74.77</v>
      </c>
    </row>
    <row r="507" spans="1:5" ht="19.95" customHeight="1">
      <c r="A507" s="3020"/>
      <c r="B507" s="3015" t="str">
        <f>[2]分摊!B509</f>
        <v>车位504</v>
      </c>
      <c r="C507" s="3017">
        <f>[2]分摊!C509</f>
        <v>12.72</v>
      </c>
      <c r="D507" s="3018">
        <f>[2]分摊!H509</f>
        <v>24.67</v>
      </c>
      <c r="E507" s="3017">
        <f t="shared" si="7"/>
        <v>37.39</v>
      </c>
    </row>
    <row r="508" spans="1:5" ht="19.95" customHeight="1">
      <c r="A508" s="3020"/>
      <c r="B508" s="3015" t="str">
        <f>[2]分摊!B510</f>
        <v>车位505</v>
      </c>
      <c r="C508" s="3017">
        <f>[2]分摊!C510</f>
        <v>12.72</v>
      </c>
      <c r="D508" s="3018">
        <f>[2]分摊!H510</f>
        <v>24.67</v>
      </c>
      <c r="E508" s="3017">
        <f t="shared" si="7"/>
        <v>37.39</v>
      </c>
    </row>
    <row r="509" spans="1:5" ht="19.95" customHeight="1">
      <c r="A509" s="3020"/>
      <c r="B509" s="3015" t="str">
        <f>[2]分摊!B511</f>
        <v>车位506</v>
      </c>
      <c r="C509" s="3017">
        <f>[2]分摊!C511</f>
        <v>12.72</v>
      </c>
      <c r="D509" s="3018">
        <f>[2]分摊!H511</f>
        <v>24.67</v>
      </c>
      <c r="E509" s="3017">
        <f t="shared" si="7"/>
        <v>37.39</v>
      </c>
    </row>
    <row r="510" spans="1:5" ht="19.95" customHeight="1">
      <c r="A510" s="3020"/>
      <c r="B510" s="3015" t="str">
        <f>[2]分摊!B512</f>
        <v>车位507</v>
      </c>
      <c r="C510" s="3017">
        <f>[2]分摊!C512</f>
        <v>25.44</v>
      </c>
      <c r="D510" s="3018">
        <f>[2]分摊!H512</f>
        <v>49.33</v>
      </c>
      <c r="E510" s="3017">
        <f t="shared" si="7"/>
        <v>74.77</v>
      </c>
    </row>
    <row r="511" spans="1:5" ht="19.95" customHeight="1">
      <c r="A511" s="3020"/>
      <c r="B511" s="3015" t="str">
        <f>[2]分摊!B513</f>
        <v>车位508</v>
      </c>
      <c r="C511" s="3017">
        <f>[2]分摊!C513</f>
        <v>12.72</v>
      </c>
      <c r="D511" s="3018">
        <f>[2]分摊!H513</f>
        <v>24.67</v>
      </c>
      <c r="E511" s="3017">
        <f t="shared" si="7"/>
        <v>37.39</v>
      </c>
    </row>
    <row r="512" spans="1:5" ht="19.95" customHeight="1">
      <c r="A512" s="3020"/>
      <c r="B512" s="3015" t="str">
        <f>[2]分摊!B514</f>
        <v>车位509</v>
      </c>
      <c r="C512" s="3017">
        <f>[2]分摊!C514</f>
        <v>12.72</v>
      </c>
      <c r="D512" s="3018">
        <f>[2]分摊!H514</f>
        <v>24.67</v>
      </c>
      <c r="E512" s="3017">
        <f t="shared" si="7"/>
        <v>37.39</v>
      </c>
    </row>
    <row r="513" spans="1:5" ht="19.95" customHeight="1">
      <c r="A513" s="3020"/>
      <c r="B513" s="3015" t="str">
        <f>[2]分摊!B515</f>
        <v>车位510</v>
      </c>
      <c r="C513" s="3017">
        <f>[2]分摊!C515</f>
        <v>12.72</v>
      </c>
      <c r="D513" s="3018">
        <f>[2]分摊!H515</f>
        <v>24.67</v>
      </c>
      <c r="E513" s="3017">
        <f t="shared" si="7"/>
        <v>37.39</v>
      </c>
    </row>
    <row r="514" spans="1:5" ht="19.95" customHeight="1">
      <c r="A514" s="3020"/>
      <c r="B514" s="3015" t="str">
        <f>[2]分摊!B516</f>
        <v>车位511</v>
      </c>
      <c r="C514" s="3017">
        <f>[2]分摊!C516</f>
        <v>12.72</v>
      </c>
      <c r="D514" s="3018">
        <f>[2]分摊!H516</f>
        <v>24.67</v>
      </c>
      <c r="E514" s="3017">
        <f t="shared" si="7"/>
        <v>37.39</v>
      </c>
    </row>
    <row r="515" spans="1:5" ht="19.95" customHeight="1">
      <c r="A515" s="3020"/>
      <c r="B515" s="3015" t="str">
        <f>[2]分摊!B517</f>
        <v>车位512</v>
      </c>
      <c r="C515" s="3017">
        <f>[2]分摊!C517</f>
        <v>25.44</v>
      </c>
      <c r="D515" s="3018">
        <f>[2]分摊!H517</f>
        <v>49.33</v>
      </c>
      <c r="E515" s="3017">
        <f t="shared" si="7"/>
        <v>74.77</v>
      </c>
    </row>
    <row r="516" spans="1:5" ht="19.95" customHeight="1">
      <c r="A516" s="3020"/>
      <c r="B516" s="3015" t="str">
        <f>[2]分摊!B518</f>
        <v>车位513</v>
      </c>
      <c r="C516" s="3017">
        <f>[2]分摊!C518</f>
        <v>25.44</v>
      </c>
      <c r="D516" s="3018">
        <f>[2]分摊!H518</f>
        <v>49.33</v>
      </c>
      <c r="E516" s="3017">
        <f t="shared" si="7"/>
        <v>74.77</v>
      </c>
    </row>
    <row r="517" spans="1:5" ht="19.95" customHeight="1">
      <c r="A517" s="3020"/>
      <c r="B517" s="3015" t="str">
        <f>[2]分摊!B519</f>
        <v>车位514</v>
      </c>
      <c r="C517" s="3017">
        <f>[2]分摊!C519</f>
        <v>12.72</v>
      </c>
      <c r="D517" s="3018">
        <f>[2]分摊!H519</f>
        <v>24.67</v>
      </c>
      <c r="E517" s="3017">
        <f t="shared" ref="E517:E580" si="8">SUM(C517:D517)</f>
        <v>37.39</v>
      </c>
    </row>
    <row r="518" spans="1:5" ht="19.95" customHeight="1">
      <c r="A518" s="3020"/>
      <c r="B518" s="3015" t="str">
        <f>[2]分摊!B520</f>
        <v>车位515</v>
      </c>
      <c r="C518" s="3017">
        <f>[2]分摊!C520</f>
        <v>12.72</v>
      </c>
      <c r="D518" s="3018">
        <f>[2]分摊!H520</f>
        <v>24.67</v>
      </c>
      <c r="E518" s="3017">
        <f t="shared" si="8"/>
        <v>37.39</v>
      </c>
    </row>
    <row r="519" spans="1:5" ht="19.95" customHeight="1">
      <c r="A519" s="3020"/>
      <c r="B519" s="3015" t="str">
        <f>[2]分摊!B521</f>
        <v>车位516</v>
      </c>
      <c r="C519" s="3017">
        <f>[2]分摊!C521</f>
        <v>12.72</v>
      </c>
      <c r="D519" s="3018">
        <f>[2]分摊!H521</f>
        <v>24.67</v>
      </c>
      <c r="E519" s="3017">
        <f t="shared" si="8"/>
        <v>37.39</v>
      </c>
    </row>
    <row r="520" spans="1:5" ht="19.95" customHeight="1">
      <c r="A520" s="3020"/>
      <c r="B520" s="3015" t="str">
        <f>[2]分摊!B522</f>
        <v>车位517</v>
      </c>
      <c r="C520" s="3017">
        <f>[2]分摊!C522</f>
        <v>12.72</v>
      </c>
      <c r="D520" s="3018">
        <f>[2]分摊!H522</f>
        <v>24.67</v>
      </c>
      <c r="E520" s="3017">
        <f t="shared" si="8"/>
        <v>37.39</v>
      </c>
    </row>
    <row r="521" spans="1:5" ht="19.95" customHeight="1">
      <c r="A521" s="3020"/>
      <c r="B521" s="3015" t="str">
        <f>[2]分摊!B523</f>
        <v>车位518</v>
      </c>
      <c r="C521" s="3017">
        <f>[2]分摊!C523</f>
        <v>12.72</v>
      </c>
      <c r="D521" s="3018">
        <f>[2]分摊!H523</f>
        <v>24.67</v>
      </c>
      <c r="E521" s="3017">
        <f t="shared" si="8"/>
        <v>37.39</v>
      </c>
    </row>
    <row r="522" spans="1:5" ht="19.95" customHeight="1">
      <c r="A522" s="3020"/>
      <c r="B522" s="3015" t="str">
        <f>[2]分摊!B524</f>
        <v>车位519</v>
      </c>
      <c r="C522" s="3017">
        <f>[2]分摊!C524</f>
        <v>12.72</v>
      </c>
      <c r="D522" s="3018">
        <f>[2]分摊!H524</f>
        <v>24.67</v>
      </c>
      <c r="E522" s="3017">
        <f t="shared" si="8"/>
        <v>37.39</v>
      </c>
    </row>
    <row r="523" spans="1:5" ht="19.95" customHeight="1">
      <c r="A523" s="3020"/>
      <c r="B523" s="3015" t="str">
        <f>[2]分摊!B525</f>
        <v>车位520</v>
      </c>
      <c r="C523" s="3017">
        <f>[2]分摊!C525</f>
        <v>12.72</v>
      </c>
      <c r="D523" s="3018">
        <f>[2]分摊!H525</f>
        <v>24.67</v>
      </c>
      <c r="E523" s="3017">
        <f t="shared" si="8"/>
        <v>37.39</v>
      </c>
    </row>
    <row r="524" spans="1:5" ht="19.95" customHeight="1">
      <c r="A524" s="3020"/>
      <c r="B524" s="3015" t="str">
        <f>[2]分摊!B526</f>
        <v>车位521</v>
      </c>
      <c r="C524" s="3017">
        <f>[2]分摊!C526</f>
        <v>12.72</v>
      </c>
      <c r="D524" s="3018">
        <f>[2]分摊!H526</f>
        <v>24.67</v>
      </c>
      <c r="E524" s="3017">
        <f t="shared" si="8"/>
        <v>37.39</v>
      </c>
    </row>
    <row r="525" spans="1:5" ht="19.95" customHeight="1">
      <c r="A525" s="3020"/>
      <c r="B525" s="3015" t="str">
        <f>[2]分摊!B527</f>
        <v>车位522</v>
      </c>
      <c r="C525" s="3017">
        <f>[2]分摊!C527</f>
        <v>25.44</v>
      </c>
      <c r="D525" s="3018">
        <f>[2]分摊!H527</f>
        <v>49.33</v>
      </c>
      <c r="E525" s="3017">
        <f t="shared" si="8"/>
        <v>74.77</v>
      </c>
    </row>
    <row r="526" spans="1:5" ht="19.95" customHeight="1">
      <c r="A526" s="3020"/>
      <c r="B526" s="3015" t="str">
        <f>[2]分摊!B528</f>
        <v>微型车位523</v>
      </c>
      <c r="C526" s="3017">
        <f>[2]分摊!C528</f>
        <v>11.66</v>
      </c>
      <c r="D526" s="3018">
        <f>[2]分摊!H528</f>
        <v>22.61</v>
      </c>
      <c r="E526" s="3017">
        <f t="shared" si="8"/>
        <v>34.269999999999996</v>
      </c>
    </row>
    <row r="527" spans="1:5" ht="19.95" customHeight="1">
      <c r="A527" s="3020"/>
      <c r="B527" s="3015" t="str">
        <f>[2]分摊!B529</f>
        <v>车位524</v>
      </c>
      <c r="C527" s="3017">
        <f>[2]分摊!C529</f>
        <v>12.72</v>
      </c>
      <c r="D527" s="3018">
        <f>[2]分摊!H529</f>
        <v>24.67</v>
      </c>
      <c r="E527" s="3017">
        <f t="shared" si="8"/>
        <v>37.39</v>
      </c>
    </row>
    <row r="528" spans="1:5" ht="19.95" customHeight="1">
      <c r="A528" s="3020"/>
      <c r="B528" s="3015" t="str">
        <f>[2]分摊!B530</f>
        <v>车位525</v>
      </c>
      <c r="C528" s="3017">
        <f>[2]分摊!C530</f>
        <v>12.72</v>
      </c>
      <c r="D528" s="3018">
        <f>[2]分摊!H530</f>
        <v>24.67</v>
      </c>
      <c r="E528" s="3017">
        <f t="shared" si="8"/>
        <v>37.39</v>
      </c>
    </row>
    <row r="529" spans="1:5" ht="19.95" customHeight="1">
      <c r="A529" s="3020"/>
      <c r="B529" s="3015" t="str">
        <f>[2]分摊!B531</f>
        <v>车位526</v>
      </c>
      <c r="C529" s="3017">
        <f>[2]分摊!C531</f>
        <v>25.44</v>
      </c>
      <c r="D529" s="3018">
        <f>[2]分摊!H531</f>
        <v>49.33</v>
      </c>
      <c r="E529" s="3017">
        <f t="shared" si="8"/>
        <v>74.77</v>
      </c>
    </row>
    <row r="530" spans="1:5" ht="19.95" customHeight="1">
      <c r="A530" s="3020"/>
      <c r="B530" s="3015" t="str">
        <f>[2]分摊!B532</f>
        <v>车位527</v>
      </c>
      <c r="C530" s="3017">
        <f>[2]分摊!C532</f>
        <v>12.72</v>
      </c>
      <c r="D530" s="3018">
        <f>[2]分摊!H532</f>
        <v>24.67</v>
      </c>
      <c r="E530" s="3017">
        <f t="shared" si="8"/>
        <v>37.39</v>
      </c>
    </row>
    <row r="531" spans="1:5" ht="19.95" customHeight="1">
      <c r="A531" s="3020"/>
      <c r="B531" s="3015" t="str">
        <f>[2]分摊!B533</f>
        <v>车位528</v>
      </c>
      <c r="C531" s="3017">
        <f>[2]分摊!C533</f>
        <v>12.72</v>
      </c>
      <c r="D531" s="3018">
        <f>[2]分摊!H533</f>
        <v>24.67</v>
      </c>
      <c r="E531" s="3017">
        <f t="shared" si="8"/>
        <v>37.39</v>
      </c>
    </row>
    <row r="532" spans="1:5" ht="19.95" customHeight="1">
      <c r="A532" s="3020"/>
      <c r="B532" s="3015" t="str">
        <f>[2]分摊!B534</f>
        <v>车位529</v>
      </c>
      <c r="C532" s="3017">
        <f>[2]分摊!C534</f>
        <v>12.72</v>
      </c>
      <c r="D532" s="3018">
        <f>[2]分摊!H534</f>
        <v>24.67</v>
      </c>
      <c r="E532" s="3017">
        <f t="shared" si="8"/>
        <v>37.39</v>
      </c>
    </row>
    <row r="533" spans="1:5" ht="19.95" customHeight="1">
      <c r="A533" s="3020"/>
      <c r="B533" s="3015" t="str">
        <f>[2]分摊!B535</f>
        <v>车位530</v>
      </c>
      <c r="C533" s="3017">
        <f>[2]分摊!C535</f>
        <v>12.72</v>
      </c>
      <c r="D533" s="3018">
        <f>[2]分摊!H535</f>
        <v>24.67</v>
      </c>
      <c r="E533" s="3017">
        <f t="shared" si="8"/>
        <v>37.39</v>
      </c>
    </row>
    <row r="534" spans="1:5" ht="19.95" customHeight="1">
      <c r="A534" s="3020"/>
      <c r="B534" s="3015" t="str">
        <f>[2]分摊!B536</f>
        <v>车位531</v>
      </c>
      <c r="C534" s="3017">
        <f>[2]分摊!C536</f>
        <v>25.44</v>
      </c>
      <c r="D534" s="3018">
        <f>[2]分摊!H536</f>
        <v>49.33</v>
      </c>
      <c r="E534" s="3017">
        <f t="shared" si="8"/>
        <v>74.77</v>
      </c>
    </row>
    <row r="535" spans="1:5" ht="19.95" customHeight="1">
      <c r="A535" s="3020"/>
      <c r="B535" s="3015" t="str">
        <f>[2]分摊!B537</f>
        <v>车位532</v>
      </c>
      <c r="C535" s="3017">
        <f>[2]分摊!C537</f>
        <v>25.44</v>
      </c>
      <c r="D535" s="3018">
        <f>[2]分摊!H537</f>
        <v>49.33</v>
      </c>
      <c r="E535" s="3017">
        <f t="shared" si="8"/>
        <v>74.77</v>
      </c>
    </row>
    <row r="536" spans="1:5" ht="19.95" customHeight="1">
      <c r="A536" s="3020"/>
      <c r="B536" s="3015" t="str">
        <f>[2]分摊!B538</f>
        <v>车位533</v>
      </c>
      <c r="C536" s="3017">
        <f>[2]分摊!C538</f>
        <v>12.72</v>
      </c>
      <c r="D536" s="3018">
        <f>[2]分摊!H538</f>
        <v>24.67</v>
      </c>
      <c r="E536" s="3017">
        <f t="shared" si="8"/>
        <v>37.39</v>
      </c>
    </row>
    <row r="537" spans="1:5" ht="19.95" customHeight="1">
      <c r="A537" s="3020"/>
      <c r="B537" s="3015" t="str">
        <f>[2]分摊!B539</f>
        <v>车位534</v>
      </c>
      <c r="C537" s="3017">
        <f>[2]分摊!C539</f>
        <v>12.72</v>
      </c>
      <c r="D537" s="3018">
        <f>[2]分摊!H539</f>
        <v>24.67</v>
      </c>
      <c r="E537" s="3017">
        <f t="shared" si="8"/>
        <v>37.39</v>
      </c>
    </row>
    <row r="538" spans="1:5" ht="19.95" customHeight="1">
      <c r="A538" s="3020"/>
      <c r="B538" s="3015" t="str">
        <f>[2]分摊!B540</f>
        <v>车位535</v>
      </c>
      <c r="C538" s="3017">
        <f>[2]分摊!C540</f>
        <v>12.72</v>
      </c>
      <c r="D538" s="3018">
        <f>[2]分摊!H540</f>
        <v>24.67</v>
      </c>
      <c r="E538" s="3017">
        <f t="shared" si="8"/>
        <v>37.39</v>
      </c>
    </row>
    <row r="539" spans="1:5" ht="19.95" customHeight="1">
      <c r="A539" s="3020"/>
      <c r="B539" s="3015" t="str">
        <f>[2]分摊!B541</f>
        <v>车位536</v>
      </c>
      <c r="C539" s="3017">
        <f>[2]分摊!C541</f>
        <v>12.72</v>
      </c>
      <c r="D539" s="3018">
        <f>[2]分摊!H541</f>
        <v>24.67</v>
      </c>
      <c r="E539" s="3017">
        <f t="shared" si="8"/>
        <v>37.39</v>
      </c>
    </row>
    <row r="540" spans="1:5" ht="19.95" customHeight="1">
      <c r="A540" s="3020"/>
      <c r="B540" s="3015" t="str">
        <f>[2]分摊!B542</f>
        <v>车位537</v>
      </c>
      <c r="C540" s="3017">
        <f>[2]分摊!C542</f>
        <v>12.72</v>
      </c>
      <c r="D540" s="3018">
        <f>[2]分摊!H542</f>
        <v>24.67</v>
      </c>
      <c r="E540" s="3017">
        <f t="shared" si="8"/>
        <v>37.39</v>
      </c>
    </row>
    <row r="541" spans="1:5" ht="19.95" customHeight="1">
      <c r="A541" s="3020"/>
      <c r="B541" s="3015" t="str">
        <f>[2]分摊!B543</f>
        <v>车位538</v>
      </c>
      <c r="C541" s="3017">
        <f>[2]分摊!C543</f>
        <v>12.72</v>
      </c>
      <c r="D541" s="3018">
        <f>[2]分摊!H543</f>
        <v>24.67</v>
      </c>
      <c r="E541" s="3017">
        <f t="shared" si="8"/>
        <v>37.39</v>
      </c>
    </row>
    <row r="542" spans="1:5" ht="19.95" customHeight="1">
      <c r="A542" s="3020"/>
      <c r="B542" s="3015" t="str">
        <f>[2]分摊!B544</f>
        <v>车位539</v>
      </c>
      <c r="C542" s="3017">
        <f>[2]分摊!C544</f>
        <v>12.72</v>
      </c>
      <c r="D542" s="3018">
        <f>[2]分摊!H544</f>
        <v>24.67</v>
      </c>
      <c r="E542" s="3017">
        <f t="shared" si="8"/>
        <v>37.39</v>
      </c>
    </row>
    <row r="543" spans="1:5" ht="19.95" customHeight="1">
      <c r="A543" s="3020"/>
      <c r="B543" s="3015" t="str">
        <f>[2]分摊!B545</f>
        <v>车位540</v>
      </c>
      <c r="C543" s="3017">
        <f>[2]分摊!C545</f>
        <v>12.72</v>
      </c>
      <c r="D543" s="3018">
        <f>[2]分摊!H545</f>
        <v>24.67</v>
      </c>
      <c r="E543" s="3017">
        <f t="shared" si="8"/>
        <v>37.39</v>
      </c>
    </row>
    <row r="544" spans="1:5" ht="19.95" customHeight="1">
      <c r="A544" s="3020"/>
      <c r="B544" s="3015" t="str">
        <f>[2]分摊!B546</f>
        <v>车位541</v>
      </c>
      <c r="C544" s="3017">
        <f>[2]分摊!C546</f>
        <v>25.44</v>
      </c>
      <c r="D544" s="3018">
        <f>[2]分摊!H546</f>
        <v>49.33</v>
      </c>
      <c r="E544" s="3017">
        <f t="shared" si="8"/>
        <v>74.77</v>
      </c>
    </row>
    <row r="545" spans="1:5" ht="19.95" customHeight="1">
      <c r="A545" s="3020"/>
      <c r="B545" s="3015" t="str">
        <f>[2]分摊!B547</f>
        <v>车位542</v>
      </c>
      <c r="C545" s="3017">
        <f>[2]分摊!C547</f>
        <v>12.72</v>
      </c>
      <c r="D545" s="3018">
        <f>[2]分摊!H547</f>
        <v>24.67</v>
      </c>
      <c r="E545" s="3017">
        <f t="shared" si="8"/>
        <v>37.39</v>
      </c>
    </row>
    <row r="546" spans="1:5" ht="19.95" customHeight="1">
      <c r="A546" s="3020"/>
      <c r="B546" s="3015" t="str">
        <f>[2]分摊!B548</f>
        <v>车位543</v>
      </c>
      <c r="C546" s="3017">
        <f>[2]分摊!C548</f>
        <v>25.44</v>
      </c>
      <c r="D546" s="3018">
        <f>[2]分摊!H548</f>
        <v>49.33</v>
      </c>
      <c r="E546" s="3017">
        <f t="shared" si="8"/>
        <v>74.77</v>
      </c>
    </row>
    <row r="547" spans="1:5" ht="19.95" customHeight="1">
      <c r="A547" s="3020"/>
      <c r="B547" s="3015" t="str">
        <f>[2]分摊!B549</f>
        <v>车位544</v>
      </c>
      <c r="C547" s="3017">
        <f>[2]分摊!C549</f>
        <v>12.72</v>
      </c>
      <c r="D547" s="3018">
        <f>[2]分摊!H549</f>
        <v>24.67</v>
      </c>
      <c r="E547" s="3017">
        <f t="shared" si="8"/>
        <v>37.39</v>
      </c>
    </row>
    <row r="548" spans="1:5" ht="19.95" customHeight="1">
      <c r="A548" s="3020"/>
      <c r="B548" s="3015" t="str">
        <f>[2]分摊!B550</f>
        <v>车位545</v>
      </c>
      <c r="C548" s="3017">
        <f>[2]分摊!C550</f>
        <v>12.72</v>
      </c>
      <c r="D548" s="3018">
        <f>[2]分摊!H550</f>
        <v>24.67</v>
      </c>
      <c r="E548" s="3017">
        <f t="shared" si="8"/>
        <v>37.39</v>
      </c>
    </row>
    <row r="549" spans="1:5" ht="19.95" customHeight="1">
      <c r="A549" s="3020"/>
      <c r="B549" s="3015" t="str">
        <f>[2]分摊!B551</f>
        <v>车位546</v>
      </c>
      <c r="C549" s="3017">
        <f>[2]分摊!C551</f>
        <v>12.72</v>
      </c>
      <c r="D549" s="3018">
        <f>[2]分摊!H551</f>
        <v>24.67</v>
      </c>
      <c r="E549" s="3017">
        <f t="shared" si="8"/>
        <v>37.39</v>
      </c>
    </row>
    <row r="550" spans="1:5" ht="19.95" customHeight="1">
      <c r="A550" s="3020"/>
      <c r="B550" s="3015" t="str">
        <f>[2]分摊!B552</f>
        <v>车位547</v>
      </c>
      <c r="C550" s="3017">
        <f>[2]分摊!C552</f>
        <v>12.72</v>
      </c>
      <c r="D550" s="3018">
        <f>[2]分摊!H552</f>
        <v>24.67</v>
      </c>
      <c r="E550" s="3017">
        <f t="shared" si="8"/>
        <v>37.39</v>
      </c>
    </row>
    <row r="551" spans="1:5" ht="19.95" customHeight="1">
      <c r="A551" s="3020"/>
      <c r="B551" s="3015" t="str">
        <f>[2]分摊!B553</f>
        <v>车位548</v>
      </c>
      <c r="C551" s="3017">
        <f>[2]分摊!C553</f>
        <v>12.72</v>
      </c>
      <c r="D551" s="3018">
        <f>[2]分摊!H553</f>
        <v>24.67</v>
      </c>
      <c r="E551" s="3017">
        <f t="shared" si="8"/>
        <v>37.39</v>
      </c>
    </row>
    <row r="552" spans="1:5" ht="19.95" customHeight="1">
      <c r="A552" s="3020"/>
      <c r="B552" s="3015" t="str">
        <f>[2]分摊!B554</f>
        <v>车位549</v>
      </c>
      <c r="C552" s="3017">
        <f>[2]分摊!C554</f>
        <v>12.72</v>
      </c>
      <c r="D552" s="3018">
        <f>[2]分摊!H554</f>
        <v>24.67</v>
      </c>
      <c r="E552" s="3017">
        <f t="shared" si="8"/>
        <v>37.39</v>
      </c>
    </row>
    <row r="553" spans="1:5" ht="19.95" customHeight="1">
      <c r="A553" s="3020"/>
      <c r="B553" s="3015" t="str">
        <f>[2]分摊!B555</f>
        <v>车位550</v>
      </c>
      <c r="C553" s="3017">
        <f>[2]分摊!C555</f>
        <v>12.72</v>
      </c>
      <c r="D553" s="3018">
        <f>[2]分摊!H555</f>
        <v>24.67</v>
      </c>
      <c r="E553" s="3017">
        <f t="shared" si="8"/>
        <v>37.39</v>
      </c>
    </row>
    <row r="554" spans="1:5" ht="19.95" customHeight="1">
      <c r="A554" s="3020"/>
      <c r="B554" s="3015" t="str">
        <f>[2]分摊!B556</f>
        <v>车位551</v>
      </c>
      <c r="C554" s="3017">
        <f>[2]分摊!C556</f>
        <v>12.72</v>
      </c>
      <c r="D554" s="3018">
        <f>[2]分摊!H556</f>
        <v>24.67</v>
      </c>
      <c r="E554" s="3017">
        <f t="shared" si="8"/>
        <v>37.39</v>
      </c>
    </row>
    <row r="555" spans="1:5" ht="19.95" customHeight="1">
      <c r="A555" s="3020"/>
      <c r="B555" s="3015" t="str">
        <f>[2]分摊!B557</f>
        <v>车位552</v>
      </c>
      <c r="C555" s="3017">
        <f>[2]分摊!C557</f>
        <v>25.44</v>
      </c>
      <c r="D555" s="3018">
        <f>[2]分摊!H557</f>
        <v>49.33</v>
      </c>
      <c r="E555" s="3017">
        <f t="shared" si="8"/>
        <v>74.77</v>
      </c>
    </row>
    <row r="556" spans="1:5" ht="19.95" customHeight="1">
      <c r="A556" s="3020"/>
      <c r="B556" s="3015" t="str">
        <f>[2]分摊!B558</f>
        <v>车位553</v>
      </c>
      <c r="C556" s="3017">
        <f>[2]分摊!C558</f>
        <v>12.72</v>
      </c>
      <c r="D556" s="3018">
        <f>[2]分摊!H558</f>
        <v>24.67</v>
      </c>
      <c r="E556" s="3017">
        <f t="shared" si="8"/>
        <v>37.39</v>
      </c>
    </row>
    <row r="557" spans="1:5" ht="19.95" customHeight="1">
      <c r="A557" s="3020"/>
      <c r="B557" s="3015" t="str">
        <f>[2]分摊!B559</f>
        <v>车位554</v>
      </c>
      <c r="C557" s="3017">
        <f>[2]分摊!C559</f>
        <v>12.72</v>
      </c>
      <c r="D557" s="3018">
        <f>[2]分摊!H559</f>
        <v>24.67</v>
      </c>
      <c r="E557" s="3017">
        <f t="shared" si="8"/>
        <v>37.39</v>
      </c>
    </row>
    <row r="558" spans="1:5" ht="19.95" customHeight="1">
      <c r="A558" s="3020"/>
      <c r="B558" s="3015" t="str">
        <f>[2]分摊!B560</f>
        <v>微型车位555</v>
      </c>
      <c r="C558" s="3017">
        <f>[2]分摊!C560</f>
        <v>11.66</v>
      </c>
      <c r="D558" s="3018">
        <f>[2]分摊!H560</f>
        <v>22.61</v>
      </c>
      <c r="E558" s="3017">
        <f t="shared" si="8"/>
        <v>34.269999999999996</v>
      </c>
    </row>
    <row r="559" spans="1:5" ht="19.95" customHeight="1">
      <c r="A559" s="3020"/>
      <c r="B559" s="3015" t="str">
        <f>[2]分摊!B561</f>
        <v>车位556</v>
      </c>
      <c r="C559" s="3017">
        <f>[2]分摊!C561</f>
        <v>25.44</v>
      </c>
      <c r="D559" s="3018">
        <f>[2]分摊!H561</f>
        <v>49.33</v>
      </c>
      <c r="E559" s="3017">
        <f t="shared" si="8"/>
        <v>74.77</v>
      </c>
    </row>
    <row r="560" spans="1:5" ht="19.95" customHeight="1">
      <c r="A560" s="3020"/>
      <c r="B560" s="3015" t="str">
        <f>[2]分摊!B562</f>
        <v>车位557</v>
      </c>
      <c r="C560" s="3017">
        <f>[2]分摊!C562</f>
        <v>12.72</v>
      </c>
      <c r="D560" s="3018">
        <f>[2]分摊!H562</f>
        <v>24.67</v>
      </c>
      <c r="E560" s="3017">
        <f t="shared" si="8"/>
        <v>37.39</v>
      </c>
    </row>
    <row r="561" spans="1:5" ht="19.95" customHeight="1">
      <c r="A561" s="3020"/>
      <c r="B561" s="3015" t="str">
        <f>[2]分摊!B563</f>
        <v>车位558</v>
      </c>
      <c r="C561" s="3017">
        <f>[2]分摊!C563</f>
        <v>12.72</v>
      </c>
      <c r="D561" s="3018">
        <f>[2]分摊!H563</f>
        <v>24.67</v>
      </c>
      <c r="E561" s="3017">
        <f t="shared" si="8"/>
        <v>37.39</v>
      </c>
    </row>
    <row r="562" spans="1:5" ht="19.95" customHeight="1">
      <c r="A562" s="3020"/>
      <c r="B562" s="3015" t="str">
        <f>[2]分摊!B564</f>
        <v>车位559</v>
      </c>
      <c r="C562" s="3017">
        <f>[2]分摊!C564</f>
        <v>12.72</v>
      </c>
      <c r="D562" s="3018">
        <f>[2]分摊!H564</f>
        <v>24.67</v>
      </c>
      <c r="E562" s="3017">
        <f t="shared" si="8"/>
        <v>37.39</v>
      </c>
    </row>
    <row r="563" spans="1:5" ht="19.95" customHeight="1">
      <c r="A563" s="3020"/>
      <c r="B563" s="3015" t="str">
        <f>[2]分摊!B565</f>
        <v>车位560</v>
      </c>
      <c r="C563" s="3017">
        <f>[2]分摊!C565</f>
        <v>12.72</v>
      </c>
      <c r="D563" s="3018">
        <f>[2]分摊!H565</f>
        <v>24.67</v>
      </c>
      <c r="E563" s="3017">
        <f t="shared" si="8"/>
        <v>37.39</v>
      </c>
    </row>
    <row r="564" spans="1:5" ht="19.95" customHeight="1">
      <c r="A564" s="3020"/>
      <c r="B564" s="3015" t="str">
        <f>[2]分摊!B566</f>
        <v>车位561</v>
      </c>
      <c r="C564" s="3017">
        <f>[2]分摊!C566</f>
        <v>12.72</v>
      </c>
      <c r="D564" s="3018">
        <f>[2]分摊!H566</f>
        <v>24.67</v>
      </c>
      <c r="E564" s="3017">
        <f t="shared" si="8"/>
        <v>37.39</v>
      </c>
    </row>
    <row r="565" spans="1:5" ht="19.95" customHeight="1">
      <c r="A565" s="3020"/>
      <c r="B565" s="3015" t="str">
        <f>[2]分摊!B567</f>
        <v>车位562</v>
      </c>
      <c r="C565" s="3017">
        <f>[2]分摊!C567</f>
        <v>12.72</v>
      </c>
      <c r="D565" s="3018">
        <f>[2]分摊!H567</f>
        <v>24.67</v>
      </c>
      <c r="E565" s="3017">
        <f t="shared" si="8"/>
        <v>37.39</v>
      </c>
    </row>
    <row r="566" spans="1:5" ht="19.95" customHeight="1">
      <c r="A566" s="3020"/>
      <c r="B566" s="3015" t="str">
        <f>[2]分摊!B568</f>
        <v>车位563</v>
      </c>
      <c r="C566" s="3017">
        <f>[2]分摊!C568</f>
        <v>12.72</v>
      </c>
      <c r="D566" s="3018">
        <f>[2]分摊!H568</f>
        <v>24.67</v>
      </c>
      <c r="E566" s="3017">
        <f t="shared" si="8"/>
        <v>37.39</v>
      </c>
    </row>
    <row r="567" spans="1:5" ht="19.95" customHeight="1">
      <c r="A567" s="3020"/>
      <c r="B567" s="3015" t="str">
        <f>[2]分摊!B569</f>
        <v>车位564</v>
      </c>
      <c r="C567" s="3017">
        <f>[2]分摊!C569</f>
        <v>12.72</v>
      </c>
      <c r="D567" s="3018">
        <f>[2]分摊!H569</f>
        <v>24.67</v>
      </c>
      <c r="E567" s="3017">
        <f t="shared" si="8"/>
        <v>37.39</v>
      </c>
    </row>
    <row r="568" spans="1:5" ht="19.95" customHeight="1">
      <c r="A568" s="3020"/>
      <c r="B568" s="3015" t="str">
        <f>[2]分摊!B570</f>
        <v>车位565</v>
      </c>
      <c r="C568" s="3017">
        <f>[2]分摊!C570</f>
        <v>25.44</v>
      </c>
      <c r="D568" s="3018">
        <f>[2]分摊!H570</f>
        <v>49.33</v>
      </c>
      <c r="E568" s="3017">
        <f t="shared" si="8"/>
        <v>74.77</v>
      </c>
    </row>
    <row r="569" spans="1:5" ht="19.95" customHeight="1">
      <c r="A569" s="3020"/>
      <c r="B569" s="3015" t="str">
        <f>[2]分摊!B571</f>
        <v>车位566</v>
      </c>
      <c r="C569" s="3017">
        <f>[2]分摊!C571</f>
        <v>25.44</v>
      </c>
      <c r="D569" s="3018">
        <f>[2]分摊!H571</f>
        <v>49.33</v>
      </c>
      <c r="E569" s="3017">
        <f t="shared" si="8"/>
        <v>74.77</v>
      </c>
    </row>
    <row r="570" spans="1:5" ht="19.95" customHeight="1">
      <c r="A570" s="3020"/>
      <c r="B570" s="3015" t="str">
        <f>[2]分摊!B572</f>
        <v>车位567</v>
      </c>
      <c r="C570" s="3017">
        <f>[2]分摊!C572</f>
        <v>12.72</v>
      </c>
      <c r="D570" s="3018">
        <f>[2]分摊!H572</f>
        <v>24.67</v>
      </c>
      <c r="E570" s="3017">
        <f t="shared" si="8"/>
        <v>37.39</v>
      </c>
    </row>
    <row r="571" spans="1:5" ht="19.95" customHeight="1">
      <c r="A571" s="3020"/>
      <c r="B571" s="3015" t="str">
        <f>[2]分摊!B573</f>
        <v>车位568</v>
      </c>
      <c r="C571" s="3017">
        <f>[2]分摊!C573</f>
        <v>12.72</v>
      </c>
      <c r="D571" s="3018">
        <f>[2]分摊!H573</f>
        <v>24.67</v>
      </c>
      <c r="E571" s="3017">
        <f t="shared" si="8"/>
        <v>37.39</v>
      </c>
    </row>
    <row r="572" spans="1:5" ht="19.95" customHeight="1">
      <c r="A572" s="3020"/>
      <c r="B572" s="3015" t="str">
        <f>[2]分摊!B574</f>
        <v>车位569</v>
      </c>
      <c r="C572" s="3017">
        <f>[2]分摊!C574</f>
        <v>12.72</v>
      </c>
      <c r="D572" s="3018">
        <f>[2]分摊!H574</f>
        <v>24.67</v>
      </c>
      <c r="E572" s="3017">
        <f t="shared" si="8"/>
        <v>37.39</v>
      </c>
    </row>
    <row r="573" spans="1:5" ht="19.95" customHeight="1">
      <c r="A573" s="3020"/>
      <c r="B573" s="3015" t="str">
        <f>[2]分摊!B575</f>
        <v>车位570</v>
      </c>
      <c r="C573" s="3017">
        <f>[2]分摊!C575</f>
        <v>12.72</v>
      </c>
      <c r="D573" s="3018">
        <f>[2]分摊!H575</f>
        <v>24.67</v>
      </c>
      <c r="E573" s="3017">
        <f t="shared" si="8"/>
        <v>37.39</v>
      </c>
    </row>
    <row r="574" spans="1:5" ht="19.95" customHeight="1">
      <c r="A574" s="3020"/>
      <c r="B574" s="3015" t="str">
        <f>[2]分摊!B576</f>
        <v>车位571</v>
      </c>
      <c r="C574" s="3017">
        <f>[2]分摊!C576</f>
        <v>12.72</v>
      </c>
      <c r="D574" s="3018">
        <f>[2]分摊!H576</f>
        <v>24.67</v>
      </c>
      <c r="E574" s="3017">
        <f t="shared" si="8"/>
        <v>37.39</v>
      </c>
    </row>
    <row r="575" spans="1:5" ht="19.95" customHeight="1">
      <c r="A575" s="3020"/>
      <c r="B575" s="3015" t="str">
        <f>[2]分摊!B577</f>
        <v>车位572</v>
      </c>
      <c r="C575" s="3017">
        <f>[2]分摊!C577</f>
        <v>12.72</v>
      </c>
      <c r="D575" s="3018">
        <f>[2]分摊!H577</f>
        <v>24.67</v>
      </c>
      <c r="E575" s="3017">
        <f t="shared" si="8"/>
        <v>37.39</v>
      </c>
    </row>
    <row r="576" spans="1:5" ht="19.95" customHeight="1">
      <c r="A576" s="3020"/>
      <c r="B576" s="3015" t="str">
        <f>[2]分摊!B578</f>
        <v>车位573</v>
      </c>
      <c r="C576" s="3017">
        <f>[2]分摊!C578</f>
        <v>12.72</v>
      </c>
      <c r="D576" s="3018">
        <f>[2]分摊!H578</f>
        <v>24.67</v>
      </c>
      <c r="E576" s="3017">
        <f t="shared" si="8"/>
        <v>37.39</v>
      </c>
    </row>
    <row r="577" spans="1:5" ht="19.95" customHeight="1">
      <c r="A577" s="3020"/>
      <c r="B577" s="3015" t="str">
        <f>[2]分摊!B579</f>
        <v>车位574</v>
      </c>
      <c r="C577" s="3017">
        <f>[2]分摊!C579</f>
        <v>12.72</v>
      </c>
      <c r="D577" s="3018">
        <f>[2]分摊!H579</f>
        <v>24.67</v>
      </c>
      <c r="E577" s="3017">
        <f t="shared" si="8"/>
        <v>37.39</v>
      </c>
    </row>
    <row r="578" spans="1:5" ht="19.95" customHeight="1">
      <c r="A578" s="3020"/>
      <c r="B578" s="3015" t="str">
        <f>[2]分摊!B580</f>
        <v>车位575</v>
      </c>
      <c r="C578" s="3017">
        <f>[2]分摊!C580</f>
        <v>25.44</v>
      </c>
      <c r="D578" s="3018">
        <f>[2]分摊!H580</f>
        <v>49.33</v>
      </c>
      <c r="E578" s="3017">
        <f t="shared" si="8"/>
        <v>74.77</v>
      </c>
    </row>
    <row r="579" spans="1:5" ht="19.95" customHeight="1">
      <c r="A579" s="3020"/>
      <c r="B579" s="3015" t="str">
        <f>[2]分摊!B581</f>
        <v>车位576</v>
      </c>
      <c r="C579" s="3017">
        <f>[2]分摊!C581</f>
        <v>12.72</v>
      </c>
      <c r="D579" s="3018">
        <f>[2]分摊!H581</f>
        <v>24.67</v>
      </c>
      <c r="E579" s="3017">
        <f t="shared" si="8"/>
        <v>37.39</v>
      </c>
    </row>
    <row r="580" spans="1:5" ht="19.95" customHeight="1">
      <c r="A580" s="3020"/>
      <c r="B580" s="3015" t="str">
        <f>[2]分摊!B582</f>
        <v>车位577</v>
      </c>
      <c r="C580" s="3017">
        <f>[2]分摊!C582</f>
        <v>12.72</v>
      </c>
      <c r="D580" s="3018">
        <f>[2]分摊!H582</f>
        <v>24.67</v>
      </c>
      <c r="E580" s="3017">
        <f t="shared" si="8"/>
        <v>37.39</v>
      </c>
    </row>
    <row r="581" spans="1:5" ht="19.95" customHeight="1">
      <c r="A581" s="3020"/>
      <c r="B581" s="3015" t="str">
        <f>[2]分摊!B583</f>
        <v>车位578</v>
      </c>
      <c r="C581" s="3017">
        <f>[2]分摊!C583</f>
        <v>12.72</v>
      </c>
      <c r="D581" s="3018">
        <f>[2]分摊!H583</f>
        <v>24.67</v>
      </c>
      <c r="E581" s="3017">
        <f t="shared" ref="E581:E644" si="9">SUM(C581:D581)</f>
        <v>37.39</v>
      </c>
    </row>
    <row r="582" spans="1:5" ht="19.95" customHeight="1">
      <c r="A582" s="3020"/>
      <c r="B582" s="3015" t="str">
        <f>[2]分摊!B584</f>
        <v>车位579</v>
      </c>
      <c r="C582" s="3017">
        <f>[2]分摊!C584</f>
        <v>12.72</v>
      </c>
      <c r="D582" s="3018">
        <f>[2]分摊!H584</f>
        <v>24.67</v>
      </c>
      <c r="E582" s="3017">
        <f t="shared" si="9"/>
        <v>37.39</v>
      </c>
    </row>
    <row r="583" spans="1:5" ht="19.95" customHeight="1">
      <c r="A583" s="3020"/>
      <c r="B583" s="3015" t="str">
        <f>[2]分摊!B585</f>
        <v>车位580</v>
      </c>
      <c r="C583" s="3017">
        <f>[2]分摊!C585</f>
        <v>12.72</v>
      </c>
      <c r="D583" s="3018">
        <f>[2]分摊!H585</f>
        <v>24.67</v>
      </c>
      <c r="E583" s="3017">
        <f t="shared" si="9"/>
        <v>37.39</v>
      </c>
    </row>
    <row r="584" spans="1:5" ht="19.95" customHeight="1">
      <c r="A584" s="3020"/>
      <c r="B584" s="3015" t="str">
        <f>[2]分摊!B586</f>
        <v>车位581</v>
      </c>
      <c r="C584" s="3017">
        <f>[2]分摊!C586</f>
        <v>12.72</v>
      </c>
      <c r="D584" s="3018">
        <f>[2]分摊!H586</f>
        <v>24.67</v>
      </c>
      <c r="E584" s="3017">
        <f t="shared" si="9"/>
        <v>37.39</v>
      </c>
    </row>
    <row r="585" spans="1:5" ht="19.95" customHeight="1">
      <c r="A585" s="3020"/>
      <c r="B585" s="3015" t="str">
        <f>[2]分摊!B587</f>
        <v>车位582</v>
      </c>
      <c r="C585" s="3017">
        <f>[2]分摊!C587</f>
        <v>12.72</v>
      </c>
      <c r="D585" s="3018">
        <f>[2]分摊!H587</f>
        <v>24.67</v>
      </c>
      <c r="E585" s="3017">
        <f t="shared" si="9"/>
        <v>37.39</v>
      </c>
    </row>
    <row r="586" spans="1:5" ht="19.95" customHeight="1">
      <c r="A586" s="3020"/>
      <c r="B586" s="3015" t="str">
        <f>[2]分摊!B588</f>
        <v>车位583</v>
      </c>
      <c r="C586" s="3017">
        <f>[2]分摊!C588</f>
        <v>12.72</v>
      </c>
      <c r="D586" s="3018">
        <f>[2]分摊!H588</f>
        <v>24.67</v>
      </c>
      <c r="E586" s="3017">
        <f t="shared" si="9"/>
        <v>37.39</v>
      </c>
    </row>
    <row r="587" spans="1:5" ht="19.95" customHeight="1">
      <c r="A587" s="3020"/>
      <c r="B587" s="3015" t="str">
        <f>[2]分摊!B589</f>
        <v>车位584</v>
      </c>
      <c r="C587" s="3017">
        <f>[2]分摊!C589</f>
        <v>12.72</v>
      </c>
      <c r="D587" s="3018">
        <f>[2]分摊!H589</f>
        <v>24.67</v>
      </c>
      <c r="E587" s="3017">
        <f t="shared" si="9"/>
        <v>37.39</v>
      </c>
    </row>
    <row r="588" spans="1:5" ht="19.95" customHeight="1">
      <c r="A588" s="3020"/>
      <c r="B588" s="3015" t="str">
        <f>[2]分摊!B590</f>
        <v>车位585</v>
      </c>
      <c r="C588" s="3017">
        <f>[2]分摊!C590</f>
        <v>12.72</v>
      </c>
      <c r="D588" s="3018">
        <f>[2]分摊!H590</f>
        <v>24.67</v>
      </c>
      <c r="E588" s="3017">
        <f t="shared" si="9"/>
        <v>37.39</v>
      </c>
    </row>
    <row r="589" spans="1:5" ht="19.95" customHeight="1">
      <c r="A589" s="3020"/>
      <c r="B589" s="3015" t="str">
        <f>[2]分摊!B591</f>
        <v>车位586</v>
      </c>
      <c r="C589" s="3017">
        <f>[2]分摊!C591</f>
        <v>12.72</v>
      </c>
      <c r="D589" s="3018">
        <f>[2]分摊!H591</f>
        <v>24.67</v>
      </c>
      <c r="E589" s="3017">
        <f t="shared" si="9"/>
        <v>37.39</v>
      </c>
    </row>
    <row r="590" spans="1:5" ht="19.95" customHeight="1">
      <c r="A590" s="3020"/>
      <c r="B590" s="3015" t="str">
        <f>[2]分摊!B592</f>
        <v>车位587</v>
      </c>
      <c r="C590" s="3017">
        <f>[2]分摊!C592</f>
        <v>12.72</v>
      </c>
      <c r="D590" s="3018">
        <f>[2]分摊!H592</f>
        <v>24.67</v>
      </c>
      <c r="E590" s="3017">
        <f t="shared" si="9"/>
        <v>37.39</v>
      </c>
    </row>
    <row r="591" spans="1:5" ht="19.95" customHeight="1">
      <c r="A591" s="3020"/>
      <c r="B591" s="3015" t="str">
        <f>[2]分摊!B593</f>
        <v>车位588</v>
      </c>
      <c r="C591" s="3017">
        <f>[2]分摊!C593</f>
        <v>12.72</v>
      </c>
      <c r="D591" s="3018">
        <f>[2]分摊!H593</f>
        <v>24.67</v>
      </c>
      <c r="E591" s="3017">
        <f t="shared" si="9"/>
        <v>37.39</v>
      </c>
    </row>
    <row r="592" spans="1:5" ht="19.95" customHeight="1">
      <c r="A592" s="3020"/>
      <c r="B592" s="3015" t="str">
        <f>[2]分摊!B594</f>
        <v>车位589</v>
      </c>
      <c r="C592" s="3017">
        <f>[2]分摊!C594</f>
        <v>12.72</v>
      </c>
      <c r="D592" s="3018">
        <f>[2]分摊!H594</f>
        <v>24.67</v>
      </c>
      <c r="E592" s="3017">
        <f t="shared" si="9"/>
        <v>37.39</v>
      </c>
    </row>
    <row r="593" spans="1:5" ht="19.95" customHeight="1">
      <c r="A593" s="3020"/>
      <c r="B593" s="3015" t="str">
        <f>[2]分摊!B595</f>
        <v>车位590</v>
      </c>
      <c r="C593" s="3017">
        <f>[2]分摊!C595</f>
        <v>12.72</v>
      </c>
      <c r="D593" s="3018">
        <f>[2]分摊!H595</f>
        <v>24.67</v>
      </c>
      <c r="E593" s="3017">
        <f t="shared" si="9"/>
        <v>37.39</v>
      </c>
    </row>
    <row r="594" spans="1:5" ht="19.95" customHeight="1">
      <c r="A594" s="3020"/>
      <c r="B594" s="3015" t="str">
        <f>[2]分摊!B596</f>
        <v>车位591</v>
      </c>
      <c r="C594" s="3017">
        <f>[2]分摊!C596</f>
        <v>12.72</v>
      </c>
      <c r="D594" s="3018">
        <f>[2]分摊!H596</f>
        <v>24.67</v>
      </c>
      <c r="E594" s="3017">
        <f t="shared" si="9"/>
        <v>37.39</v>
      </c>
    </row>
    <row r="595" spans="1:5" ht="19.95" customHeight="1">
      <c r="A595" s="3020"/>
      <c r="B595" s="3015" t="str">
        <f>[2]分摊!B597</f>
        <v>车位592</v>
      </c>
      <c r="C595" s="3017">
        <f>[2]分摊!C597</f>
        <v>12.72</v>
      </c>
      <c r="D595" s="3018">
        <f>[2]分摊!H597</f>
        <v>24.67</v>
      </c>
      <c r="E595" s="3017">
        <f t="shared" si="9"/>
        <v>37.39</v>
      </c>
    </row>
    <row r="596" spans="1:5" ht="19.95" customHeight="1">
      <c r="A596" s="3020"/>
      <c r="B596" s="3015" t="str">
        <f>[2]分摊!B598</f>
        <v>车位593</v>
      </c>
      <c r="C596" s="3017">
        <f>[2]分摊!C598</f>
        <v>12.72</v>
      </c>
      <c r="D596" s="3018">
        <f>[2]分摊!H598</f>
        <v>24.67</v>
      </c>
      <c r="E596" s="3017">
        <f t="shared" si="9"/>
        <v>37.39</v>
      </c>
    </row>
    <row r="597" spans="1:5" ht="19.95" customHeight="1">
      <c r="A597" s="3020"/>
      <c r="B597" s="3015" t="str">
        <f>[2]分摊!B599</f>
        <v>车位594</v>
      </c>
      <c r="C597" s="3017">
        <f>[2]分摊!C599</f>
        <v>12.72</v>
      </c>
      <c r="D597" s="3018">
        <f>[2]分摊!H599</f>
        <v>24.67</v>
      </c>
      <c r="E597" s="3017">
        <f t="shared" si="9"/>
        <v>37.39</v>
      </c>
    </row>
    <row r="598" spans="1:5" ht="19.95" customHeight="1">
      <c r="A598" s="3020"/>
      <c r="B598" s="3015" t="str">
        <f>[2]分摊!B600</f>
        <v>车位595</v>
      </c>
      <c r="C598" s="3017">
        <f>[2]分摊!C600</f>
        <v>12.72</v>
      </c>
      <c r="D598" s="3018">
        <f>[2]分摊!H600</f>
        <v>24.67</v>
      </c>
      <c r="E598" s="3017">
        <f t="shared" si="9"/>
        <v>37.39</v>
      </c>
    </row>
    <row r="599" spans="1:5" ht="19.95" customHeight="1">
      <c r="A599" s="3020"/>
      <c r="B599" s="3015" t="str">
        <f>[2]分摊!B601</f>
        <v>车位596</v>
      </c>
      <c r="C599" s="3017">
        <f>[2]分摊!C601</f>
        <v>12.72</v>
      </c>
      <c r="D599" s="3018">
        <f>[2]分摊!H601</f>
        <v>24.67</v>
      </c>
      <c r="E599" s="3017">
        <f t="shared" si="9"/>
        <v>37.39</v>
      </c>
    </row>
    <row r="600" spans="1:5" ht="19.95" customHeight="1">
      <c r="A600" s="3020"/>
      <c r="B600" s="3015" t="str">
        <f>[2]分摊!B602</f>
        <v>车位597</v>
      </c>
      <c r="C600" s="3017">
        <f>[2]分摊!C602</f>
        <v>12.72</v>
      </c>
      <c r="D600" s="3018">
        <f>[2]分摊!H602</f>
        <v>24.67</v>
      </c>
      <c r="E600" s="3017">
        <f t="shared" si="9"/>
        <v>37.39</v>
      </c>
    </row>
    <row r="601" spans="1:5" ht="19.95" customHeight="1">
      <c r="A601" s="3020"/>
      <c r="B601" s="3015" t="str">
        <f>[2]分摊!B603</f>
        <v>车位598</v>
      </c>
      <c r="C601" s="3017">
        <f>[2]分摊!C603</f>
        <v>12.72</v>
      </c>
      <c r="D601" s="3018">
        <f>[2]分摊!H603</f>
        <v>24.67</v>
      </c>
      <c r="E601" s="3017">
        <f t="shared" si="9"/>
        <v>37.39</v>
      </c>
    </row>
    <row r="602" spans="1:5" ht="19.95" customHeight="1">
      <c r="A602" s="3020"/>
      <c r="B602" s="3015" t="str">
        <f>[2]分摊!B604</f>
        <v>车位599</v>
      </c>
      <c r="C602" s="3017">
        <f>[2]分摊!C604</f>
        <v>12.72</v>
      </c>
      <c r="D602" s="3018">
        <f>[2]分摊!H604</f>
        <v>24.67</v>
      </c>
      <c r="E602" s="3017">
        <f t="shared" si="9"/>
        <v>37.39</v>
      </c>
    </row>
    <row r="603" spans="1:5" ht="19.95" customHeight="1">
      <c r="A603" s="3020"/>
      <c r="B603" s="3015" t="str">
        <f>[2]分摊!B605</f>
        <v>车位600</v>
      </c>
      <c r="C603" s="3017">
        <f>[2]分摊!C605</f>
        <v>12.72</v>
      </c>
      <c r="D603" s="3018">
        <f>[2]分摊!H605</f>
        <v>24.67</v>
      </c>
      <c r="E603" s="3017">
        <f t="shared" si="9"/>
        <v>37.39</v>
      </c>
    </row>
    <row r="604" spans="1:5" ht="19.95" customHeight="1">
      <c r="A604" s="3020"/>
      <c r="B604" s="3015" t="str">
        <f>[2]分摊!B606</f>
        <v>车位601</v>
      </c>
      <c r="C604" s="3017">
        <f>[2]分摊!C606</f>
        <v>12.72</v>
      </c>
      <c r="D604" s="3018">
        <f>[2]分摊!H606</f>
        <v>24.67</v>
      </c>
      <c r="E604" s="3017">
        <f t="shared" si="9"/>
        <v>37.39</v>
      </c>
    </row>
    <row r="605" spans="1:5" ht="19.95" customHeight="1">
      <c r="A605" s="3020"/>
      <c r="B605" s="3015" t="str">
        <f>[2]分摊!B607</f>
        <v>车位602</v>
      </c>
      <c r="C605" s="3017">
        <f>[2]分摊!C607</f>
        <v>12.72</v>
      </c>
      <c r="D605" s="3018">
        <f>[2]分摊!H607</f>
        <v>24.67</v>
      </c>
      <c r="E605" s="3017">
        <f t="shared" si="9"/>
        <v>37.39</v>
      </c>
    </row>
    <row r="606" spans="1:5" ht="19.95" customHeight="1">
      <c r="A606" s="3020"/>
      <c r="B606" s="3015" t="str">
        <f>[2]分摊!B608</f>
        <v>车位603</v>
      </c>
      <c r="C606" s="3017">
        <f>[2]分摊!C608</f>
        <v>12.72</v>
      </c>
      <c r="D606" s="3018">
        <f>[2]分摊!H608</f>
        <v>24.67</v>
      </c>
      <c r="E606" s="3017">
        <f t="shared" si="9"/>
        <v>37.39</v>
      </c>
    </row>
    <row r="607" spans="1:5" ht="19.95" customHeight="1">
      <c r="A607" s="3020"/>
      <c r="B607" s="3015" t="str">
        <f>[2]分摊!B609</f>
        <v>车位604</v>
      </c>
      <c r="C607" s="3017">
        <f>[2]分摊!C609</f>
        <v>12.72</v>
      </c>
      <c r="D607" s="3018">
        <f>[2]分摊!H609</f>
        <v>24.67</v>
      </c>
      <c r="E607" s="3017">
        <f t="shared" si="9"/>
        <v>37.39</v>
      </c>
    </row>
    <row r="608" spans="1:5" ht="19.95" customHeight="1">
      <c r="A608" s="3020"/>
      <c r="B608" s="3015" t="str">
        <f>[2]分摊!B610</f>
        <v>车位605</v>
      </c>
      <c r="C608" s="3017">
        <f>[2]分摊!C610</f>
        <v>12.72</v>
      </c>
      <c r="D608" s="3018">
        <f>[2]分摊!H610</f>
        <v>24.67</v>
      </c>
      <c r="E608" s="3017">
        <f t="shared" si="9"/>
        <v>37.39</v>
      </c>
    </row>
    <row r="609" spans="1:5" ht="19.95" customHeight="1">
      <c r="A609" s="3020"/>
      <c r="B609" s="3015" t="str">
        <f>[2]分摊!B611</f>
        <v>车位606</v>
      </c>
      <c r="C609" s="3017">
        <f>[2]分摊!C611</f>
        <v>12.72</v>
      </c>
      <c r="D609" s="3018">
        <f>[2]分摊!H611</f>
        <v>24.67</v>
      </c>
      <c r="E609" s="3017">
        <f t="shared" si="9"/>
        <v>37.39</v>
      </c>
    </row>
    <row r="610" spans="1:5" ht="19.95" customHeight="1">
      <c r="A610" s="3020"/>
      <c r="B610" s="3015" t="str">
        <f>[2]分摊!B612</f>
        <v>车位607</v>
      </c>
      <c r="C610" s="3017">
        <f>[2]分摊!C612</f>
        <v>12.72</v>
      </c>
      <c r="D610" s="3018">
        <f>[2]分摊!H612</f>
        <v>24.67</v>
      </c>
      <c r="E610" s="3017">
        <f t="shared" si="9"/>
        <v>37.39</v>
      </c>
    </row>
    <row r="611" spans="1:5" ht="19.95" customHeight="1">
      <c r="A611" s="3020"/>
      <c r="B611" s="3015" t="str">
        <f>[2]分摊!B613</f>
        <v>车位608</v>
      </c>
      <c r="C611" s="3017">
        <f>[2]分摊!C613</f>
        <v>25.44</v>
      </c>
      <c r="D611" s="3018">
        <f>[2]分摊!H613</f>
        <v>49.33</v>
      </c>
      <c r="E611" s="3017">
        <f t="shared" si="9"/>
        <v>74.77</v>
      </c>
    </row>
    <row r="612" spans="1:5" ht="19.95" customHeight="1">
      <c r="A612" s="3020"/>
      <c r="B612" s="3015" t="str">
        <f>[2]分摊!B614</f>
        <v>车位609</v>
      </c>
      <c r="C612" s="3017">
        <f>[2]分摊!C614</f>
        <v>12.72</v>
      </c>
      <c r="D612" s="3018">
        <f>[2]分摊!H614</f>
        <v>24.67</v>
      </c>
      <c r="E612" s="3017">
        <f t="shared" si="9"/>
        <v>37.39</v>
      </c>
    </row>
    <row r="613" spans="1:5" ht="19.95" customHeight="1">
      <c r="A613" s="3020"/>
      <c r="B613" s="3015" t="str">
        <f>[2]分摊!B615</f>
        <v>车位610</v>
      </c>
      <c r="C613" s="3017">
        <f>[2]分摊!C615</f>
        <v>12.72</v>
      </c>
      <c r="D613" s="3018">
        <f>[2]分摊!H615</f>
        <v>24.67</v>
      </c>
      <c r="E613" s="3017">
        <f t="shared" si="9"/>
        <v>37.39</v>
      </c>
    </row>
    <row r="614" spans="1:5" ht="19.95" customHeight="1">
      <c r="A614" s="3020"/>
      <c r="B614" s="3015" t="str">
        <f>[2]分摊!B616</f>
        <v>车位611</v>
      </c>
      <c r="C614" s="3017">
        <f>[2]分摊!C616</f>
        <v>12.72</v>
      </c>
      <c r="D614" s="3018">
        <f>[2]分摊!H616</f>
        <v>24.67</v>
      </c>
      <c r="E614" s="3017">
        <f t="shared" si="9"/>
        <v>37.39</v>
      </c>
    </row>
    <row r="615" spans="1:5" ht="19.95" customHeight="1">
      <c r="A615" s="3020"/>
      <c r="B615" s="3015" t="str">
        <f>[2]分摊!B617</f>
        <v>车位612</v>
      </c>
      <c r="C615" s="3017">
        <f>[2]分摊!C617</f>
        <v>12.72</v>
      </c>
      <c r="D615" s="3018">
        <f>[2]分摊!H617</f>
        <v>24.67</v>
      </c>
      <c r="E615" s="3017">
        <f t="shared" si="9"/>
        <v>37.39</v>
      </c>
    </row>
    <row r="616" spans="1:5" ht="19.95" customHeight="1">
      <c r="A616" s="3020"/>
      <c r="B616" s="3015" t="str">
        <f>[2]分摊!B618</f>
        <v>车位613</v>
      </c>
      <c r="C616" s="3017">
        <f>[2]分摊!C618</f>
        <v>12.72</v>
      </c>
      <c r="D616" s="3018">
        <f>[2]分摊!H618</f>
        <v>24.67</v>
      </c>
      <c r="E616" s="3017">
        <f t="shared" si="9"/>
        <v>37.39</v>
      </c>
    </row>
    <row r="617" spans="1:5" ht="19.95" customHeight="1">
      <c r="A617" s="3020"/>
      <c r="B617" s="3015" t="str">
        <f>[2]分摊!B619</f>
        <v>车位614</v>
      </c>
      <c r="C617" s="3017">
        <f>[2]分摊!C619</f>
        <v>12.72</v>
      </c>
      <c r="D617" s="3018">
        <f>[2]分摊!H619</f>
        <v>24.67</v>
      </c>
      <c r="E617" s="3017">
        <f t="shared" si="9"/>
        <v>37.39</v>
      </c>
    </row>
    <row r="618" spans="1:5" ht="19.95" customHeight="1">
      <c r="A618" s="3020"/>
      <c r="B618" s="3015" t="str">
        <f>[2]分摊!B620</f>
        <v>车位615</v>
      </c>
      <c r="C618" s="3017">
        <f>[2]分摊!C620</f>
        <v>12.72</v>
      </c>
      <c r="D618" s="3018">
        <f>[2]分摊!H620</f>
        <v>24.67</v>
      </c>
      <c r="E618" s="3017">
        <f t="shared" si="9"/>
        <v>37.39</v>
      </c>
    </row>
    <row r="619" spans="1:5" ht="19.95" customHeight="1">
      <c r="A619" s="3020"/>
      <c r="B619" s="3015" t="str">
        <f>[2]分摊!B621</f>
        <v>车位616</v>
      </c>
      <c r="C619" s="3017">
        <f>[2]分摊!C621</f>
        <v>12.72</v>
      </c>
      <c r="D619" s="3018">
        <f>[2]分摊!H621</f>
        <v>24.67</v>
      </c>
      <c r="E619" s="3017">
        <f t="shared" si="9"/>
        <v>37.39</v>
      </c>
    </row>
    <row r="620" spans="1:5" ht="19.95" customHeight="1">
      <c r="A620" s="3020"/>
      <c r="B620" s="3015" t="str">
        <f>[2]分摊!B622</f>
        <v>车位617</v>
      </c>
      <c r="C620" s="3017">
        <f>[2]分摊!C622</f>
        <v>25.44</v>
      </c>
      <c r="D620" s="3018">
        <f>[2]分摊!H622</f>
        <v>49.33</v>
      </c>
      <c r="E620" s="3017">
        <f t="shared" si="9"/>
        <v>74.77</v>
      </c>
    </row>
    <row r="621" spans="1:5" ht="19.95" customHeight="1">
      <c r="A621" s="3020"/>
      <c r="B621" s="3015" t="str">
        <f>[2]分摊!B623</f>
        <v>车位618</v>
      </c>
      <c r="C621" s="3017">
        <f>[2]分摊!C623</f>
        <v>12.72</v>
      </c>
      <c r="D621" s="3018">
        <f>[2]分摊!H623</f>
        <v>24.67</v>
      </c>
      <c r="E621" s="3017">
        <f t="shared" si="9"/>
        <v>37.39</v>
      </c>
    </row>
    <row r="622" spans="1:5" ht="19.95" customHeight="1">
      <c r="A622" s="3020"/>
      <c r="B622" s="3015" t="str">
        <f>[2]分摊!B624</f>
        <v>车位619</v>
      </c>
      <c r="C622" s="3017">
        <f>[2]分摊!C624</f>
        <v>12.72</v>
      </c>
      <c r="D622" s="3018">
        <f>[2]分摊!H624</f>
        <v>24.67</v>
      </c>
      <c r="E622" s="3017">
        <f t="shared" si="9"/>
        <v>37.39</v>
      </c>
    </row>
    <row r="623" spans="1:5" ht="19.95" customHeight="1">
      <c r="A623" s="3020"/>
      <c r="B623" s="3015" t="str">
        <f>[2]分摊!B625</f>
        <v>微型车位620</v>
      </c>
      <c r="C623" s="3017">
        <f>[2]分摊!C625</f>
        <v>11.66</v>
      </c>
      <c r="D623" s="3018">
        <f>[2]分摊!H625</f>
        <v>22.61</v>
      </c>
      <c r="E623" s="3017">
        <f t="shared" si="9"/>
        <v>34.269999999999996</v>
      </c>
    </row>
    <row r="624" spans="1:5" ht="19.95" customHeight="1">
      <c r="A624" s="3020"/>
      <c r="B624" s="3015" t="str">
        <f>[2]分摊!B626</f>
        <v>车位621</v>
      </c>
      <c r="C624" s="3017">
        <f>[2]分摊!C626</f>
        <v>25.44</v>
      </c>
      <c r="D624" s="3018">
        <f>[2]分摊!H626</f>
        <v>49.33</v>
      </c>
      <c r="E624" s="3017">
        <f t="shared" si="9"/>
        <v>74.77</v>
      </c>
    </row>
    <row r="625" spans="1:5" ht="19.95" customHeight="1">
      <c r="A625" s="3020"/>
      <c r="B625" s="3015" t="str">
        <f>[2]分摊!B627</f>
        <v>车位622</v>
      </c>
      <c r="C625" s="3017">
        <f>[2]分摊!C627</f>
        <v>12.72</v>
      </c>
      <c r="D625" s="3018">
        <f>[2]分摊!H627</f>
        <v>24.67</v>
      </c>
      <c r="E625" s="3017">
        <f t="shared" si="9"/>
        <v>37.39</v>
      </c>
    </row>
    <row r="626" spans="1:5" ht="19.95" customHeight="1">
      <c r="A626" s="3020"/>
      <c r="B626" s="3015" t="str">
        <f>[2]分摊!B628</f>
        <v>车位623</v>
      </c>
      <c r="C626" s="3017">
        <f>[2]分摊!C628</f>
        <v>12.72</v>
      </c>
      <c r="D626" s="3018">
        <f>[2]分摊!H628</f>
        <v>24.67</v>
      </c>
      <c r="E626" s="3017">
        <f t="shared" si="9"/>
        <v>37.39</v>
      </c>
    </row>
    <row r="627" spans="1:5" ht="19.95" customHeight="1">
      <c r="A627" s="3020"/>
      <c r="B627" s="3015" t="str">
        <f>[2]分摊!B629</f>
        <v>车位624</v>
      </c>
      <c r="C627" s="3017">
        <f>[2]分摊!C629</f>
        <v>12.72</v>
      </c>
      <c r="D627" s="3018">
        <f>[2]分摊!H629</f>
        <v>24.67</v>
      </c>
      <c r="E627" s="3017">
        <f t="shared" si="9"/>
        <v>37.39</v>
      </c>
    </row>
    <row r="628" spans="1:5" ht="19.95" customHeight="1">
      <c r="A628" s="3020"/>
      <c r="B628" s="3015" t="str">
        <f>[2]分摊!B630</f>
        <v>车位625</v>
      </c>
      <c r="C628" s="3017">
        <f>[2]分摊!C630</f>
        <v>12.72</v>
      </c>
      <c r="D628" s="3018">
        <f>[2]分摊!H630</f>
        <v>24.67</v>
      </c>
      <c r="E628" s="3017">
        <f t="shared" si="9"/>
        <v>37.39</v>
      </c>
    </row>
    <row r="629" spans="1:5" ht="19.95" customHeight="1">
      <c r="A629" s="3020"/>
      <c r="B629" s="3015" t="str">
        <f>[2]分摊!B631</f>
        <v>车位626</v>
      </c>
      <c r="C629" s="3017">
        <f>[2]分摊!C631</f>
        <v>25.44</v>
      </c>
      <c r="D629" s="3018">
        <f>[2]分摊!H631</f>
        <v>49.33</v>
      </c>
      <c r="E629" s="3017">
        <f t="shared" si="9"/>
        <v>74.77</v>
      </c>
    </row>
    <row r="630" spans="1:5" ht="19.95" customHeight="1">
      <c r="A630" s="3020"/>
      <c r="B630" s="3015" t="str">
        <f>[2]分摊!B632</f>
        <v>车位627</v>
      </c>
      <c r="C630" s="3017">
        <f>[2]分摊!C632</f>
        <v>25.44</v>
      </c>
      <c r="D630" s="3018">
        <f>[2]分摊!H632</f>
        <v>49.33</v>
      </c>
      <c r="E630" s="3017">
        <f t="shared" si="9"/>
        <v>74.77</v>
      </c>
    </row>
    <row r="631" spans="1:5" ht="19.95" customHeight="1">
      <c r="A631" s="3020"/>
      <c r="B631" s="3015" t="str">
        <f>[2]分摊!B633</f>
        <v>车位628</v>
      </c>
      <c r="C631" s="3017">
        <f>[2]分摊!C633</f>
        <v>12.72</v>
      </c>
      <c r="D631" s="3018">
        <f>[2]分摊!H633</f>
        <v>24.67</v>
      </c>
      <c r="E631" s="3017">
        <f t="shared" si="9"/>
        <v>37.39</v>
      </c>
    </row>
    <row r="632" spans="1:5" ht="19.95" customHeight="1">
      <c r="A632" s="3020"/>
      <c r="B632" s="3015" t="str">
        <f>[2]分摊!B634</f>
        <v>车位629</v>
      </c>
      <c r="C632" s="3017">
        <f>[2]分摊!C634</f>
        <v>12.72</v>
      </c>
      <c r="D632" s="3018">
        <f>[2]分摊!H634</f>
        <v>24.67</v>
      </c>
      <c r="E632" s="3017">
        <f t="shared" si="9"/>
        <v>37.39</v>
      </c>
    </row>
    <row r="633" spans="1:5" ht="19.95" customHeight="1">
      <c r="A633" s="3020"/>
      <c r="B633" s="3015" t="str">
        <f>[2]分摊!B635</f>
        <v>车位630</v>
      </c>
      <c r="C633" s="3017">
        <f>[2]分摊!C635</f>
        <v>12.72</v>
      </c>
      <c r="D633" s="3018">
        <f>[2]分摊!H635</f>
        <v>24.67</v>
      </c>
      <c r="E633" s="3017">
        <f t="shared" si="9"/>
        <v>37.39</v>
      </c>
    </row>
    <row r="634" spans="1:5" ht="19.95" customHeight="1">
      <c r="A634" s="3020"/>
      <c r="B634" s="3015" t="str">
        <f>[2]分摊!B636</f>
        <v>车位631</v>
      </c>
      <c r="C634" s="3017">
        <f>[2]分摊!C636</f>
        <v>12.72</v>
      </c>
      <c r="D634" s="3018">
        <f>[2]分摊!H636</f>
        <v>24.67</v>
      </c>
      <c r="E634" s="3017">
        <f t="shared" si="9"/>
        <v>37.39</v>
      </c>
    </row>
    <row r="635" spans="1:5" ht="19.95" customHeight="1">
      <c r="A635" s="3020"/>
      <c r="B635" s="3015" t="str">
        <f>[2]分摊!B637</f>
        <v>车位632</v>
      </c>
      <c r="C635" s="3017">
        <f>[2]分摊!C637</f>
        <v>12.72</v>
      </c>
      <c r="D635" s="3018">
        <f>[2]分摊!H637</f>
        <v>24.67</v>
      </c>
      <c r="E635" s="3017">
        <f t="shared" si="9"/>
        <v>37.39</v>
      </c>
    </row>
    <row r="636" spans="1:5" ht="19.95" customHeight="1">
      <c r="A636" s="3020"/>
      <c r="B636" s="3015" t="str">
        <f>[2]分摊!B638</f>
        <v>车位633</v>
      </c>
      <c r="C636" s="3017">
        <f>[2]分摊!C638</f>
        <v>12.72</v>
      </c>
      <c r="D636" s="3018">
        <f>[2]分摊!H638</f>
        <v>24.67</v>
      </c>
      <c r="E636" s="3017">
        <f t="shared" si="9"/>
        <v>37.39</v>
      </c>
    </row>
    <row r="637" spans="1:5" ht="19.95" customHeight="1">
      <c r="A637" s="3020"/>
      <c r="B637" s="3015" t="str">
        <f>[2]分摊!B639</f>
        <v>车位634</v>
      </c>
      <c r="C637" s="3017">
        <f>[2]分摊!C639</f>
        <v>25.44</v>
      </c>
      <c r="D637" s="3018">
        <f>[2]分摊!H639</f>
        <v>49.33</v>
      </c>
      <c r="E637" s="3017">
        <f t="shared" si="9"/>
        <v>74.77</v>
      </c>
    </row>
    <row r="638" spans="1:5" ht="19.95" customHeight="1">
      <c r="A638" s="3020"/>
      <c r="B638" s="3015" t="str">
        <f>[2]分摊!B640</f>
        <v>车位635</v>
      </c>
      <c r="C638" s="3017">
        <f>[2]分摊!C640</f>
        <v>12.72</v>
      </c>
      <c r="D638" s="3018">
        <f>[2]分摊!H640</f>
        <v>24.67</v>
      </c>
      <c r="E638" s="3017">
        <f t="shared" si="9"/>
        <v>37.39</v>
      </c>
    </row>
    <row r="639" spans="1:5" ht="19.95" customHeight="1">
      <c r="A639" s="3020"/>
      <c r="B639" s="3015" t="str">
        <f>[2]分摊!B641</f>
        <v>车位636</v>
      </c>
      <c r="C639" s="3017">
        <f>[2]分摊!C641</f>
        <v>25.44</v>
      </c>
      <c r="D639" s="3018">
        <f>[2]分摊!H641</f>
        <v>49.33</v>
      </c>
      <c r="E639" s="3017">
        <f t="shared" si="9"/>
        <v>74.77</v>
      </c>
    </row>
    <row r="640" spans="1:5" ht="19.95" customHeight="1">
      <c r="A640" s="3020"/>
      <c r="B640" s="3015" t="str">
        <f>[2]分摊!B642</f>
        <v>车位637</v>
      </c>
      <c r="C640" s="3017">
        <f>[2]分摊!C642</f>
        <v>12.72</v>
      </c>
      <c r="D640" s="3018">
        <f>[2]分摊!H642</f>
        <v>24.67</v>
      </c>
      <c r="E640" s="3017">
        <f t="shared" si="9"/>
        <v>37.39</v>
      </c>
    </row>
    <row r="641" spans="1:5" ht="19.95" customHeight="1">
      <c r="A641" s="3020"/>
      <c r="B641" s="3015" t="str">
        <f>[2]分摊!B643</f>
        <v>车位638</v>
      </c>
      <c r="C641" s="3017">
        <f>[2]分摊!C643</f>
        <v>12.72</v>
      </c>
      <c r="D641" s="3018">
        <f>[2]分摊!H643</f>
        <v>24.67</v>
      </c>
      <c r="E641" s="3017">
        <f t="shared" si="9"/>
        <v>37.39</v>
      </c>
    </row>
    <row r="642" spans="1:5" ht="19.95" customHeight="1">
      <c r="A642" s="3020"/>
      <c r="B642" s="3015" t="str">
        <f>[2]分摊!B644</f>
        <v>车位639</v>
      </c>
      <c r="C642" s="3017">
        <f>[2]分摊!C644</f>
        <v>12.72</v>
      </c>
      <c r="D642" s="3018">
        <f>[2]分摊!H644</f>
        <v>24.67</v>
      </c>
      <c r="E642" s="3017">
        <f t="shared" si="9"/>
        <v>37.39</v>
      </c>
    </row>
    <row r="643" spans="1:5" ht="19.95" customHeight="1">
      <c r="A643" s="3020"/>
      <c r="B643" s="3015" t="str">
        <f>[2]分摊!B645</f>
        <v>车位640</v>
      </c>
      <c r="C643" s="3017">
        <f>[2]分摊!C645</f>
        <v>12.72</v>
      </c>
      <c r="D643" s="3018">
        <f>[2]分摊!H645</f>
        <v>24.67</v>
      </c>
      <c r="E643" s="3017">
        <f t="shared" si="9"/>
        <v>37.39</v>
      </c>
    </row>
    <row r="644" spans="1:5" ht="19.95" customHeight="1">
      <c r="A644" s="3020"/>
      <c r="B644" s="3015" t="str">
        <f>[2]分摊!B646</f>
        <v>车位641</v>
      </c>
      <c r="C644" s="3017">
        <f>[2]分摊!C646</f>
        <v>25.44</v>
      </c>
      <c r="D644" s="3018">
        <f>[2]分摊!H646</f>
        <v>49.33</v>
      </c>
      <c r="E644" s="3017">
        <f t="shared" si="9"/>
        <v>74.77</v>
      </c>
    </row>
    <row r="645" spans="1:5" ht="19.95" customHeight="1">
      <c r="A645" s="3020"/>
      <c r="B645" s="3015" t="str">
        <f>[2]分摊!B647</f>
        <v>车位642</v>
      </c>
      <c r="C645" s="3017">
        <f>[2]分摊!C647</f>
        <v>12.72</v>
      </c>
      <c r="D645" s="3018">
        <f>[2]分摊!H647</f>
        <v>24.67</v>
      </c>
      <c r="E645" s="3017">
        <f t="shared" ref="E645:E708" si="10">SUM(C645:D645)</f>
        <v>37.39</v>
      </c>
    </row>
    <row r="646" spans="1:5" ht="19.95" customHeight="1">
      <c r="A646" s="3020"/>
      <c r="B646" s="3015" t="str">
        <f>[2]分摊!B648</f>
        <v>车位643</v>
      </c>
      <c r="C646" s="3017">
        <f>[2]分摊!C648</f>
        <v>12.72</v>
      </c>
      <c r="D646" s="3018">
        <f>[2]分摊!H648</f>
        <v>24.67</v>
      </c>
      <c r="E646" s="3017">
        <f t="shared" si="10"/>
        <v>37.39</v>
      </c>
    </row>
    <row r="647" spans="1:5" ht="19.95" customHeight="1">
      <c r="A647" s="3020"/>
      <c r="B647" s="3015" t="str">
        <f>[2]分摊!B649</f>
        <v>微型车位644</v>
      </c>
      <c r="C647" s="3017">
        <f>[2]分摊!C649</f>
        <v>11.66</v>
      </c>
      <c r="D647" s="3018">
        <f>[2]分摊!H649</f>
        <v>22.61</v>
      </c>
      <c r="E647" s="3017">
        <f t="shared" si="10"/>
        <v>34.269999999999996</v>
      </c>
    </row>
    <row r="648" spans="1:5" ht="19.95" customHeight="1">
      <c r="A648" s="3020"/>
      <c r="B648" s="3015" t="str">
        <f>[2]分摊!B650</f>
        <v>车位645</v>
      </c>
      <c r="C648" s="3017">
        <f>[2]分摊!C650</f>
        <v>25.44</v>
      </c>
      <c r="D648" s="3018">
        <f>[2]分摊!H650</f>
        <v>49.33</v>
      </c>
      <c r="E648" s="3017">
        <f t="shared" si="10"/>
        <v>74.77</v>
      </c>
    </row>
    <row r="649" spans="1:5" ht="19.95" customHeight="1">
      <c r="A649" s="3020"/>
      <c r="B649" s="3015" t="str">
        <f>[2]分摊!B651</f>
        <v>车位646</v>
      </c>
      <c r="C649" s="3017">
        <f>[2]分摊!C651</f>
        <v>12.72</v>
      </c>
      <c r="D649" s="3018">
        <f>[2]分摊!H651</f>
        <v>24.67</v>
      </c>
      <c r="E649" s="3017">
        <f t="shared" si="10"/>
        <v>37.39</v>
      </c>
    </row>
    <row r="650" spans="1:5" ht="19.95" customHeight="1">
      <c r="A650" s="3020"/>
      <c r="B650" s="3015" t="str">
        <f>[2]分摊!B652</f>
        <v>车位647</v>
      </c>
      <c r="C650" s="3017">
        <f>[2]分摊!C652</f>
        <v>12.72</v>
      </c>
      <c r="D650" s="3018">
        <f>[2]分摊!H652</f>
        <v>24.67</v>
      </c>
      <c r="E650" s="3017">
        <f t="shared" si="10"/>
        <v>37.39</v>
      </c>
    </row>
    <row r="651" spans="1:5" ht="19.95" customHeight="1">
      <c r="A651" s="3020"/>
      <c r="B651" s="3015" t="str">
        <f>[2]分摊!B653</f>
        <v>车位648</v>
      </c>
      <c r="C651" s="3017">
        <f>[2]分摊!C653</f>
        <v>12.72</v>
      </c>
      <c r="D651" s="3018">
        <f>[2]分摊!H653</f>
        <v>24.67</v>
      </c>
      <c r="E651" s="3017">
        <f t="shared" si="10"/>
        <v>37.39</v>
      </c>
    </row>
    <row r="652" spans="1:5" ht="19.95" customHeight="1">
      <c r="A652" s="3020"/>
      <c r="B652" s="3015" t="str">
        <f>[2]分摊!B654</f>
        <v>车位649</v>
      </c>
      <c r="C652" s="3017">
        <f>[2]分摊!C654</f>
        <v>12.72</v>
      </c>
      <c r="D652" s="3018">
        <f>[2]分摊!H654</f>
        <v>24.67</v>
      </c>
      <c r="E652" s="3017">
        <f t="shared" si="10"/>
        <v>37.39</v>
      </c>
    </row>
    <row r="653" spans="1:5" ht="19.95" customHeight="1">
      <c r="A653" s="3020"/>
      <c r="B653" s="3015" t="str">
        <f>[2]分摊!B655</f>
        <v>车位650</v>
      </c>
      <c r="C653" s="3017">
        <f>[2]分摊!C655</f>
        <v>25.44</v>
      </c>
      <c r="D653" s="3018">
        <f>[2]分摊!H655</f>
        <v>49.33</v>
      </c>
      <c r="E653" s="3017">
        <f t="shared" si="10"/>
        <v>74.77</v>
      </c>
    </row>
    <row r="654" spans="1:5" ht="19.95" customHeight="1">
      <c r="A654" s="3020"/>
      <c r="B654" s="3015" t="str">
        <f>[2]分摊!B656</f>
        <v>车位651</v>
      </c>
      <c r="C654" s="3017">
        <f>[2]分摊!C656</f>
        <v>12.72</v>
      </c>
      <c r="D654" s="3018">
        <f>[2]分摊!H656</f>
        <v>24.67</v>
      </c>
      <c r="E654" s="3017">
        <f t="shared" si="10"/>
        <v>37.39</v>
      </c>
    </row>
    <row r="655" spans="1:5" ht="19.95" customHeight="1">
      <c r="A655" s="3020"/>
      <c r="B655" s="3015" t="str">
        <f>[2]分摊!B657</f>
        <v>车位652</v>
      </c>
      <c r="C655" s="3017">
        <f>[2]分摊!C657</f>
        <v>12.72</v>
      </c>
      <c r="D655" s="3018">
        <f>[2]分摊!H657</f>
        <v>24.67</v>
      </c>
      <c r="E655" s="3017">
        <f t="shared" si="10"/>
        <v>37.39</v>
      </c>
    </row>
    <row r="656" spans="1:5" ht="19.95" customHeight="1">
      <c r="A656" s="3020"/>
      <c r="B656" s="3015" t="str">
        <f>[2]分摊!B658</f>
        <v>车位653</v>
      </c>
      <c r="C656" s="3017">
        <f>[2]分摊!C658</f>
        <v>25.44</v>
      </c>
      <c r="D656" s="3018">
        <f>[2]分摊!H658</f>
        <v>49.33</v>
      </c>
      <c r="E656" s="3017">
        <f t="shared" si="10"/>
        <v>74.77</v>
      </c>
    </row>
    <row r="657" spans="1:5" ht="19.95" customHeight="1">
      <c r="A657" s="3020"/>
      <c r="B657" s="3015" t="str">
        <f>[2]分摊!B659</f>
        <v>车位654</v>
      </c>
      <c r="C657" s="3017">
        <f>[2]分摊!C659</f>
        <v>12.72</v>
      </c>
      <c r="D657" s="3018">
        <f>[2]分摊!H659</f>
        <v>24.67</v>
      </c>
      <c r="E657" s="3017">
        <f t="shared" si="10"/>
        <v>37.39</v>
      </c>
    </row>
    <row r="658" spans="1:5" ht="19.95" customHeight="1">
      <c r="A658" s="3020"/>
      <c r="B658" s="3015" t="str">
        <f>[2]分摊!B660</f>
        <v>车位655</v>
      </c>
      <c r="C658" s="3017">
        <f>[2]分摊!C660</f>
        <v>12.72</v>
      </c>
      <c r="D658" s="3018">
        <f>[2]分摊!H660</f>
        <v>24.67</v>
      </c>
      <c r="E658" s="3017">
        <f t="shared" si="10"/>
        <v>37.39</v>
      </c>
    </row>
    <row r="659" spans="1:5" ht="19.95" customHeight="1">
      <c r="A659" s="3020"/>
      <c r="B659" s="3015" t="str">
        <f>[2]分摊!B661</f>
        <v>车位656</v>
      </c>
      <c r="C659" s="3017">
        <f>[2]分摊!C661</f>
        <v>12.72</v>
      </c>
      <c r="D659" s="3018">
        <f>[2]分摊!H661</f>
        <v>24.67</v>
      </c>
      <c r="E659" s="3017">
        <f t="shared" si="10"/>
        <v>37.39</v>
      </c>
    </row>
    <row r="660" spans="1:5" ht="19.95" customHeight="1">
      <c r="A660" s="3020"/>
      <c r="B660" s="3015" t="str">
        <f>[2]分摊!B662</f>
        <v>车位657</v>
      </c>
      <c r="C660" s="3017">
        <f>[2]分摊!C662</f>
        <v>12.72</v>
      </c>
      <c r="D660" s="3018">
        <f>[2]分摊!H662</f>
        <v>24.67</v>
      </c>
      <c r="E660" s="3017">
        <f t="shared" si="10"/>
        <v>37.39</v>
      </c>
    </row>
    <row r="661" spans="1:5" ht="19.95" customHeight="1">
      <c r="A661" s="3020"/>
      <c r="B661" s="3015" t="str">
        <f>[2]分摊!B663</f>
        <v>车位658</v>
      </c>
      <c r="C661" s="3017">
        <f>[2]分摊!C663</f>
        <v>12.72</v>
      </c>
      <c r="D661" s="3018">
        <f>[2]分摊!H663</f>
        <v>24.67</v>
      </c>
      <c r="E661" s="3017">
        <f t="shared" si="10"/>
        <v>37.39</v>
      </c>
    </row>
    <row r="662" spans="1:5" ht="19.95" customHeight="1">
      <c r="A662" s="3020"/>
      <c r="B662" s="3015" t="str">
        <f>[2]分摊!B664</f>
        <v>车位659</v>
      </c>
      <c r="C662" s="3017">
        <f>[2]分摊!C664</f>
        <v>12.72</v>
      </c>
      <c r="D662" s="3018">
        <f>[2]分摊!H664</f>
        <v>24.67</v>
      </c>
      <c r="E662" s="3017">
        <f t="shared" si="10"/>
        <v>37.39</v>
      </c>
    </row>
    <row r="663" spans="1:5" ht="19.95" customHeight="1">
      <c r="A663" s="3020"/>
      <c r="B663" s="3015" t="str">
        <f>[2]分摊!B665</f>
        <v>车位660</v>
      </c>
      <c r="C663" s="3017">
        <f>[2]分摊!C665</f>
        <v>25.44</v>
      </c>
      <c r="D663" s="3018">
        <f>[2]分摊!H665</f>
        <v>49.33</v>
      </c>
      <c r="E663" s="3017">
        <f t="shared" si="10"/>
        <v>74.77</v>
      </c>
    </row>
    <row r="664" spans="1:5" ht="19.95" customHeight="1">
      <c r="A664" s="3020"/>
      <c r="B664" s="3015" t="str">
        <f>[2]分摊!B666</f>
        <v>车位661</v>
      </c>
      <c r="C664" s="3017">
        <f>[2]分摊!C666</f>
        <v>12.72</v>
      </c>
      <c r="D664" s="3018">
        <f>[2]分摊!H666</f>
        <v>24.67</v>
      </c>
      <c r="E664" s="3017">
        <f t="shared" si="10"/>
        <v>37.39</v>
      </c>
    </row>
    <row r="665" spans="1:5" ht="19.95" customHeight="1">
      <c r="A665" s="3020"/>
      <c r="B665" s="3015" t="str">
        <f>[2]分摊!B667</f>
        <v>车位662</v>
      </c>
      <c r="C665" s="3017">
        <f>[2]分摊!C667</f>
        <v>12.72</v>
      </c>
      <c r="D665" s="3018">
        <f>[2]分摊!H667</f>
        <v>24.67</v>
      </c>
      <c r="E665" s="3017">
        <f t="shared" si="10"/>
        <v>37.39</v>
      </c>
    </row>
    <row r="666" spans="1:5" ht="19.95" customHeight="1">
      <c r="A666" s="3020"/>
      <c r="B666" s="3015" t="str">
        <f>[2]分摊!B668</f>
        <v>车位663</v>
      </c>
      <c r="C666" s="3017">
        <f>[2]分摊!C668</f>
        <v>12.72</v>
      </c>
      <c r="D666" s="3018">
        <f>[2]分摊!H668</f>
        <v>24.67</v>
      </c>
      <c r="E666" s="3017">
        <f t="shared" si="10"/>
        <v>37.39</v>
      </c>
    </row>
    <row r="667" spans="1:5" ht="19.95" customHeight="1">
      <c r="A667" s="3020"/>
      <c r="B667" s="3015" t="str">
        <f>[2]分摊!B669</f>
        <v>车位664</v>
      </c>
      <c r="C667" s="3017">
        <f>[2]分摊!C669</f>
        <v>12.72</v>
      </c>
      <c r="D667" s="3018">
        <f>[2]分摊!H669</f>
        <v>24.67</v>
      </c>
      <c r="E667" s="3017">
        <f t="shared" si="10"/>
        <v>37.39</v>
      </c>
    </row>
    <row r="668" spans="1:5" ht="19.95" customHeight="1">
      <c r="A668" s="3020"/>
      <c r="B668" s="3015" t="str">
        <f>[2]分摊!B670</f>
        <v>车位665</v>
      </c>
      <c r="C668" s="3017">
        <f>[2]分摊!C670</f>
        <v>12.72</v>
      </c>
      <c r="D668" s="3018">
        <f>[2]分摊!H670</f>
        <v>24.67</v>
      </c>
      <c r="E668" s="3017">
        <f t="shared" si="10"/>
        <v>37.39</v>
      </c>
    </row>
    <row r="669" spans="1:5" ht="19.95" customHeight="1">
      <c r="A669" s="3020"/>
      <c r="B669" s="3015" t="str">
        <f>[2]分摊!B671</f>
        <v>车位666</v>
      </c>
      <c r="C669" s="3017">
        <f>[2]分摊!C671</f>
        <v>12.72</v>
      </c>
      <c r="D669" s="3018">
        <f>[2]分摊!H671</f>
        <v>24.67</v>
      </c>
      <c r="E669" s="3017">
        <f t="shared" si="10"/>
        <v>37.39</v>
      </c>
    </row>
    <row r="670" spans="1:5" ht="19.95" customHeight="1">
      <c r="A670" s="3020"/>
      <c r="B670" s="3015" t="str">
        <f>[2]分摊!B672</f>
        <v>车位667</v>
      </c>
      <c r="C670" s="3017">
        <f>[2]分摊!C672</f>
        <v>12.72</v>
      </c>
      <c r="D670" s="3018">
        <f>[2]分摊!H672</f>
        <v>24.67</v>
      </c>
      <c r="E670" s="3017">
        <f t="shared" si="10"/>
        <v>37.39</v>
      </c>
    </row>
    <row r="671" spans="1:5" ht="19.95" customHeight="1">
      <c r="A671" s="3020"/>
      <c r="B671" s="3015" t="str">
        <f>[2]分摊!B673</f>
        <v>车位668</v>
      </c>
      <c r="C671" s="3017">
        <f>[2]分摊!C673</f>
        <v>12.72</v>
      </c>
      <c r="D671" s="3018">
        <f>[2]分摊!H673</f>
        <v>24.67</v>
      </c>
      <c r="E671" s="3017">
        <f t="shared" si="10"/>
        <v>37.39</v>
      </c>
    </row>
    <row r="672" spans="1:5" ht="19.95" customHeight="1">
      <c r="A672" s="3020"/>
      <c r="B672" s="3015" t="str">
        <f>[2]分摊!B674</f>
        <v>车位669</v>
      </c>
      <c r="C672" s="3017">
        <f>[2]分摊!C674</f>
        <v>12.72</v>
      </c>
      <c r="D672" s="3018">
        <f>[2]分摊!H674</f>
        <v>24.67</v>
      </c>
      <c r="E672" s="3017">
        <f t="shared" si="10"/>
        <v>37.39</v>
      </c>
    </row>
    <row r="673" spans="1:5" ht="19.95" customHeight="1">
      <c r="A673" s="3020"/>
      <c r="B673" s="3015" t="str">
        <f>[2]分摊!B675</f>
        <v>车位670</v>
      </c>
      <c r="C673" s="3017">
        <f>[2]分摊!C675</f>
        <v>12.72</v>
      </c>
      <c r="D673" s="3018">
        <f>[2]分摊!H675</f>
        <v>24.67</v>
      </c>
      <c r="E673" s="3017">
        <f t="shared" si="10"/>
        <v>37.39</v>
      </c>
    </row>
    <row r="674" spans="1:5" ht="19.95" customHeight="1">
      <c r="A674" s="3020"/>
      <c r="B674" s="3015" t="str">
        <f>[2]分摊!B676</f>
        <v>车位671</v>
      </c>
      <c r="C674" s="3017">
        <f>[2]分摊!C676</f>
        <v>12.72</v>
      </c>
      <c r="D674" s="3018">
        <f>[2]分摊!H676</f>
        <v>24.67</v>
      </c>
      <c r="E674" s="3017">
        <f t="shared" si="10"/>
        <v>37.39</v>
      </c>
    </row>
    <row r="675" spans="1:5" ht="19.95" customHeight="1">
      <c r="A675" s="3020"/>
      <c r="B675" s="3015" t="str">
        <f>[2]分摊!B677</f>
        <v>车位672</v>
      </c>
      <c r="C675" s="3017">
        <f>[2]分摊!C677</f>
        <v>12.72</v>
      </c>
      <c r="D675" s="3018">
        <f>[2]分摊!H677</f>
        <v>24.67</v>
      </c>
      <c r="E675" s="3017">
        <f t="shared" si="10"/>
        <v>37.39</v>
      </c>
    </row>
    <row r="676" spans="1:5" ht="19.95" customHeight="1">
      <c r="A676" s="3020"/>
      <c r="B676" s="3015" t="str">
        <f>[2]分摊!B678</f>
        <v>车位673</v>
      </c>
      <c r="C676" s="3017">
        <f>[2]分摊!C678</f>
        <v>12.72</v>
      </c>
      <c r="D676" s="3018">
        <f>[2]分摊!H678</f>
        <v>24.67</v>
      </c>
      <c r="E676" s="3017">
        <f t="shared" si="10"/>
        <v>37.39</v>
      </c>
    </row>
    <row r="677" spans="1:5" ht="19.95" customHeight="1">
      <c r="A677" s="3020"/>
      <c r="B677" s="3015" t="str">
        <f>[2]分摊!B679</f>
        <v>车位674</v>
      </c>
      <c r="C677" s="3017">
        <f>[2]分摊!C679</f>
        <v>12.72</v>
      </c>
      <c r="D677" s="3018">
        <f>[2]分摊!H679</f>
        <v>24.67</v>
      </c>
      <c r="E677" s="3017">
        <f t="shared" si="10"/>
        <v>37.39</v>
      </c>
    </row>
    <row r="678" spans="1:5" ht="19.95" customHeight="1">
      <c r="A678" s="3020"/>
      <c r="B678" s="3015" t="str">
        <f>[2]分摊!B680</f>
        <v>车位675</v>
      </c>
      <c r="C678" s="3017">
        <f>[2]分摊!C680</f>
        <v>12.72</v>
      </c>
      <c r="D678" s="3018">
        <f>[2]分摊!H680</f>
        <v>24.67</v>
      </c>
      <c r="E678" s="3017">
        <f t="shared" si="10"/>
        <v>37.39</v>
      </c>
    </row>
    <row r="679" spans="1:5" ht="19.95" customHeight="1">
      <c r="A679" s="3020"/>
      <c r="B679" s="3015" t="str">
        <f>[2]分摊!B681</f>
        <v>车位676</v>
      </c>
      <c r="C679" s="3017">
        <f>[2]分摊!C681</f>
        <v>12.72</v>
      </c>
      <c r="D679" s="3018">
        <f>[2]分摊!H681</f>
        <v>24.67</v>
      </c>
      <c r="E679" s="3017">
        <f t="shared" si="10"/>
        <v>37.39</v>
      </c>
    </row>
    <row r="680" spans="1:5" ht="19.95" customHeight="1">
      <c r="A680" s="3020"/>
      <c r="B680" s="3015" t="str">
        <f>[2]分摊!B682</f>
        <v>车位677</v>
      </c>
      <c r="C680" s="3017">
        <f>[2]分摊!C682</f>
        <v>12.72</v>
      </c>
      <c r="D680" s="3018">
        <f>[2]分摊!H682</f>
        <v>24.67</v>
      </c>
      <c r="E680" s="3017">
        <f t="shared" si="10"/>
        <v>37.39</v>
      </c>
    </row>
    <row r="681" spans="1:5" ht="19.95" customHeight="1">
      <c r="A681" s="3020"/>
      <c r="B681" s="3015" t="str">
        <f>[2]分摊!B683</f>
        <v>车位678</v>
      </c>
      <c r="C681" s="3017">
        <f>[2]分摊!C683</f>
        <v>12.72</v>
      </c>
      <c r="D681" s="3018">
        <f>[2]分摊!H683</f>
        <v>24.67</v>
      </c>
      <c r="E681" s="3017">
        <f t="shared" si="10"/>
        <v>37.39</v>
      </c>
    </row>
    <row r="682" spans="1:5" ht="19.95" customHeight="1">
      <c r="A682" s="3020"/>
      <c r="B682" s="3015" t="str">
        <f>[2]分摊!B684</f>
        <v>车位679</v>
      </c>
      <c r="C682" s="3017">
        <f>[2]分摊!C684</f>
        <v>12.72</v>
      </c>
      <c r="D682" s="3018">
        <f>[2]分摊!H684</f>
        <v>24.67</v>
      </c>
      <c r="E682" s="3017">
        <f t="shared" si="10"/>
        <v>37.39</v>
      </c>
    </row>
    <row r="683" spans="1:5" ht="19.95" customHeight="1">
      <c r="A683" s="3020"/>
      <c r="B683" s="3015" t="str">
        <f>[2]分摊!B685</f>
        <v>车位680</v>
      </c>
      <c r="C683" s="3017">
        <f>[2]分摊!C685</f>
        <v>12.72</v>
      </c>
      <c r="D683" s="3018">
        <f>[2]分摊!H685</f>
        <v>24.67</v>
      </c>
      <c r="E683" s="3017">
        <f t="shared" si="10"/>
        <v>37.39</v>
      </c>
    </row>
    <row r="684" spans="1:5" ht="19.95" customHeight="1">
      <c r="A684" s="3020"/>
      <c r="B684" s="3015" t="str">
        <f>[2]分摊!B686</f>
        <v>车位681</v>
      </c>
      <c r="C684" s="3017">
        <f>[2]分摊!C686</f>
        <v>12.72</v>
      </c>
      <c r="D684" s="3018">
        <f>[2]分摊!H686</f>
        <v>24.67</v>
      </c>
      <c r="E684" s="3017">
        <f t="shared" si="10"/>
        <v>37.39</v>
      </c>
    </row>
    <row r="685" spans="1:5" ht="19.95" customHeight="1">
      <c r="A685" s="3020"/>
      <c r="B685" s="3015" t="str">
        <f>[2]分摊!B687</f>
        <v>车位682</v>
      </c>
      <c r="C685" s="3017">
        <f>[2]分摊!C687</f>
        <v>12.72</v>
      </c>
      <c r="D685" s="3018">
        <f>[2]分摊!H687</f>
        <v>24.67</v>
      </c>
      <c r="E685" s="3017">
        <f t="shared" si="10"/>
        <v>37.39</v>
      </c>
    </row>
    <row r="686" spans="1:5" ht="19.95" customHeight="1">
      <c r="A686" s="3020"/>
      <c r="B686" s="3015" t="str">
        <f>[2]分摊!B688</f>
        <v>车位683</v>
      </c>
      <c r="C686" s="3017">
        <f>[2]分摊!C688</f>
        <v>12.72</v>
      </c>
      <c r="D686" s="3018">
        <f>[2]分摊!H688</f>
        <v>24.67</v>
      </c>
      <c r="E686" s="3017">
        <f t="shared" si="10"/>
        <v>37.39</v>
      </c>
    </row>
    <row r="687" spans="1:5" ht="19.95" customHeight="1">
      <c r="A687" s="3020"/>
      <c r="B687" s="3015" t="str">
        <f>[2]分摊!B689</f>
        <v>车位684</v>
      </c>
      <c r="C687" s="3017">
        <f>[2]分摊!C689</f>
        <v>12.72</v>
      </c>
      <c r="D687" s="3018">
        <f>[2]分摊!H689</f>
        <v>24.67</v>
      </c>
      <c r="E687" s="3017">
        <f t="shared" si="10"/>
        <v>37.39</v>
      </c>
    </row>
    <row r="688" spans="1:5" ht="19.95" customHeight="1">
      <c r="A688" s="3020"/>
      <c r="B688" s="3015" t="str">
        <f>[2]分摊!B690</f>
        <v>车位685</v>
      </c>
      <c r="C688" s="3017">
        <f>[2]分摊!C690</f>
        <v>12.72</v>
      </c>
      <c r="D688" s="3018">
        <f>[2]分摊!H690</f>
        <v>24.67</v>
      </c>
      <c r="E688" s="3017">
        <f t="shared" si="10"/>
        <v>37.39</v>
      </c>
    </row>
    <row r="689" spans="1:5" ht="19.95" customHeight="1">
      <c r="A689" s="3020"/>
      <c r="B689" s="3015" t="str">
        <f>[2]分摊!B691</f>
        <v>车位686</v>
      </c>
      <c r="C689" s="3017">
        <f>[2]分摊!C691</f>
        <v>12.72</v>
      </c>
      <c r="D689" s="3018">
        <f>[2]分摊!H691</f>
        <v>24.67</v>
      </c>
      <c r="E689" s="3017">
        <f t="shared" si="10"/>
        <v>37.39</v>
      </c>
    </row>
    <row r="690" spans="1:5" ht="19.95" customHeight="1">
      <c r="A690" s="3020"/>
      <c r="B690" s="3015" t="str">
        <f>[2]分摊!B692</f>
        <v>车位687</v>
      </c>
      <c r="C690" s="3017">
        <f>[2]分摊!C692</f>
        <v>12.72</v>
      </c>
      <c r="D690" s="3018">
        <f>[2]分摊!H692</f>
        <v>24.67</v>
      </c>
      <c r="E690" s="3017">
        <f t="shared" si="10"/>
        <v>37.39</v>
      </c>
    </row>
    <row r="691" spans="1:5" ht="19.95" customHeight="1">
      <c r="A691" s="3020"/>
      <c r="B691" s="3015" t="str">
        <f>[2]分摊!B693</f>
        <v>车位688</v>
      </c>
      <c r="C691" s="3017">
        <f>[2]分摊!C693</f>
        <v>12.72</v>
      </c>
      <c r="D691" s="3018">
        <f>[2]分摊!H693</f>
        <v>24.67</v>
      </c>
      <c r="E691" s="3017">
        <f t="shared" si="10"/>
        <v>37.39</v>
      </c>
    </row>
    <row r="692" spans="1:5" ht="19.95" customHeight="1">
      <c r="A692" s="3020"/>
      <c r="B692" s="3015" t="str">
        <f>[2]分摊!B694</f>
        <v>车位689</v>
      </c>
      <c r="C692" s="3017">
        <f>[2]分摊!C694</f>
        <v>12.72</v>
      </c>
      <c r="D692" s="3018">
        <f>[2]分摊!H694</f>
        <v>24.67</v>
      </c>
      <c r="E692" s="3017">
        <f t="shared" si="10"/>
        <v>37.39</v>
      </c>
    </row>
    <row r="693" spans="1:5" ht="19.95" customHeight="1">
      <c r="A693" s="3020"/>
      <c r="B693" s="3015" t="str">
        <f>[2]分摊!B695</f>
        <v>车位690</v>
      </c>
      <c r="C693" s="3017">
        <f>[2]分摊!C695</f>
        <v>12.72</v>
      </c>
      <c r="D693" s="3018">
        <f>[2]分摊!H695</f>
        <v>24.67</v>
      </c>
      <c r="E693" s="3017">
        <f t="shared" si="10"/>
        <v>37.39</v>
      </c>
    </row>
    <row r="694" spans="1:5" ht="19.95" customHeight="1">
      <c r="A694" s="3020"/>
      <c r="B694" s="3015" t="str">
        <f>[2]分摊!B696</f>
        <v>车位691</v>
      </c>
      <c r="C694" s="3017">
        <f>[2]分摊!C696</f>
        <v>12.72</v>
      </c>
      <c r="D694" s="3018">
        <f>[2]分摊!H696</f>
        <v>24.67</v>
      </c>
      <c r="E694" s="3017">
        <f t="shared" si="10"/>
        <v>37.39</v>
      </c>
    </row>
    <row r="695" spans="1:5" ht="19.95" customHeight="1">
      <c r="A695" s="3020"/>
      <c r="B695" s="3015" t="str">
        <f>[2]分摊!B697</f>
        <v>车位692</v>
      </c>
      <c r="C695" s="3017">
        <f>[2]分摊!C697</f>
        <v>12.72</v>
      </c>
      <c r="D695" s="3018">
        <f>[2]分摊!H697</f>
        <v>24.67</v>
      </c>
      <c r="E695" s="3017">
        <f t="shared" si="10"/>
        <v>37.39</v>
      </c>
    </row>
    <row r="696" spans="1:5" ht="19.95" customHeight="1">
      <c r="A696" s="3020"/>
      <c r="B696" s="3015" t="str">
        <f>[2]分摊!B698</f>
        <v>车位693</v>
      </c>
      <c r="C696" s="3017">
        <f>[2]分摊!C698</f>
        <v>12.72</v>
      </c>
      <c r="D696" s="3018">
        <f>[2]分摊!H698</f>
        <v>24.67</v>
      </c>
      <c r="E696" s="3017">
        <f t="shared" si="10"/>
        <v>37.39</v>
      </c>
    </row>
    <row r="697" spans="1:5" ht="19.95" customHeight="1">
      <c r="A697" s="3020"/>
      <c r="B697" s="3015" t="str">
        <f>[2]分摊!B699</f>
        <v>车位694</v>
      </c>
      <c r="C697" s="3017">
        <f>[2]分摊!C699</f>
        <v>12.72</v>
      </c>
      <c r="D697" s="3018">
        <f>[2]分摊!H699</f>
        <v>24.67</v>
      </c>
      <c r="E697" s="3017">
        <f t="shared" si="10"/>
        <v>37.39</v>
      </c>
    </row>
    <row r="698" spans="1:5" ht="19.95" customHeight="1">
      <c r="A698" s="3020"/>
      <c r="B698" s="3015" t="str">
        <f>[2]分摊!B700</f>
        <v>车位695</v>
      </c>
      <c r="C698" s="3017">
        <f>[2]分摊!C700</f>
        <v>12.72</v>
      </c>
      <c r="D698" s="3018">
        <f>[2]分摊!H700</f>
        <v>24.67</v>
      </c>
      <c r="E698" s="3017">
        <f t="shared" si="10"/>
        <v>37.39</v>
      </c>
    </row>
    <row r="699" spans="1:5" ht="19.95" customHeight="1">
      <c r="A699" s="3020"/>
      <c r="B699" s="3015" t="str">
        <f>[2]分摊!B701</f>
        <v>车位696</v>
      </c>
      <c r="C699" s="3017">
        <f>[2]分摊!C701</f>
        <v>12.72</v>
      </c>
      <c r="D699" s="3018">
        <f>[2]分摊!H701</f>
        <v>24.67</v>
      </c>
      <c r="E699" s="3017">
        <f t="shared" si="10"/>
        <v>37.39</v>
      </c>
    </row>
    <row r="700" spans="1:5" ht="19.95" customHeight="1">
      <c r="A700" s="3020"/>
      <c r="B700" s="3015" t="str">
        <f>[2]分摊!B702</f>
        <v>车位697</v>
      </c>
      <c r="C700" s="3017">
        <f>[2]分摊!C702</f>
        <v>12.72</v>
      </c>
      <c r="D700" s="3018">
        <f>[2]分摊!H702</f>
        <v>24.67</v>
      </c>
      <c r="E700" s="3017">
        <f t="shared" si="10"/>
        <v>37.39</v>
      </c>
    </row>
    <row r="701" spans="1:5" ht="19.95" customHeight="1">
      <c r="A701" s="3020"/>
      <c r="B701" s="3015" t="str">
        <f>[2]分摊!B703</f>
        <v>车位698</v>
      </c>
      <c r="C701" s="3017">
        <f>[2]分摊!C703</f>
        <v>12.72</v>
      </c>
      <c r="D701" s="3018">
        <f>[2]分摊!H703</f>
        <v>24.67</v>
      </c>
      <c r="E701" s="3017">
        <f t="shared" si="10"/>
        <v>37.39</v>
      </c>
    </row>
    <row r="702" spans="1:5" ht="19.95" customHeight="1">
      <c r="A702" s="3020"/>
      <c r="B702" s="3015" t="str">
        <f>[2]分摊!B704</f>
        <v>车位699</v>
      </c>
      <c r="C702" s="3017">
        <f>[2]分摊!C704</f>
        <v>12.72</v>
      </c>
      <c r="D702" s="3018">
        <f>[2]分摊!H704</f>
        <v>24.67</v>
      </c>
      <c r="E702" s="3017">
        <f t="shared" si="10"/>
        <v>37.39</v>
      </c>
    </row>
    <row r="703" spans="1:5" ht="19.95" customHeight="1">
      <c r="A703" s="3020"/>
      <c r="B703" s="3015" t="str">
        <f>[2]分摊!B705</f>
        <v>车位700</v>
      </c>
      <c r="C703" s="3017">
        <f>[2]分摊!C705</f>
        <v>12.72</v>
      </c>
      <c r="D703" s="3018">
        <f>[2]分摊!H705</f>
        <v>24.67</v>
      </c>
      <c r="E703" s="3017">
        <f t="shared" si="10"/>
        <v>37.39</v>
      </c>
    </row>
    <row r="704" spans="1:5" ht="19.95" customHeight="1">
      <c r="A704" s="3020"/>
      <c r="B704" s="3015" t="str">
        <f>[2]分摊!B706</f>
        <v>车位701</v>
      </c>
      <c r="C704" s="3017">
        <f>[2]分摊!C706</f>
        <v>12.72</v>
      </c>
      <c r="D704" s="3018">
        <f>[2]分摊!H706</f>
        <v>24.67</v>
      </c>
      <c r="E704" s="3017">
        <f t="shared" si="10"/>
        <v>37.39</v>
      </c>
    </row>
    <row r="705" spans="1:5" ht="19.95" customHeight="1">
      <c r="A705" s="3020"/>
      <c r="B705" s="3015" t="str">
        <f>[2]分摊!B707</f>
        <v>车位702</v>
      </c>
      <c r="C705" s="3017">
        <f>[2]分摊!C707</f>
        <v>12.72</v>
      </c>
      <c r="D705" s="3018">
        <f>[2]分摊!H707</f>
        <v>24.67</v>
      </c>
      <c r="E705" s="3017">
        <f t="shared" si="10"/>
        <v>37.39</v>
      </c>
    </row>
    <row r="706" spans="1:5" ht="19.95" customHeight="1">
      <c r="A706" s="3020"/>
      <c r="B706" s="3015" t="str">
        <f>[2]分摊!B708</f>
        <v>车位703</v>
      </c>
      <c r="C706" s="3017">
        <f>[2]分摊!C708</f>
        <v>12.72</v>
      </c>
      <c r="D706" s="3018">
        <f>[2]分摊!H708</f>
        <v>24.67</v>
      </c>
      <c r="E706" s="3017">
        <f t="shared" si="10"/>
        <v>37.39</v>
      </c>
    </row>
    <row r="707" spans="1:5" ht="19.95" customHeight="1">
      <c r="A707" s="3020"/>
      <c r="B707" s="3015" t="str">
        <f>[2]分摊!B709</f>
        <v>车位704</v>
      </c>
      <c r="C707" s="3017">
        <f>[2]分摊!C709</f>
        <v>12.72</v>
      </c>
      <c r="D707" s="3018">
        <f>[2]分摊!H709</f>
        <v>24.67</v>
      </c>
      <c r="E707" s="3017">
        <f t="shared" si="10"/>
        <v>37.39</v>
      </c>
    </row>
    <row r="708" spans="1:5" ht="19.95" customHeight="1">
      <c r="A708" s="3020"/>
      <c r="B708" s="3015" t="str">
        <f>[2]分摊!B710</f>
        <v>车位705</v>
      </c>
      <c r="C708" s="3017">
        <f>[2]分摊!C710</f>
        <v>12.72</v>
      </c>
      <c r="D708" s="3018">
        <f>[2]分摊!H710</f>
        <v>24.67</v>
      </c>
      <c r="E708" s="3017">
        <f t="shared" si="10"/>
        <v>37.39</v>
      </c>
    </row>
    <row r="709" spans="1:5" ht="19.95" customHeight="1">
      <c r="A709" s="3020"/>
      <c r="B709" s="3015" t="str">
        <f>[2]分摊!B711</f>
        <v>车位706</v>
      </c>
      <c r="C709" s="3017">
        <f>[2]分摊!C711</f>
        <v>12.72</v>
      </c>
      <c r="D709" s="3018">
        <f>[2]分摊!H711</f>
        <v>24.67</v>
      </c>
      <c r="E709" s="3017">
        <f t="shared" ref="E709:E772" si="11">SUM(C709:D709)</f>
        <v>37.39</v>
      </c>
    </row>
    <row r="710" spans="1:5" ht="19.95" customHeight="1">
      <c r="A710" s="3020"/>
      <c r="B710" s="3015" t="str">
        <f>[2]分摊!B712</f>
        <v>车位707</v>
      </c>
      <c r="C710" s="3017">
        <f>[2]分摊!C712</f>
        <v>12.72</v>
      </c>
      <c r="D710" s="3018">
        <f>[2]分摊!H712</f>
        <v>24.67</v>
      </c>
      <c r="E710" s="3017">
        <f t="shared" si="11"/>
        <v>37.39</v>
      </c>
    </row>
    <row r="711" spans="1:5" ht="19.95" customHeight="1">
      <c r="A711" s="3020"/>
      <c r="B711" s="3015" t="str">
        <f>[2]分摊!B713</f>
        <v>车位708</v>
      </c>
      <c r="C711" s="3017">
        <f>[2]分摊!C713</f>
        <v>12.72</v>
      </c>
      <c r="D711" s="3018">
        <f>[2]分摊!H713</f>
        <v>24.67</v>
      </c>
      <c r="E711" s="3017">
        <f t="shared" si="11"/>
        <v>37.39</v>
      </c>
    </row>
    <row r="712" spans="1:5" ht="19.95" customHeight="1">
      <c r="A712" s="3020"/>
      <c r="B712" s="3015" t="str">
        <f>[2]分摊!B714</f>
        <v>车位709</v>
      </c>
      <c r="C712" s="3017">
        <f>[2]分摊!C714</f>
        <v>12.72</v>
      </c>
      <c r="D712" s="3018">
        <f>[2]分摊!H714</f>
        <v>24.67</v>
      </c>
      <c r="E712" s="3017">
        <f t="shared" si="11"/>
        <v>37.39</v>
      </c>
    </row>
    <row r="713" spans="1:5" ht="19.95" customHeight="1">
      <c r="A713" s="3020"/>
      <c r="B713" s="3015" t="str">
        <f>[2]分摊!B715</f>
        <v>车位710</v>
      </c>
      <c r="C713" s="3017">
        <f>[2]分摊!C715</f>
        <v>12.72</v>
      </c>
      <c r="D713" s="3018">
        <f>[2]分摊!H715</f>
        <v>24.67</v>
      </c>
      <c r="E713" s="3017">
        <f t="shared" si="11"/>
        <v>37.39</v>
      </c>
    </row>
    <row r="714" spans="1:5" ht="19.95" customHeight="1">
      <c r="A714" s="3020"/>
      <c r="B714" s="3015" t="str">
        <f>[2]分摊!B716</f>
        <v>车位711</v>
      </c>
      <c r="C714" s="3017">
        <f>[2]分摊!C716</f>
        <v>12.72</v>
      </c>
      <c r="D714" s="3018">
        <f>[2]分摊!H716</f>
        <v>24.67</v>
      </c>
      <c r="E714" s="3017">
        <f t="shared" si="11"/>
        <v>37.39</v>
      </c>
    </row>
    <row r="715" spans="1:5" ht="19.95" customHeight="1">
      <c r="A715" s="3020"/>
      <c r="B715" s="3015" t="str">
        <f>[2]分摊!B717</f>
        <v>车位712</v>
      </c>
      <c r="C715" s="3017">
        <f>[2]分摊!C717</f>
        <v>12.72</v>
      </c>
      <c r="D715" s="3018">
        <f>[2]分摊!H717</f>
        <v>24.67</v>
      </c>
      <c r="E715" s="3017">
        <f t="shared" si="11"/>
        <v>37.39</v>
      </c>
    </row>
    <row r="716" spans="1:5" ht="19.95" customHeight="1">
      <c r="A716" s="3020"/>
      <c r="B716" s="3015" t="str">
        <f>[2]分摊!B718</f>
        <v>车位713</v>
      </c>
      <c r="C716" s="3017">
        <f>[2]分摊!C718</f>
        <v>12.72</v>
      </c>
      <c r="D716" s="3018">
        <f>[2]分摊!H718</f>
        <v>24.67</v>
      </c>
      <c r="E716" s="3017">
        <f t="shared" si="11"/>
        <v>37.39</v>
      </c>
    </row>
    <row r="717" spans="1:5" ht="19.95" customHeight="1">
      <c r="A717" s="3020"/>
      <c r="B717" s="3015" t="str">
        <f>[2]分摊!B719</f>
        <v>车位714</v>
      </c>
      <c r="C717" s="3017">
        <f>[2]分摊!C719</f>
        <v>12.72</v>
      </c>
      <c r="D717" s="3018">
        <f>[2]分摊!H719</f>
        <v>24.67</v>
      </c>
      <c r="E717" s="3017">
        <f t="shared" si="11"/>
        <v>37.39</v>
      </c>
    </row>
    <row r="718" spans="1:5" ht="19.95" customHeight="1">
      <c r="A718" s="3020"/>
      <c r="B718" s="3015" t="str">
        <f>[2]分摊!B720</f>
        <v>车位715</v>
      </c>
      <c r="C718" s="3017">
        <f>[2]分摊!C720</f>
        <v>12.72</v>
      </c>
      <c r="D718" s="3018">
        <f>[2]分摊!H720</f>
        <v>24.67</v>
      </c>
      <c r="E718" s="3017">
        <f t="shared" si="11"/>
        <v>37.39</v>
      </c>
    </row>
    <row r="719" spans="1:5" ht="19.95" customHeight="1">
      <c r="A719" s="3020"/>
      <c r="B719" s="3015" t="str">
        <f>[2]分摊!B721</f>
        <v>车位716</v>
      </c>
      <c r="C719" s="3017">
        <f>[2]分摊!C721</f>
        <v>12.72</v>
      </c>
      <c r="D719" s="3018">
        <f>[2]分摊!H721</f>
        <v>24.67</v>
      </c>
      <c r="E719" s="3017">
        <f t="shared" si="11"/>
        <v>37.39</v>
      </c>
    </row>
    <row r="720" spans="1:5" ht="19.95" customHeight="1">
      <c r="A720" s="3020"/>
      <c r="B720" s="3015" t="str">
        <f>[2]分摊!B722</f>
        <v>车位717</v>
      </c>
      <c r="C720" s="3017">
        <f>[2]分摊!C722</f>
        <v>12.72</v>
      </c>
      <c r="D720" s="3018">
        <f>[2]分摊!H722</f>
        <v>24.67</v>
      </c>
      <c r="E720" s="3017">
        <f t="shared" si="11"/>
        <v>37.39</v>
      </c>
    </row>
    <row r="721" spans="1:5" ht="19.95" customHeight="1">
      <c r="A721" s="3020"/>
      <c r="B721" s="3015" t="str">
        <f>[2]分摊!B723</f>
        <v>车位718</v>
      </c>
      <c r="C721" s="3017">
        <f>[2]分摊!C723</f>
        <v>12.72</v>
      </c>
      <c r="D721" s="3018">
        <f>[2]分摊!H723</f>
        <v>24.67</v>
      </c>
      <c r="E721" s="3017">
        <f t="shared" si="11"/>
        <v>37.39</v>
      </c>
    </row>
    <row r="722" spans="1:5" ht="19.95" customHeight="1">
      <c r="A722" s="3020"/>
      <c r="B722" s="3015" t="str">
        <f>[2]分摊!B724</f>
        <v>车位719</v>
      </c>
      <c r="C722" s="3017">
        <f>[2]分摊!C724</f>
        <v>12.72</v>
      </c>
      <c r="D722" s="3018">
        <f>[2]分摊!H724</f>
        <v>24.67</v>
      </c>
      <c r="E722" s="3017">
        <f t="shared" si="11"/>
        <v>37.39</v>
      </c>
    </row>
    <row r="723" spans="1:5" ht="19.95" customHeight="1">
      <c r="A723" s="3020"/>
      <c r="B723" s="3015" t="str">
        <f>[2]分摊!B725</f>
        <v>车位720</v>
      </c>
      <c r="C723" s="3017">
        <f>[2]分摊!C725</f>
        <v>12.72</v>
      </c>
      <c r="D723" s="3018">
        <f>[2]分摊!H725</f>
        <v>24.67</v>
      </c>
      <c r="E723" s="3017">
        <f t="shared" si="11"/>
        <v>37.39</v>
      </c>
    </row>
    <row r="724" spans="1:5" ht="19.95" customHeight="1">
      <c r="A724" s="3020"/>
      <c r="B724" s="3015" t="str">
        <f>[2]分摊!B726</f>
        <v>车位721</v>
      </c>
      <c r="C724" s="3017">
        <f>[2]分摊!C726</f>
        <v>12.72</v>
      </c>
      <c r="D724" s="3018">
        <f>[2]分摊!H726</f>
        <v>24.67</v>
      </c>
      <c r="E724" s="3017">
        <f t="shared" si="11"/>
        <v>37.39</v>
      </c>
    </row>
    <row r="725" spans="1:5" ht="19.95" customHeight="1">
      <c r="A725" s="3020"/>
      <c r="B725" s="3015" t="str">
        <f>[2]分摊!B727</f>
        <v>车位722</v>
      </c>
      <c r="C725" s="3017">
        <f>[2]分摊!C727</f>
        <v>12.72</v>
      </c>
      <c r="D725" s="3018">
        <f>[2]分摊!H727</f>
        <v>24.67</v>
      </c>
      <c r="E725" s="3017">
        <f t="shared" si="11"/>
        <v>37.39</v>
      </c>
    </row>
    <row r="726" spans="1:5" ht="19.95" customHeight="1">
      <c r="A726" s="3020"/>
      <c r="B726" s="3015" t="str">
        <f>[2]分摊!B728</f>
        <v>车位723</v>
      </c>
      <c r="C726" s="3017">
        <f>[2]分摊!C728</f>
        <v>12.72</v>
      </c>
      <c r="D726" s="3018">
        <f>[2]分摊!H728</f>
        <v>24.67</v>
      </c>
      <c r="E726" s="3017">
        <f t="shared" si="11"/>
        <v>37.39</v>
      </c>
    </row>
    <row r="727" spans="1:5" ht="19.95" customHeight="1">
      <c r="A727" s="3020"/>
      <c r="B727" s="3015" t="str">
        <f>[2]分摊!B729</f>
        <v>车位724</v>
      </c>
      <c r="C727" s="3017">
        <f>[2]分摊!C729</f>
        <v>12.72</v>
      </c>
      <c r="D727" s="3018">
        <f>[2]分摊!H729</f>
        <v>24.67</v>
      </c>
      <c r="E727" s="3017">
        <f t="shared" si="11"/>
        <v>37.39</v>
      </c>
    </row>
    <row r="728" spans="1:5" ht="19.95" customHeight="1">
      <c r="A728" s="3020"/>
      <c r="B728" s="3015" t="str">
        <f>[2]分摊!B730</f>
        <v>车位725</v>
      </c>
      <c r="C728" s="3017">
        <f>[2]分摊!C730</f>
        <v>12.72</v>
      </c>
      <c r="D728" s="3018">
        <f>[2]分摊!H730</f>
        <v>24.67</v>
      </c>
      <c r="E728" s="3017">
        <f t="shared" si="11"/>
        <v>37.39</v>
      </c>
    </row>
    <row r="729" spans="1:5" ht="19.95" customHeight="1">
      <c r="A729" s="3020"/>
      <c r="B729" s="3015" t="str">
        <f>[2]分摊!B731</f>
        <v>车位726</v>
      </c>
      <c r="C729" s="3017">
        <f>[2]分摊!C731</f>
        <v>12.72</v>
      </c>
      <c r="D729" s="3018">
        <f>[2]分摊!H731</f>
        <v>24.67</v>
      </c>
      <c r="E729" s="3017">
        <f t="shared" si="11"/>
        <v>37.39</v>
      </c>
    </row>
    <row r="730" spans="1:5" ht="19.95" customHeight="1">
      <c r="A730" s="3020"/>
      <c r="B730" s="3015" t="str">
        <f>[2]分摊!B732</f>
        <v>车位727</v>
      </c>
      <c r="C730" s="3017">
        <f>[2]分摊!C732</f>
        <v>12.72</v>
      </c>
      <c r="D730" s="3018">
        <f>[2]分摊!H732</f>
        <v>24.67</v>
      </c>
      <c r="E730" s="3017">
        <f t="shared" si="11"/>
        <v>37.39</v>
      </c>
    </row>
    <row r="731" spans="1:5" ht="19.95" customHeight="1">
      <c r="A731" s="3020"/>
      <c r="B731" s="3015" t="str">
        <f>[2]分摊!B733</f>
        <v>车位728</v>
      </c>
      <c r="C731" s="3017">
        <f>[2]分摊!C733</f>
        <v>12.72</v>
      </c>
      <c r="D731" s="3018">
        <f>[2]分摊!H733</f>
        <v>24.67</v>
      </c>
      <c r="E731" s="3017">
        <f t="shared" si="11"/>
        <v>37.39</v>
      </c>
    </row>
    <row r="732" spans="1:5" ht="19.95" customHeight="1">
      <c r="A732" s="3020"/>
      <c r="B732" s="3015" t="str">
        <f>[2]分摊!B734</f>
        <v>车位729</v>
      </c>
      <c r="C732" s="3017">
        <f>[2]分摊!C734</f>
        <v>12.72</v>
      </c>
      <c r="D732" s="3018">
        <f>[2]分摊!H734</f>
        <v>24.67</v>
      </c>
      <c r="E732" s="3017">
        <f t="shared" si="11"/>
        <v>37.39</v>
      </c>
    </row>
    <row r="733" spans="1:5" ht="19.95" customHeight="1">
      <c r="A733" s="3020"/>
      <c r="B733" s="3015" t="str">
        <f>[2]分摊!B735</f>
        <v>车位730</v>
      </c>
      <c r="C733" s="3017">
        <f>[2]分摊!C735</f>
        <v>12.72</v>
      </c>
      <c r="D733" s="3018">
        <f>[2]分摊!H735</f>
        <v>24.67</v>
      </c>
      <c r="E733" s="3017">
        <f t="shared" si="11"/>
        <v>37.39</v>
      </c>
    </row>
    <row r="734" spans="1:5" ht="19.95" customHeight="1">
      <c r="A734" s="3020"/>
      <c r="B734" s="3015" t="str">
        <f>[2]分摊!B736</f>
        <v>车位731</v>
      </c>
      <c r="C734" s="3017">
        <f>[2]分摊!C736</f>
        <v>12.72</v>
      </c>
      <c r="D734" s="3018">
        <f>[2]分摊!H736</f>
        <v>24.67</v>
      </c>
      <c r="E734" s="3017">
        <f t="shared" si="11"/>
        <v>37.39</v>
      </c>
    </row>
    <row r="735" spans="1:5" ht="19.95" customHeight="1">
      <c r="A735" s="3020"/>
      <c r="B735" s="3015" t="str">
        <f>[2]分摊!B737</f>
        <v>车位732</v>
      </c>
      <c r="C735" s="3017">
        <f>[2]分摊!C737</f>
        <v>12.72</v>
      </c>
      <c r="D735" s="3018">
        <f>[2]分摊!H737</f>
        <v>24.67</v>
      </c>
      <c r="E735" s="3017">
        <f t="shared" si="11"/>
        <v>37.39</v>
      </c>
    </row>
    <row r="736" spans="1:5" ht="19.95" customHeight="1">
      <c r="A736" s="3020"/>
      <c r="B736" s="3015" t="str">
        <f>[2]分摊!B738</f>
        <v>车位733</v>
      </c>
      <c r="C736" s="3017">
        <f>[2]分摊!C738</f>
        <v>12.72</v>
      </c>
      <c r="D736" s="3018">
        <f>[2]分摊!H738</f>
        <v>24.67</v>
      </c>
      <c r="E736" s="3017">
        <f t="shared" si="11"/>
        <v>37.39</v>
      </c>
    </row>
    <row r="737" spans="1:5" ht="19.95" customHeight="1">
      <c r="A737" s="3020"/>
      <c r="B737" s="3015" t="str">
        <f>[2]分摊!B739</f>
        <v>车位734</v>
      </c>
      <c r="C737" s="3017">
        <f>[2]分摊!C739</f>
        <v>12.72</v>
      </c>
      <c r="D737" s="3018">
        <f>[2]分摊!H739</f>
        <v>24.67</v>
      </c>
      <c r="E737" s="3017">
        <f t="shared" si="11"/>
        <v>37.39</v>
      </c>
    </row>
    <row r="738" spans="1:5" ht="19.95" customHeight="1">
      <c r="A738" s="3020"/>
      <c r="B738" s="3015" t="str">
        <f>[2]分摊!B740</f>
        <v>车位735</v>
      </c>
      <c r="C738" s="3017">
        <f>[2]分摊!C740</f>
        <v>12.72</v>
      </c>
      <c r="D738" s="3018">
        <f>[2]分摊!H740</f>
        <v>24.67</v>
      </c>
      <c r="E738" s="3017">
        <f t="shared" si="11"/>
        <v>37.39</v>
      </c>
    </row>
    <row r="739" spans="1:5" ht="19.95" customHeight="1">
      <c r="A739" s="3020"/>
      <c r="B739" s="3015" t="str">
        <f>[2]分摊!B741</f>
        <v>车位736</v>
      </c>
      <c r="C739" s="3017">
        <f>[2]分摊!C741</f>
        <v>12.72</v>
      </c>
      <c r="D739" s="3018">
        <f>[2]分摊!H741</f>
        <v>24.67</v>
      </c>
      <c r="E739" s="3017">
        <f t="shared" si="11"/>
        <v>37.39</v>
      </c>
    </row>
    <row r="740" spans="1:5" ht="19.95" customHeight="1">
      <c r="A740" s="3020"/>
      <c r="B740" s="3015" t="str">
        <f>[2]分摊!B742</f>
        <v>车位737</v>
      </c>
      <c r="C740" s="3017">
        <f>[2]分摊!C742</f>
        <v>12.72</v>
      </c>
      <c r="D740" s="3018">
        <f>[2]分摊!H742</f>
        <v>24.67</v>
      </c>
      <c r="E740" s="3017">
        <f t="shared" si="11"/>
        <v>37.39</v>
      </c>
    </row>
    <row r="741" spans="1:5" ht="19.95" customHeight="1">
      <c r="A741" s="3020"/>
      <c r="B741" s="3015" t="str">
        <f>[2]分摊!B743</f>
        <v>车位738</v>
      </c>
      <c r="C741" s="3017">
        <f>[2]分摊!C743</f>
        <v>12.72</v>
      </c>
      <c r="D741" s="3018">
        <f>[2]分摊!H743</f>
        <v>24.67</v>
      </c>
      <c r="E741" s="3017">
        <f t="shared" si="11"/>
        <v>37.39</v>
      </c>
    </row>
    <row r="742" spans="1:5" ht="19.95" customHeight="1">
      <c r="A742" s="3020"/>
      <c r="B742" s="3015" t="str">
        <f>[2]分摊!B744</f>
        <v>车位739</v>
      </c>
      <c r="C742" s="3017">
        <f>[2]分摊!C744</f>
        <v>12.72</v>
      </c>
      <c r="D742" s="3018">
        <f>[2]分摊!H744</f>
        <v>24.67</v>
      </c>
      <c r="E742" s="3017">
        <f t="shared" si="11"/>
        <v>37.39</v>
      </c>
    </row>
    <row r="743" spans="1:5" ht="19.95" customHeight="1">
      <c r="A743" s="3020"/>
      <c r="B743" s="3015" t="str">
        <f>[2]分摊!B745</f>
        <v>车位740</v>
      </c>
      <c r="C743" s="3017">
        <f>[2]分摊!C745</f>
        <v>12.72</v>
      </c>
      <c r="D743" s="3018">
        <f>[2]分摊!H745</f>
        <v>24.67</v>
      </c>
      <c r="E743" s="3017">
        <f t="shared" si="11"/>
        <v>37.39</v>
      </c>
    </row>
    <row r="744" spans="1:5" ht="19.95" customHeight="1">
      <c r="A744" s="3020"/>
      <c r="B744" s="3015" t="str">
        <f>[2]分摊!B746</f>
        <v>车位741</v>
      </c>
      <c r="C744" s="3017">
        <f>[2]分摊!C746</f>
        <v>12.72</v>
      </c>
      <c r="D744" s="3018">
        <f>[2]分摊!H746</f>
        <v>24.67</v>
      </c>
      <c r="E744" s="3017">
        <f t="shared" si="11"/>
        <v>37.39</v>
      </c>
    </row>
    <row r="745" spans="1:5" ht="19.95" customHeight="1">
      <c r="A745" s="3020"/>
      <c r="B745" s="3015" t="str">
        <f>[2]分摊!B747</f>
        <v>车位742</v>
      </c>
      <c r="C745" s="3017">
        <f>[2]分摊!C747</f>
        <v>12.72</v>
      </c>
      <c r="D745" s="3018">
        <f>[2]分摊!H747</f>
        <v>24.67</v>
      </c>
      <c r="E745" s="3017">
        <f t="shared" si="11"/>
        <v>37.39</v>
      </c>
    </row>
    <row r="746" spans="1:5" ht="19.95" customHeight="1">
      <c r="A746" s="3020"/>
      <c r="B746" s="3015" t="str">
        <f>[2]分摊!B748</f>
        <v>车位743</v>
      </c>
      <c r="C746" s="3017">
        <f>[2]分摊!C748</f>
        <v>12.72</v>
      </c>
      <c r="D746" s="3018">
        <f>[2]分摊!H748</f>
        <v>24.67</v>
      </c>
      <c r="E746" s="3017">
        <f t="shared" si="11"/>
        <v>37.39</v>
      </c>
    </row>
    <row r="747" spans="1:5" ht="19.95" customHeight="1">
      <c r="A747" s="3020"/>
      <c r="B747" s="3015" t="str">
        <f>[2]分摊!B749</f>
        <v>车位744</v>
      </c>
      <c r="C747" s="3017">
        <f>[2]分摊!C749</f>
        <v>12.72</v>
      </c>
      <c r="D747" s="3018">
        <f>[2]分摊!H749</f>
        <v>24.67</v>
      </c>
      <c r="E747" s="3017">
        <f t="shared" si="11"/>
        <v>37.39</v>
      </c>
    </row>
    <row r="748" spans="1:5" ht="19.95" customHeight="1">
      <c r="A748" s="3020"/>
      <c r="B748" s="3015" t="str">
        <f>[2]分摊!B750</f>
        <v>车位745</v>
      </c>
      <c r="C748" s="3017">
        <f>[2]分摊!C750</f>
        <v>12.72</v>
      </c>
      <c r="D748" s="3018">
        <f>[2]分摊!H750</f>
        <v>24.67</v>
      </c>
      <c r="E748" s="3017">
        <f t="shared" si="11"/>
        <v>37.39</v>
      </c>
    </row>
    <row r="749" spans="1:5" ht="19.95" customHeight="1">
      <c r="A749" s="3020"/>
      <c r="B749" s="3015" t="str">
        <f>[2]分摊!B751</f>
        <v>车位746</v>
      </c>
      <c r="C749" s="3017">
        <f>[2]分摊!C751</f>
        <v>12.72</v>
      </c>
      <c r="D749" s="3018">
        <f>[2]分摊!H751</f>
        <v>24.67</v>
      </c>
      <c r="E749" s="3017">
        <f t="shared" si="11"/>
        <v>37.39</v>
      </c>
    </row>
    <row r="750" spans="1:5" ht="19.95" customHeight="1">
      <c r="A750" s="3020"/>
      <c r="B750" s="3015" t="str">
        <f>[2]分摊!B752</f>
        <v>车位747</v>
      </c>
      <c r="C750" s="3017">
        <f>[2]分摊!C752</f>
        <v>12.72</v>
      </c>
      <c r="D750" s="3018">
        <f>[2]分摊!H752</f>
        <v>24.67</v>
      </c>
      <c r="E750" s="3017">
        <f t="shared" si="11"/>
        <v>37.39</v>
      </c>
    </row>
    <row r="751" spans="1:5" ht="19.95" customHeight="1">
      <c r="A751" s="3020"/>
      <c r="B751" s="3015" t="str">
        <f>[2]分摊!B753</f>
        <v>车位748</v>
      </c>
      <c r="C751" s="3017">
        <f>[2]分摊!C753</f>
        <v>12.72</v>
      </c>
      <c r="D751" s="3018">
        <f>[2]分摊!H753</f>
        <v>24.67</v>
      </c>
      <c r="E751" s="3017">
        <f t="shared" si="11"/>
        <v>37.39</v>
      </c>
    </row>
    <row r="752" spans="1:5" ht="19.95" customHeight="1">
      <c r="A752" s="3020"/>
      <c r="B752" s="3015" t="str">
        <f>[2]分摊!B754</f>
        <v>车位749</v>
      </c>
      <c r="C752" s="3017">
        <f>[2]分摊!C754</f>
        <v>12.72</v>
      </c>
      <c r="D752" s="3018">
        <f>[2]分摊!H754</f>
        <v>24.67</v>
      </c>
      <c r="E752" s="3017">
        <f t="shared" si="11"/>
        <v>37.39</v>
      </c>
    </row>
    <row r="753" spans="1:5" ht="19.95" customHeight="1">
      <c r="A753" s="3020"/>
      <c r="B753" s="3015" t="str">
        <f>[2]分摊!B755</f>
        <v>车位750</v>
      </c>
      <c r="C753" s="3017">
        <f>[2]分摊!C755</f>
        <v>12.72</v>
      </c>
      <c r="D753" s="3018">
        <f>[2]分摊!H755</f>
        <v>24.67</v>
      </c>
      <c r="E753" s="3017">
        <f t="shared" si="11"/>
        <v>37.39</v>
      </c>
    </row>
    <row r="754" spans="1:5" ht="19.95" customHeight="1">
      <c r="A754" s="3020"/>
      <c r="B754" s="3015" t="str">
        <f>[2]分摊!B756</f>
        <v>车位751</v>
      </c>
      <c r="C754" s="3017">
        <f>[2]分摊!C756</f>
        <v>12.72</v>
      </c>
      <c r="D754" s="3018">
        <f>[2]分摊!H756</f>
        <v>24.67</v>
      </c>
      <c r="E754" s="3017">
        <f t="shared" si="11"/>
        <v>37.39</v>
      </c>
    </row>
    <row r="755" spans="1:5" ht="19.95" customHeight="1">
      <c r="A755" s="3020"/>
      <c r="B755" s="3015" t="str">
        <f>[2]分摊!B757</f>
        <v>车位752</v>
      </c>
      <c r="C755" s="3017">
        <f>[2]分摊!C757</f>
        <v>12.72</v>
      </c>
      <c r="D755" s="3018">
        <f>[2]分摊!H757</f>
        <v>24.67</v>
      </c>
      <c r="E755" s="3017">
        <f t="shared" si="11"/>
        <v>37.39</v>
      </c>
    </row>
    <row r="756" spans="1:5" ht="19.95" customHeight="1">
      <c r="A756" s="3020"/>
      <c r="B756" s="3015" t="str">
        <f>[2]分摊!B758</f>
        <v>车位753</v>
      </c>
      <c r="C756" s="3017">
        <f>[2]分摊!C758</f>
        <v>12.72</v>
      </c>
      <c r="D756" s="3018">
        <f>[2]分摊!H758</f>
        <v>24.67</v>
      </c>
      <c r="E756" s="3017">
        <f t="shared" si="11"/>
        <v>37.39</v>
      </c>
    </row>
    <row r="757" spans="1:5" ht="19.95" customHeight="1">
      <c r="A757" s="3020"/>
      <c r="B757" s="3015" t="str">
        <f>[2]分摊!B759</f>
        <v>车位754</v>
      </c>
      <c r="C757" s="3017">
        <f>[2]分摊!C759</f>
        <v>12.72</v>
      </c>
      <c r="D757" s="3018">
        <f>[2]分摊!H759</f>
        <v>24.67</v>
      </c>
      <c r="E757" s="3017">
        <f t="shared" si="11"/>
        <v>37.39</v>
      </c>
    </row>
    <row r="758" spans="1:5" ht="19.95" customHeight="1">
      <c r="A758" s="3020"/>
      <c r="B758" s="3015" t="str">
        <f>[2]分摊!B760</f>
        <v>车位755</v>
      </c>
      <c r="C758" s="3017">
        <f>[2]分摊!C760</f>
        <v>12.72</v>
      </c>
      <c r="D758" s="3018">
        <f>[2]分摊!H760</f>
        <v>24.67</v>
      </c>
      <c r="E758" s="3017">
        <f t="shared" si="11"/>
        <v>37.39</v>
      </c>
    </row>
    <row r="759" spans="1:5" ht="19.95" customHeight="1">
      <c r="A759" s="3020"/>
      <c r="B759" s="3015" t="str">
        <f>[2]分摊!B761</f>
        <v>车位756</v>
      </c>
      <c r="C759" s="3017">
        <f>[2]分摊!C761</f>
        <v>12.72</v>
      </c>
      <c r="D759" s="3018">
        <f>[2]分摊!H761</f>
        <v>24.67</v>
      </c>
      <c r="E759" s="3017">
        <f t="shared" si="11"/>
        <v>37.39</v>
      </c>
    </row>
    <row r="760" spans="1:5" ht="19.95" customHeight="1">
      <c r="A760" s="3020"/>
      <c r="B760" s="3015" t="str">
        <f>[2]分摊!B762</f>
        <v>车位757</v>
      </c>
      <c r="C760" s="3017">
        <f>[2]分摊!C762</f>
        <v>12.72</v>
      </c>
      <c r="D760" s="3018">
        <f>[2]分摊!H762</f>
        <v>24.67</v>
      </c>
      <c r="E760" s="3017">
        <f t="shared" si="11"/>
        <v>37.39</v>
      </c>
    </row>
    <row r="761" spans="1:5" ht="19.95" customHeight="1">
      <c r="A761" s="3020"/>
      <c r="B761" s="3015" t="str">
        <f>[2]分摊!B763</f>
        <v>车位758</v>
      </c>
      <c r="C761" s="3017">
        <f>[2]分摊!C763</f>
        <v>12.72</v>
      </c>
      <c r="D761" s="3018">
        <f>[2]分摊!H763</f>
        <v>24.67</v>
      </c>
      <c r="E761" s="3017">
        <f t="shared" si="11"/>
        <v>37.39</v>
      </c>
    </row>
    <row r="762" spans="1:5" ht="19.95" customHeight="1">
      <c r="A762" s="3020"/>
      <c r="B762" s="3015" t="str">
        <f>[2]分摊!B764</f>
        <v>车位759</v>
      </c>
      <c r="C762" s="3017">
        <f>[2]分摊!C764</f>
        <v>12.72</v>
      </c>
      <c r="D762" s="3018">
        <f>[2]分摊!H764</f>
        <v>24.67</v>
      </c>
      <c r="E762" s="3017">
        <f t="shared" si="11"/>
        <v>37.39</v>
      </c>
    </row>
    <row r="763" spans="1:5" ht="19.95" customHeight="1">
      <c r="A763" s="3020"/>
      <c r="B763" s="3015" t="str">
        <f>[2]分摊!B765</f>
        <v>车位760</v>
      </c>
      <c r="C763" s="3017">
        <f>[2]分摊!C765</f>
        <v>12.72</v>
      </c>
      <c r="D763" s="3018">
        <f>[2]分摊!H765</f>
        <v>24.67</v>
      </c>
      <c r="E763" s="3017">
        <f t="shared" si="11"/>
        <v>37.39</v>
      </c>
    </row>
    <row r="764" spans="1:5" ht="19.95" customHeight="1">
      <c r="A764" s="3020"/>
      <c r="B764" s="3015" t="str">
        <f>[2]分摊!B766</f>
        <v>车位761</v>
      </c>
      <c r="C764" s="3017">
        <f>[2]分摊!C766</f>
        <v>12.72</v>
      </c>
      <c r="D764" s="3018">
        <f>[2]分摊!H766</f>
        <v>24.67</v>
      </c>
      <c r="E764" s="3017">
        <f t="shared" si="11"/>
        <v>37.39</v>
      </c>
    </row>
    <row r="765" spans="1:5" ht="19.95" customHeight="1">
      <c r="A765" s="3020"/>
      <c r="B765" s="3015" t="str">
        <f>[2]分摊!B767</f>
        <v>车位762</v>
      </c>
      <c r="C765" s="3017">
        <f>[2]分摊!C767</f>
        <v>12.72</v>
      </c>
      <c r="D765" s="3018">
        <f>[2]分摊!H767</f>
        <v>24.67</v>
      </c>
      <c r="E765" s="3017">
        <f t="shared" si="11"/>
        <v>37.39</v>
      </c>
    </row>
    <row r="766" spans="1:5" ht="19.95" customHeight="1">
      <c r="A766" s="3020"/>
      <c r="B766" s="3015" t="str">
        <f>[2]分摊!B768</f>
        <v>车位763</v>
      </c>
      <c r="C766" s="3017">
        <f>[2]分摊!C768</f>
        <v>12.72</v>
      </c>
      <c r="D766" s="3018">
        <f>[2]分摊!H768</f>
        <v>24.67</v>
      </c>
      <c r="E766" s="3017">
        <f t="shared" si="11"/>
        <v>37.39</v>
      </c>
    </row>
    <row r="767" spans="1:5" ht="19.95" customHeight="1">
      <c r="A767" s="3020"/>
      <c r="B767" s="3015" t="str">
        <f>[2]分摊!B769</f>
        <v>车位764</v>
      </c>
      <c r="C767" s="3017">
        <f>[2]分摊!C769</f>
        <v>12.72</v>
      </c>
      <c r="D767" s="3018">
        <f>[2]分摊!H769</f>
        <v>24.67</v>
      </c>
      <c r="E767" s="3017">
        <f t="shared" si="11"/>
        <v>37.39</v>
      </c>
    </row>
    <row r="768" spans="1:5" ht="19.95" customHeight="1">
      <c r="A768" s="3020"/>
      <c r="B768" s="3015" t="str">
        <f>[2]分摊!B770</f>
        <v>车位765</v>
      </c>
      <c r="C768" s="3017">
        <f>[2]分摊!C770</f>
        <v>12.72</v>
      </c>
      <c r="D768" s="3018">
        <f>[2]分摊!H770</f>
        <v>24.67</v>
      </c>
      <c r="E768" s="3017">
        <f t="shared" si="11"/>
        <v>37.39</v>
      </c>
    </row>
    <row r="769" spans="1:5" ht="19.95" customHeight="1">
      <c r="A769" s="3020"/>
      <c r="B769" s="3015" t="str">
        <f>[2]分摊!B771</f>
        <v>车位766</v>
      </c>
      <c r="C769" s="3017">
        <f>[2]分摊!C771</f>
        <v>12.72</v>
      </c>
      <c r="D769" s="3018">
        <f>[2]分摊!H771</f>
        <v>24.67</v>
      </c>
      <c r="E769" s="3017">
        <f t="shared" si="11"/>
        <v>37.39</v>
      </c>
    </row>
    <row r="770" spans="1:5" ht="19.95" customHeight="1">
      <c r="A770" s="3020"/>
      <c r="B770" s="3015" t="str">
        <f>[2]分摊!B772</f>
        <v>车位767</v>
      </c>
      <c r="C770" s="3017">
        <f>[2]分摊!C772</f>
        <v>12.72</v>
      </c>
      <c r="D770" s="3018">
        <f>[2]分摊!H772</f>
        <v>24.67</v>
      </c>
      <c r="E770" s="3017">
        <f t="shared" si="11"/>
        <v>37.39</v>
      </c>
    </row>
    <row r="771" spans="1:5" ht="19.95" customHeight="1">
      <c r="A771" s="3020"/>
      <c r="B771" s="3015" t="str">
        <f>[2]分摊!B773</f>
        <v>车位768</v>
      </c>
      <c r="C771" s="3017">
        <f>[2]分摊!C773</f>
        <v>12.72</v>
      </c>
      <c r="D771" s="3018">
        <f>[2]分摊!H773</f>
        <v>24.67</v>
      </c>
      <c r="E771" s="3017">
        <f t="shared" si="11"/>
        <v>37.39</v>
      </c>
    </row>
    <row r="772" spans="1:5" ht="19.95" customHeight="1">
      <c r="A772" s="3020"/>
      <c r="B772" s="3015" t="str">
        <f>[2]分摊!B774</f>
        <v>车位769</v>
      </c>
      <c r="C772" s="3017">
        <f>[2]分摊!C774</f>
        <v>12.72</v>
      </c>
      <c r="D772" s="3018">
        <f>[2]分摊!H774</f>
        <v>24.67</v>
      </c>
      <c r="E772" s="3017">
        <f t="shared" si="11"/>
        <v>37.39</v>
      </c>
    </row>
    <row r="773" spans="1:5" ht="19.95" customHeight="1">
      <c r="A773" s="3020"/>
      <c r="B773" s="3015" t="str">
        <f>[2]分摊!B775</f>
        <v>车位770</v>
      </c>
      <c r="C773" s="3017">
        <f>[2]分摊!C775</f>
        <v>12.72</v>
      </c>
      <c r="D773" s="3018">
        <f>[2]分摊!H775</f>
        <v>24.67</v>
      </c>
      <c r="E773" s="3017">
        <f t="shared" ref="E773:E836" si="12">SUM(C773:D773)</f>
        <v>37.39</v>
      </c>
    </row>
    <row r="774" spans="1:5" ht="19.95" customHeight="1">
      <c r="A774" s="3020"/>
      <c r="B774" s="3015" t="str">
        <f>[2]分摊!B776</f>
        <v>车位771</v>
      </c>
      <c r="C774" s="3017">
        <f>[2]分摊!C776</f>
        <v>12.72</v>
      </c>
      <c r="D774" s="3018">
        <f>[2]分摊!H776</f>
        <v>24.67</v>
      </c>
      <c r="E774" s="3017">
        <f t="shared" si="12"/>
        <v>37.39</v>
      </c>
    </row>
    <row r="775" spans="1:5" ht="19.95" customHeight="1">
      <c r="A775" s="3020"/>
      <c r="B775" s="3015" t="str">
        <f>[2]分摊!B777</f>
        <v>车位772</v>
      </c>
      <c r="C775" s="3017">
        <f>[2]分摊!C777</f>
        <v>12.72</v>
      </c>
      <c r="D775" s="3018">
        <f>[2]分摊!H777</f>
        <v>24.67</v>
      </c>
      <c r="E775" s="3017">
        <f t="shared" si="12"/>
        <v>37.39</v>
      </c>
    </row>
    <row r="776" spans="1:5" ht="19.95" customHeight="1">
      <c r="A776" s="3020"/>
      <c r="B776" s="3015" t="str">
        <f>[2]分摊!B778</f>
        <v>车位773</v>
      </c>
      <c r="C776" s="3017">
        <f>[2]分摊!C778</f>
        <v>12.72</v>
      </c>
      <c r="D776" s="3018">
        <f>[2]分摊!H778</f>
        <v>24.67</v>
      </c>
      <c r="E776" s="3017">
        <f t="shared" si="12"/>
        <v>37.39</v>
      </c>
    </row>
    <row r="777" spans="1:5" ht="19.95" customHeight="1">
      <c r="A777" s="3020"/>
      <c r="B777" s="3015" t="str">
        <f>[2]分摊!B779</f>
        <v>车位774</v>
      </c>
      <c r="C777" s="3017">
        <f>[2]分摊!C779</f>
        <v>12.72</v>
      </c>
      <c r="D777" s="3018">
        <f>[2]分摊!H779</f>
        <v>24.67</v>
      </c>
      <c r="E777" s="3017">
        <f t="shared" si="12"/>
        <v>37.39</v>
      </c>
    </row>
    <row r="778" spans="1:5" ht="19.95" customHeight="1">
      <c r="A778" s="3020"/>
      <c r="B778" s="3015" t="str">
        <f>[2]分摊!B780</f>
        <v>车位775</v>
      </c>
      <c r="C778" s="3017">
        <f>[2]分摊!C780</f>
        <v>12.72</v>
      </c>
      <c r="D778" s="3018">
        <f>[2]分摊!H780</f>
        <v>24.67</v>
      </c>
      <c r="E778" s="3017">
        <f t="shared" si="12"/>
        <v>37.39</v>
      </c>
    </row>
    <row r="779" spans="1:5" ht="19.95" customHeight="1">
      <c r="A779" s="3020"/>
      <c r="B779" s="3015" t="str">
        <f>[2]分摊!B781</f>
        <v>车位776</v>
      </c>
      <c r="C779" s="3017">
        <f>[2]分摊!C781</f>
        <v>12.72</v>
      </c>
      <c r="D779" s="3018">
        <f>[2]分摊!H781</f>
        <v>24.67</v>
      </c>
      <c r="E779" s="3017">
        <f t="shared" si="12"/>
        <v>37.39</v>
      </c>
    </row>
    <row r="780" spans="1:5" ht="19.95" customHeight="1">
      <c r="A780" s="3020"/>
      <c r="B780" s="3015" t="str">
        <f>[2]分摊!B782</f>
        <v>车位777</v>
      </c>
      <c r="C780" s="3017">
        <f>[2]分摊!C782</f>
        <v>12.72</v>
      </c>
      <c r="D780" s="3018">
        <f>[2]分摊!H782</f>
        <v>24.67</v>
      </c>
      <c r="E780" s="3017">
        <f t="shared" si="12"/>
        <v>37.39</v>
      </c>
    </row>
    <row r="781" spans="1:5" ht="19.95" customHeight="1">
      <c r="A781" s="3020"/>
      <c r="B781" s="3015" t="str">
        <f>[2]分摊!B783</f>
        <v>车位778</v>
      </c>
      <c r="C781" s="3017">
        <f>[2]分摊!C783</f>
        <v>12.72</v>
      </c>
      <c r="D781" s="3018">
        <f>[2]分摊!H783</f>
        <v>24.67</v>
      </c>
      <c r="E781" s="3017">
        <f t="shared" si="12"/>
        <v>37.39</v>
      </c>
    </row>
    <row r="782" spans="1:5" ht="19.95" customHeight="1">
      <c r="A782" s="3020"/>
      <c r="B782" s="3015" t="str">
        <f>[2]分摊!B784</f>
        <v>车位779</v>
      </c>
      <c r="C782" s="3017">
        <f>[2]分摊!C784</f>
        <v>12.72</v>
      </c>
      <c r="D782" s="3018">
        <f>[2]分摊!H784</f>
        <v>24.67</v>
      </c>
      <c r="E782" s="3017">
        <f t="shared" si="12"/>
        <v>37.39</v>
      </c>
    </row>
    <row r="783" spans="1:5" ht="19.95" customHeight="1">
      <c r="A783" s="3020"/>
      <c r="B783" s="3015" t="str">
        <f>[2]分摊!B785</f>
        <v>车位780</v>
      </c>
      <c r="C783" s="3017">
        <f>[2]分摊!C785</f>
        <v>12.72</v>
      </c>
      <c r="D783" s="3018">
        <f>[2]分摊!H785</f>
        <v>24.67</v>
      </c>
      <c r="E783" s="3017">
        <f t="shared" si="12"/>
        <v>37.39</v>
      </c>
    </row>
    <row r="784" spans="1:5" ht="19.95" customHeight="1">
      <c r="A784" s="3020"/>
      <c r="B784" s="3015" t="str">
        <f>[2]分摊!B786</f>
        <v>车位781</v>
      </c>
      <c r="C784" s="3017">
        <f>[2]分摊!C786</f>
        <v>12.72</v>
      </c>
      <c r="D784" s="3018">
        <f>[2]分摊!H786</f>
        <v>24.67</v>
      </c>
      <c r="E784" s="3017">
        <f t="shared" si="12"/>
        <v>37.39</v>
      </c>
    </row>
    <row r="785" spans="1:5" ht="19.95" customHeight="1">
      <c r="A785" s="3020"/>
      <c r="B785" s="3015" t="str">
        <f>[2]分摊!B787</f>
        <v>车位782</v>
      </c>
      <c r="C785" s="3017">
        <f>[2]分摊!C787</f>
        <v>12.72</v>
      </c>
      <c r="D785" s="3018">
        <f>[2]分摊!H787</f>
        <v>24.67</v>
      </c>
      <c r="E785" s="3017">
        <f t="shared" si="12"/>
        <v>37.39</v>
      </c>
    </row>
    <row r="786" spans="1:5" ht="19.95" customHeight="1">
      <c r="A786" s="3020"/>
      <c r="B786" s="3015" t="str">
        <f>[2]分摊!B788</f>
        <v>车位783</v>
      </c>
      <c r="C786" s="3017">
        <f>[2]分摊!C788</f>
        <v>12.72</v>
      </c>
      <c r="D786" s="3018">
        <f>[2]分摊!H788</f>
        <v>24.67</v>
      </c>
      <c r="E786" s="3017">
        <f t="shared" si="12"/>
        <v>37.39</v>
      </c>
    </row>
    <row r="787" spans="1:5" ht="19.95" customHeight="1">
      <c r="A787" s="3020"/>
      <c r="B787" s="3015" t="str">
        <f>[2]分摊!B789</f>
        <v>车位784</v>
      </c>
      <c r="C787" s="3017">
        <f>[2]分摊!C789</f>
        <v>12.72</v>
      </c>
      <c r="D787" s="3018">
        <f>[2]分摊!H789</f>
        <v>24.67</v>
      </c>
      <c r="E787" s="3017">
        <f t="shared" si="12"/>
        <v>37.39</v>
      </c>
    </row>
    <row r="788" spans="1:5" ht="19.95" customHeight="1">
      <c r="A788" s="3020"/>
      <c r="B788" s="3015" t="str">
        <f>[2]分摊!B790</f>
        <v>车位785</v>
      </c>
      <c r="C788" s="3017">
        <f>[2]分摊!C790</f>
        <v>12.72</v>
      </c>
      <c r="D788" s="3018">
        <f>[2]分摊!H790</f>
        <v>24.67</v>
      </c>
      <c r="E788" s="3017">
        <f t="shared" si="12"/>
        <v>37.39</v>
      </c>
    </row>
    <row r="789" spans="1:5" ht="19.95" customHeight="1">
      <c r="A789" s="3020"/>
      <c r="B789" s="3015" t="str">
        <f>[2]分摊!B791</f>
        <v>车位786</v>
      </c>
      <c r="C789" s="3017">
        <f>[2]分摊!C791</f>
        <v>12.72</v>
      </c>
      <c r="D789" s="3018">
        <f>[2]分摊!H791</f>
        <v>24.67</v>
      </c>
      <c r="E789" s="3017">
        <f t="shared" si="12"/>
        <v>37.39</v>
      </c>
    </row>
    <row r="790" spans="1:5" ht="19.95" customHeight="1">
      <c r="A790" s="3020"/>
      <c r="B790" s="3015" t="str">
        <f>[2]分摊!B792</f>
        <v>车位787</v>
      </c>
      <c r="C790" s="3017">
        <f>[2]分摊!C792</f>
        <v>12.72</v>
      </c>
      <c r="D790" s="3018">
        <f>[2]分摊!H792</f>
        <v>24.67</v>
      </c>
      <c r="E790" s="3017">
        <f t="shared" si="12"/>
        <v>37.39</v>
      </c>
    </row>
    <row r="791" spans="1:5" ht="19.95" customHeight="1">
      <c r="A791" s="3020"/>
      <c r="B791" s="3015" t="str">
        <f>[2]分摊!B793</f>
        <v>车位788</v>
      </c>
      <c r="C791" s="3017">
        <f>[2]分摊!C793</f>
        <v>12.72</v>
      </c>
      <c r="D791" s="3018">
        <f>[2]分摊!H793</f>
        <v>24.67</v>
      </c>
      <c r="E791" s="3017">
        <f t="shared" si="12"/>
        <v>37.39</v>
      </c>
    </row>
    <row r="792" spans="1:5" ht="19.95" customHeight="1">
      <c r="A792" s="3020"/>
      <c r="B792" s="3015" t="str">
        <f>[2]分摊!B794</f>
        <v>车位789</v>
      </c>
      <c r="C792" s="3017">
        <f>[2]分摊!C794</f>
        <v>12.72</v>
      </c>
      <c r="D792" s="3018">
        <f>[2]分摊!H794</f>
        <v>24.67</v>
      </c>
      <c r="E792" s="3017">
        <f t="shared" si="12"/>
        <v>37.39</v>
      </c>
    </row>
    <row r="793" spans="1:5" ht="19.95" customHeight="1">
      <c r="A793" s="3020"/>
      <c r="B793" s="3015" t="str">
        <f>[2]分摊!B795</f>
        <v>车位790</v>
      </c>
      <c r="C793" s="3017">
        <f>[2]分摊!C795</f>
        <v>12.72</v>
      </c>
      <c r="D793" s="3018">
        <f>[2]分摊!H795</f>
        <v>24.67</v>
      </c>
      <c r="E793" s="3017">
        <f t="shared" si="12"/>
        <v>37.39</v>
      </c>
    </row>
    <row r="794" spans="1:5" ht="19.95" customHeight="1">
      <c r="A794" s="3020"/>
      <c r="B794" s="3015" t="str">
        <f>[2]分摊!B796</f>
        <v>车位791</v>
      </c>
      <c r="C794" s="3017">
        <f>[2]分摊!C796</f>
        <v>12.72</v>
      </c>
      <c r="D794" s="3018">
        <f>[2]分摊!H796</f>
        <v>24.67</v>
      </c>
      <c r="E794" s="3017">
        <f t="shared" si="12"/>
        <v>37.39</v>
      </c>
    </row>
    <row r="795" spans="1:5" ht="19.95" customHeight="1">
      <c r="A795" s="3020"/>
      <c r="B795" s="3015" t="str">
        <f>[2]分摊!B797</f>
        <v>车位792</v>
      </c>
      <c r="C795" s="3017">
        <f>[2]分摊!C797</f>
        <v>12.72</v>
      </c>
      <c r="D795" s="3018">
        <f>[2]分摊!H797</f>
        <v>24.67</v>
      </c>
      <c r="E795" s="3017">
        <f t="shared" si="12"/>
        <v>37.39</v>
      </c>
    </row>
    <row r="796" spans="1:5" ht="19.95" customHeight="1">
      <c r="A796" s="3020"/>
      <c r="B796" s="3015" t="str">
        <f>[2]分摊!B798</f>
        <v>车位793</v>
      </c>
      <c r="C796" s="3017">
        <f>[2]分摊!C798</f>
        <v>12.72</v>
      </c>
      <c r="D796" s="3018">
        <f>[2]分摊!H798</f>
        <v>24.67</v>
      </c>
      <c r="E796" s="3017">
        <f t="shared" si="12"/>
        <v>37.39</v>
      </c>
    </row>
    <row r="797" spans="1:5" ht="19.95" customHeight="1">
      <c r="A797" s="3020"/>
      <c r="B797" s="3015" t="str">
        <f>[2]分摊!B799</f>
        <v>车位794</v>
      </c>
      <c r="C797" s="3017">
        <f>[2]分摊!C799</f>
        <v>12.72</v>
      </c>
      <c r="D797" s="3018">
        <f>[2]分摊!H799</f>
        <v>24.67</v>
      </c>
      <c r="E797" s="3017">
        <f t="shared" si="12"/>
        <v>37.39</v>
      </c>
    </row>
    <row r="798" spans="1:5" ht="19.95" customHeight="1">
      <c r="A798" s="3020"/>
      <c r="B798" s="3015" t="str">
        <f>[2]分摊!B800</f>
        <v>车位795</v>
      </c>
      <c r="C798" s="3017">
        <f>[2]分摊!C800</f>
        <v>12.72</v>
      </c>
      <c r="D798" s="3018">
        <f>[2]分摊!H800</f>
        <v>24.67</v>
      </c>
      <c r="E798" s="3017">
        <f t="shared" si="12"/>
        <v>37.39</v>
      </c>
    </row>
    <row r="799" spans="1:5" ht="19.95" customHeight="1">
      <c r="A799" s="3020"/>
      <c r="B799" s="3015" t="str">
        <f>[2]分摊!B801</f>
        <v>车位796</v>
      </c>
      <c r="C799" s="3017">
        <f>[2]分摊!C801</f>
        <v>12.72</v>
      </c>
      <c r="D799" s="3018">
        <f>[2]分摊!H801</f>
        <v>24.67</v>
      </c>
      <c r="E799" s="3017">
        <f t="shared" si="12"/>
        <v>37.39</v>
      </c>
    </row>
    <row r="800" spans="1:5" ht="19.95" customHeight="1">
      <c r="A800" s="3020"/>
      <c r="B800" s="3015" t="str">
        <f>[2]分摊!B802</f>
        <v>车位797</v>
      </c>
      <c r="C800" s="3017">
        <f>[2]分摊!C802</f>
        <v>12.72</v>
      </c>
      <c r="D800" s="3018">
        <f>[2]分摊!H802</f>
        <v>24.67</v>
      </c>
      <c r="E800" s="3017">
        <f t="shared" si="12"/>
        <v>37.39</v>
      </c>
    </row>
    <row r="801" spans="1:5" ht="19.95" customHeight="1">
      <c r="A801" s="3020"/>
      <c r="B801" s="3015" t="str">
        <f>[2]分摊!B803</f>
        <v>车位798</v>
      </c>
      <c r="C801" s="3017">
        <f>[2]分摊!C803</f>
        <v>12.72</v>
      </c>
      <c r="D801" s="3018">
        <f>[2]分摊!H803</f>
        <v>24.67</v>
      </c>
      <c r="E801" s="3017">
        <f t="shared" si="12"/>
        <v>37.39</v>
      </c>
    </row>
    <row r="802" spans="1:5" ht="19.95" customHeight="1">
      <c r="A802" s="3020"/>
      <c r="B802" s="3015" t="str">
        <f>[2]分摊!B804</f>
        <v>车位799</v>
      </c>
      <c r="C802" s="3017">
        <f>[2]分摊!C804</f>
        <v>12.72</v>
      </c>
      <c r="D802" s="3018">
        <f>[2]分摊!H804</f>
        <v>24.67</v>
      </c>
      <c r="E802" s="3017">
        <f t="shared" si="12"/>
        <v>37.39</v>
      </c>
    </row>
    <row r="803" spans="1:5" ht="19.95" customHeight="1">
      <c r="A803" s="3020"/>
      <c r="B803" s="3015" t="str">
        <f>[2]分摊!B805</f>
        <v>车位800</v>
      </c>
      <c r="C803" s="3017">
        <f>[2]分摊!C805</f>
        <v>12.72</v>
      </c>
      <c r="D803" s="3018">
        <f>[2]分摊!H805</f>
        <v>24.67</v>
      </c>
      <c r="E803" s="3017">
        <f t="shared" si="12"/>
        <v>37.39</v>
      </c>
    </row>
    <row r="804" spans="1:5" ht="19.95" customHeight="1">
      <c r="A804" s="3020"/>
      <c r="B804" s="3015" t="str">
        <f>[2]分摊!B806</f>
        <v>车位801</v>
      </c>
      <c r="C804" s="3017">
        <f>[2]分摊!C806</f>
        <v>12.72</v>
      </c>
      <c r="D804" s="3018">
        <f>[2]分摊!H806</f>
        <v>24.67</v>
      </c>
      <c r="E804" s="3017">
        <f t="shared" si="12"/>
        <v>37.39</v>
      </c>
    </row>
    <row r="805" spans="1:5" ht="19.95" customHeight="1">
      <c r="A805" s="3020"/>
      <c r="B805" s="3015" t="str">
        <f>[2]分摊!B807</f>
        <v>车位802</v>
      </c>
      <c r="C805" s="3017">
        <f>[2]分摊!C807</f>
        <v>12.72</v>
      </c>
      <c r="D805" s="3018">
        <f>[2]分摊!H807</f>
        <v>24.67</v>
      </c>
      <c r="E805" s="3017">
        <f t="shared" si="12"/>
        <v>37.39</v>
      </c>
    </row>
    <row r="806" spans="1:5" ht="19.95" customHeight="1">
      <c r="A806" s="3020"/>
      <c r="B806" s="3015" t="str">
        <f>[2]分摊!B808</f>
        <v>车位803</v>
      </c>
      <c r="C806" s="3017">
        <f>[2]分摊!C808</f>
        <v>12.72</v>
      </c>
      <c r="D806" s="3018">
        <f>[2]分摊!H808</f>
        <v>24.67</v>
      </c>
      <c r="E806" s="3017">
        <f t="shared" si="12"/>
        <v>37.39</v>
      </c>
    </row>
    <row r="807" spans="1:5" ht="19.95" customHeight="1">
      <c r="A807" s="3020"/>
      <c r="B807" s="3015" t="str">
        <f>[2]分摊!B809</f>
        <v>车位804</v>
      </c>
      <c r="C807" s="3017">
        <f>[2]分摊!C809</f>
        <v>12.72</v>
      </c>
      <c r="D807" s="3018">
        <f>[2]分摊!H809</f>
        <v>24.67</v>
      </c>
      <c r="E807" s="3017">
        <f t="shared" si="12"/>
        <v>37.39</v>
      </c>
    </row>
    <row r="808" spans="1:5" ht="19.95" customHeight="1">
      <c r="A808" s="3020"/>
      <c r="B808" s="3015" t="str">
        <f>[2]分摊!B810</f>
        <v>车位805</v>
      </c>
      <c r="C808" s="3017">
        <f>[2]分摊!C810</f>
        <v>12.72</v>
      </c>
      <c r="D808" s="3018">
        <f>[2]分摊!H810</f>
        <v>24.67</v>
      </c>
      <c r="E808" s="3017">
        <f t="shared" si="12"/>
        <v>37.39</v>
      </c>
    </row>
    <row r="809" spans="1:5" ht="19.95" customHeight="1">
      <c r="A809" s="3020"/>
      <c r="B809" s="3015" t="str">
        <f>[2]分摊!B811</f>
        <v>车位806</v>
      </c>
      <c r="C809" s="3017">
        <f>[2]分摊!C811</f>
        <v>12.72</v>
      </c>
      <c r="D809" s="3018">
        <f>[2]分摊!H811</f>
        <v>24.67</v>
      </c>
      <c r="E809" s="3017">
        <f t="shared" si="12"/>
        <v>37.39</v>
      </c>
    </row>
    <row r="810" spans="1:5" ht="19.95" customHeight="1">
      <c r="A810" s="3020"/>
      <c r="B810" s="3015" t="str">
        <f>[2]分摊!B812</f>
        <v>车位807</v>
      </c>
      <c r="C810" s="3017">
        <f>[2]分摊!C812</f>
        <v>12.72</v>
      </c>
      <c r="D810" s="3018">
        <f>[2]分摊!H812</f>
        <v>24.67</v>
      </c>
      <c r="E810" s="3017">
        <f t="shared" si="12"/>
        <v>37.39</v>
      </c>
    </row>
    <row r="811" spans="1:5" ht="19.95" customHeight="1">
      <c r="A811" s="3020"/>
      <c r="B811" s="3015" t="str">
        <f>[2]分摊!B813</f>
        <v>车位808</v>
      </c>
      <c r="C811" s="3017">
        <f>[2]分摊!C813</f>
        <v>12.72</v>
      </c>
      <c r="D811" s="3018">
        <f>[2]分摊!H813</f>
        <v>24.67</v>
      </c>
      <c r="E811" s="3017">
        <f t="shared" si="12"/>
        <v>37.39</v>
      </c>
    </row>
    <row r="812" spans="1:5" ht="19.95" customHeight="1">
      <c r="A812" s="3020"/>
      <c r="B812" s="3015" t="str">
        <f>[2]分摊!B814</f>
        <v>车位809</v>
      </c>
      <c r="C812" s="3017">
        <f>[2]分摊!C814</f>
        <v>12.72</v>
      </c>
      <c r="D812" s="3018">
        <f>[2]分摊!H814</f>
        <v>24.67</v>
      </c>
      <c r="E812" s="3017">
        <f t="shared" si="12"/>
        <v>37.39</v>
      </c>
    </row>
    <row r="813" spans="1:5" ht="19.95" customHeight="1">
      <c r="A813" s="3020"/>
      <c r="B813" s="3015" t="str">
        <f>[2]分摊!B815</f>
        <v>车位810</v>
      </c>
      <c r="C813" s="3017">
        <f>[2]分摊!C815</f>
        <v>12.72</v>
      </c>
      <c r="D813" s="3018">
        <f>[2]分摊!H815</f>
        <v>24.67</v>
      </c>
      <c r="E813" s="3017">
        <f t="shared" si="12"/>
        <v>37.39</v>
      </c>
    </row>
    <row r="814" spans="1:5" ht="19.95" customHeight="1">
      <c r="A814" s="3020"/>
      <c r="B814" s="3015" t="str">
        <f>[2]分摊!B816</f>
        <v>车位811</v>
      </c>
      <c r="C814" s="3017">
        <f>[2]分摊!C816</f>
        <v>12.72</v>
      </c>
      <c r="D814" s="3018">
        <f>[2]分摊!H816</f>
        <v>24.67</v>
      </c>
      <c r="E814" s="3017">
        <f t="shared" si="12"/>
        <v>37.39</v>
      </c>
    </row>
    <row r="815" spans="1:5" ht="19.95" customHeight="1">
      <c r="A815" s="3020"/>
      <c r="B815" s="3015" t="str">
        <f>[2]分摊!B817</f>
        <v>车位812</v>
      </c>
      <c r="C815" s="3017">
        <f>[2]分摊!C817</f>
        <v>12.72</v>
      </c>
      <c r="D815" s="3018">
        <f>[2]分摊!H817</f>
        <v>24.67</v>
      </c>
      <c r="E815" s="3017">
        <f t="shared" si="12"/>
        <v>37.39</v>
      </c>
    </row>
    <row r="816" spans="1:5" ht="19.95" customHeight="1">
      <c r="A816" s="3020"/>
      <c r="B816" s="3015" t="str">
        <f>[2]分摊!B818</f>
        <v>车位813</v>
      </c>
      <c r="C816" s="3017">
        <f>[2]分摊!C818</f>
        <v>12.72</v>
      </c>
      <c r="D816" s="3018">
        <f>[2]分摊!H818</f>
        <v>24.67</v>
      </c>
      <c r="E816" s="3017">
        <f t="shared" si="12"/>
        <v>37.39</v>
      </c>
    </row>
    <row r="817" spans="1:5" ht="19.95" customHeight="1">
      <c r="A817" s="3020"/>
      <c r="B817" s="3015" t="str">
        <f>[2]分摊!B819</f>
        <v>车位814</v>
      </c>
      <c r="C817" s="3017">
        <f>[2]分摊!C819</f>
        <v>12.72</v>
      </c>
      <c r="D817" s="3018">
        <f>[2]分摊!H819</f>
        <v>24.67</v>
      </c>
      <c r="E817" s="3017">
        <f t="shared" si="12"/>
        <v>37.39</v>
      </c>
    </row>
    <row r="818" spans="1:5" ht="19.95" customHeight="1">
      <c r="A818" s="3020"/>
      <c r="B818" s="3015" t="str">
        <f>[2]分摊!B820</f>
        <v>车位815</v>
      </c>
      <c r="C818" s="3017">
        <f>[2]分摊!C820</f>
        <v>12.72</v>
      </c>
      <c r="D818" s="3018">
        <f>[2]分摊!H820</f>
        <v>24.67</v>
      </c>
      <c r="E818" s="3017">
        <f t="shared" si="12"/>
        <v>37.39</v>
      </c>
    </row>
    <row r="819" spans="1:5" ht="19.95" customHeight="1">
      <c r="A819" s="3020"/>
      <c r="B819" s="3015" t="str">
        <f>[2]分摊!B821</f>
        <v>车位816</v>
      </c>
      <c r="C819" s="3017">
        <f>[2]分摊!C821</f>
        <v>12.72</v>
      </c>
      <c r="D819" s="3018">
        <f>[2]分摊!H821</f>
        <v>24.67</v>
      </c>
      <c r="E819" s="3017">
        <f t="shared" si="12"/>
        <v>37.39</v>
      </c>
    </row>
    <row r="820" spans="1:5" ht="19.95" customHeight="1">
      <c r="A820" s="3020"/>
      <c r="B820" s="3015" t="str">
        <f>[2]分摊!B822</f>
        <v>车位817</v>
      </c>
      <c r="C820" s="3017">
        <f>[2]分摊!C822</f>
        <v>12.72</v>
      </c>
      <c r="D820" s="3018">
        <f>[2]分摊!H822</f>
        <v>24.67</v>
      </c>
      <c r="E820" s="3017">
        <f t="shared" si="12"/>
        <v>37.39</v>
      </c>
    </row>
    <row r="821" spans="1:5" ht="19.95" customHeight="1">
      <c r="A821" s="3020"/>
      <c r="B821" s="3015" t="str">
        <f>[2]分摊!B823</f>
        <v>车位818</v>
      </c>
      <c r="C821" s="3017">
        <f>[2]分摊!C823</f>
        <v>12.72</v>
      </c>
      <c r="D821" s="3018">
        <f>[2]分摊!H823</f>
        <v>24.67</v>
      </c>
      <c r="E821" s="3017">
        <f t="shared" si="12"/>
        <v>37.39</v>
      </c>
    </row>
    <row r="822" spans="1:5" ht="19.95" customHeight="1">
      <c r="A822" s="3020"/>
      <c r="B822" s="3015" t="str">
        <f>[2]分摊!B824</f>
        <v>车位819</v>
      </c>
      <c r="C822" s="3017">
        <f>[2]分摊!C824</f>
        <v>12.72</v>
      </c>
      <c r="D822" s="3018">
        <f>[2]分摊!H824</f>
        <v>24.67</v>
      </c>
      <c r="E822" s="3017">
        <f t="shared" si="12"/>
        <v>37.39</v>
      </c>
    </row>
    <row r="823" spans="1:5" ht="19.95" customHeight="1">
      <c r="A823" s="3020"/>
      <c r="B823" s="3015" t="str">
        <f>[2]分摊!B825</f>
        <v>车位820</v>
      </c>
      <c r="C823" s="3017">
        <f>[2]分摊!C825</f>
        <v>12.72</v>
      </c>
      <c r="D823" s="3018">
        <f>[2]分摊!H825</f>
        <v>24.67</v>
      </c>
      <c r="E823" s="3017">
        <f t="shared" si="12"/>
        <v>37.39</v>
      </c>
    </row>
    <row r="824" spans="1:5" ht="19.95" customHeight="1">
      <c r="A824" s="3020"/>
      <c r="B824" s="3015" t="str">
        <f>[2]分摊!B826</f>
        <v>车位821</v>
      </c>
      <c r="C824" s="3017">
        <f>[2]分摊!C826</f>
        <v>12.72</v>
      </c>
      <c r="D824" s="3018">
        <f>[2]分摊!H826</f>
        <v>24.67</v>
      </c>
      <c r="E824" s="3017">
        <f t="shared" si="12"/>
        <v>37.39</v>
      </c>
    </row>
    <row r="825" spans="1:5" ht="19.95" customHeight="1">
      <c r="A825" s="3020"/>
      <c r="B825" s="3015" t="str">
        <f>[2]分摊!B827</f>
        <v>车位822</v>
      </c>
      <c r="C825" s="3017">
        <f>[2]分摊!C827</f>
        <v>12.72</v>
      </c>
      <c r="D825" s="3018">
        <f>[2]分摊!H827</f>
        <v>24.67</v>
      </c>
      <c r="E825" s="3017">
        <f t="shared" si="12"/>
        <v>37.39</v>
      </c>
    </row>
    <row r="826" spans="1:5" ht="19.95" customHeight="1">
      <c r="A826" s="3020"/>
      <c r="B826" s="3015" t="str">
        <f>[2]分摊!B828</f>
        <v>车位823</v>
      </c>
      <c r="C826" s="3017">
        <f>[2]分摊!C828</f>
        <v>12.72</v>
      </c>
      <c r="D826" s="3018">
        <f>[2]分摊!H828</f>
        <v>24.67</v>
      </c>
      <c r="E826" s="3017">
        <f t="shared" si="12"/>
        <v>37.39</v>
      </c>
    </row>
    <row r="827" spans="1:5" ht="19.95" customHeight="1">
      <c r="A827" s="3020"/>
      <c r="B827" s="3015" t="str">
        <f>[2]分摊!B829</f>
        <v>车位824</v>
      </c>
      <c r="C827" s="3017">
        <f>[2]分摊!C829</f>
        <v>12.72</v>
      </c>
      <c r="D827" s="3018">
        <f>[2]分摊!H829</f>
        <v>24.67</v>
      </c>
      <c r="E827" s="3017">
        <f t="shared" si="12"/>
        <v>37.39</v>
      </c>
    </row>
    <row r="828" spans="1:5" ht="19.95" customHeight="1">
      <c r="A828" s="3020"/>
      <c r="B828" s="3015" t="str">
        <f>[2]分摊!B830</f>
        <v>车位825</v>
      </c>
      <c r="C828" s="3017">
        <f>[2]分摊!C830</f>
        <v>12.72</v>
      </c>
      <c r="D828" s="3018">
        <f>[2]分摊!H830</f>
        <v>24.67</v>
      </c>
      <c r="E828" s="3017">
        <f t="shared" si="12"/>
        <v>37.39</v>
      </c>
    </row>
    <row r="829" spans="1:5" ht="19.95" customHeight="1">
      <c r="A829" s="3020"/>
      <c r="B829" s="3015" t="str">
        <f>[2]分摊!B831</f>
        <v>车位826</v>
      </c>
      <c r="C829" s="3017">
        <f>[2]分摊!C831</f>
        <v>12.72</v>
      </c>
      <c r="D829" s="3018">
        <f>[2]分摊!H831</f>
        <v>24.67</v>
      </c>
      <c r="E829" s="3017">
        <f t="shared" si="12"/>
        <v>37.39</v>
      </c>
    </row>
    <row r="830" spans="1:5" ht="19.95" customHeight="1">
      <c r="A830" s="3020"/>
      <c r="B830" s="3015" t="str">
        <f>[2]分摊!B832</f>
        <v>2A#01工具间</v>
      </c>
      <c r="C830" s="3017">
        <f>[2]分摊!C832</f>
        <v>114.94</v>
      </c>
      <c r="D830" s="3018">
        <f>[2]分摊!H832</f>
        <v>0.62</v>
      </c>
      <c r="E830" s="3017">
        <f t="shared" si="12"/>
        <v>115.56</v>
      </c>
    </row>
    <row r="831" spans="1:5" ht="19.95" customHeight="1">
      <c r="A831" s="3020"/>
      <c r="B831" s="3015" t="str">
        <f>[2]分摊!B833</f>
        <v>2A#02工具间</v>
      </c>
      <c r="C831" s="3017">
        <f>[2]分摊!C833</f>
        <v>79.56</v>
      </c>
      <c r="D831" s="3018">
        <f>[2]分摊!H833</f>
        <v>0.43</v>
      </c>
      <c r="E831" s="3017">
        <f t="shared" si="12"/>
        <v>79.990000000000009</v>
      </c>
    </row>
    <row r="832" spans="1:5" ht="19.95" customHeight="1">
      <c r="A832" s="3020"/>
      <c r="B832" s="3015" t="str">
        <f>[2]分摊!B834</f>
        <v>2A#03工具间</v>
      </c>
      <c r="C832" s="3017">
        <f>[2]分摊!C834</f>
        <v>79.56</v>
      </c>
      <c r="D832" s="3018">
        <f>[2]分摊!H834</f>
        <v>0.43</v>
      </c>
      <c r="E832" s="3017">
        <f t="shared" si="12"/>
        <v>79.990000000000009</v>
      </c>
    </row>
    <row r="833" spans="1:5" ht="19.95" customHeight="1">
      <c r="A833" s="3020"/>
      <c r="B833" s="3015" t="str">
        <f>[2]分摊!B835</f>
        <v>2A#05工具间</v>
      </c>
      <c r="C833" s="3017">
        <f>[2]分摊!C835</f>
        <v>79.56</v>
      </c>
      <c r="D833" s="3018">
        <f>[2]分摊!H835</f>
        <v>0.43</v>
      </c>
      <c r="E833" s="3017">
        <f t="shared" si="12"/>
        <v>79.990000000000009</v>
      </c>
    </row>
    <row r="834" spans="1:5" ht="19.95" customHeight="1">
      <c r="A834" s="3020"/>
      <c r="B834" s="3015" t="str">
        <f>[2]分摊!B836</f>
        <v>2A#06工具间</v>
      </c>
      <c r="C834" s="3017">
        <f>[2]分摊!C836</f>
        <v>79.56</v>
      </c>
      <c r="D834" s="3018">
        <f>[2]分摊!H836</f>
        <v>0.43</v>
      </c>
      <c r="E834" s="3017">
        <f t="shared" si="12"/>
        <v>79.990000000000009</v>
      </c>
    </row>
    <row r="835" spans="1:5" ht="19.95" customHeight="1">
      <c r="A835" s="3020"/>
      <c r="B835" s="3015" t="str">
        <f>[2]分摊!B837</f>
        <v>2A#07工具间</v>
      </c>
      <c r="C835" s="3017">
        <f>[2]分摊!C837</f>
        <v>79.56</v>
      </c>
      <c r="D835" s="3018">
        <f>[2]分摊!H837</f>
        <v>0.43</v>
      </c>
      <c r="E835" s="3017">
        <f t="shared" si="12"/>
        <v>79.990000000000009</v>
      </c>
    </row>
    <row r="836" spans="1:5" ht="19.95" customHeight="1">
      <c r="A836" s="3020"/>
      <c r="B836" s="3015" t="str">
        <f>[2]分摊!B838</f>
        <v>2A#08工具间</v>
      </c>
      <c r="C836" s="3017">
        <f>[2]分摊!C838</f>
        <v>115.37</v>
      </c>
      <c r="D836" s="3018">
        <f>[2]分摊!H838</f>
        <v>0.62</v>
      </c>
      <c r="E836" s="3017">
        <f t="shared" si="12"/>
        <v>115.99000000000001</v>
      </c>
    </row>
    <row r="837" spans="1:5" ht="19.95" customHeight="1">
      <c r="A837" s="3020"/>
      <c r="B837" s="3015" t="str">
        <f>[2]分摊!B839</f>
        <v>2B#01工具间</v>
      </c>
      <c r="C837" s="3017">
        <f>[2]分摊!C839</f>
        <v>114.94</v>
      </c>
      <c r="D837" s="3018">
        <f>[2]分摊!H839</f>
        <v>0.62</v>
      </c>
      <c r="E837" s="3017">
        <f t="shared" ref="E837:E900" si="13">SUM(C837:D837)</f>
        <v>115.56</v>
      </c>
    </row>
    <row r="838" spans="1:5" ht="19.95" customHeight="1">
      <c r="A838" s="3020"/>
      <c r="B838" s="3015" t="str">
        <f>[2]分摊!B840</f>
        <v>2B#02工具间</v>
      </c>
      <c r="C838" s="3017">
        <f>[2]分摊!C840</f>
        <v>79.56</v>
      </c>
      <c r="D838" s="3018">
        <f>[2]分摊!H840</f>
        <v>0.43</v>
      </c>
      <c r="E838" s="3017">
        <f t="shared" si="13"/>
        <v>79.990000000000009</v>
      </c>
    </row>
    <row r="839" spans="1:5" ht="19.95" customHeight="1">
      <c r="A839" s="3020"/>
      <c r="B839" s="3015" t="str">
        <f>[2]分摊!B841</f>
        <v>2B#03工具间</v>
      </c>
      <c r="C839" s="3017">
        <f>[2]分摊!C841</f>
        <v>79.56</v>
      </c>
      <c r="D839" s="3018">
        <f>[2]分摊!H841</f>
        <v>0.43</v>
      </c>
      <c r="E839" s="3017">
        <f t="shared" si="13"/>
        <v>79.990000000000009</v>
      </c>
    </row>
    <row r="840" spans="1:5" ht="19.95" customHeight="1">
      <c r="A840" s="3020"/>
      <c r="B840" s="3015" t="str">
        <f>[2]分摊!B842</f>
        <v>2B#05工具间</v>
      </c>
      <c r="C840" s="3017">
        <f>[2]分摊!C842</f>
        <v>79.56</v>
      </c>
      <c r="D840" s="3018">
        <f>[2]分摊!H842</f>
        <v>0.43</v>
      </c>
      <c r="E840" s="3017">
        <f t="shared" si="13"/>
        <v>79.990000000000009</v>
      </c>
    </row>
    <row r="841" spans="1:5" ht="19.95" customHeight="1">
      <c r="A841" s="3020"/>
      <c r="B841" s="3015" t="str">
        <f>[2]分摊!B843</f>
        <v>2B#06工具间</v>
      </c>
      <c r="C841" s="3017">
        <f>[2]分摊!C843</f>
        <v>79.56</v>
      </c>
      <c r="D841" s="3018">
        <f>[2]分摊!H843</f>
        <v>0.43</v>
      </c>
      <c r="E841" s="3017">
        <f t="shared" si="13"/>
        <v>79.990000000000009</v>
      </c>
    </row>
    <row r="842" spans="1:5" ht="19.95" customHeight="1">
      <c r="A842" s="3020"/>
      <c r="B842" s="3015" t="str">
        <f>[2]分摊!B844</f>
        <v>2B#07工具间</v>
      </c>
      <c r="C842" s="3017">
        <f>[2]分摊!C844</f>
        <v>79.56</v>
      </c>
      <c r="D842" s="3018">
        <f>[2]分摊!H844</f>
        <v>0.43</v>
      </c>
      <c r="E842" s="3017">
        <f t="shared" si="13"/>
        <v>79.990000000000009</v>
      </c>
    </row>
    <row r="843" spans="1:5" ht="19.95" customHeight="1">
      <c r="A843" s="3020"/>
      <c r="B843" s="3015" t="str">
        <f>[2]分摊!B845</f>
        <v>2B#08工具间</v>
      </c>
      <c r="C843" s="3017">
        <f>[2]分摊!C845</f>
        <v>114.94</v>
      </c>
      <c r="D843" s="3018">
        <f>[2]分摊!H845</f>
        <v>0.62</v>
      </c>
      <c r="E843" s="3017">
        <f t="shared" si="13"/>
        <v>115.56</v>
      </c>
    </row>
    <row r="844" spans="1:5" ht="19.95" customHeight="1">
      <c r="A844" s="3020"/>
      <c r="B844" s="3015" t="str">
        <f>[2]分摊!B846</f>
        <v>2C#01工具间</v>
      </c>
      <c r="C844" s="3017">
        <f>[2]分摊!C846</f>
        <v>115.37</v>
      </c>
      <c r="D844" s="3018">
        <f>[2]分摊!H846</f>
        <v>0.62</v>
      </c>
      <c r="E844" s="3017">
        <f t="shared" si="13"/>
        <v>115.99000000000001</v>
      </c>
    </row>
    <row r="845" spans="1:5" ht="19.95" customHeight="1">
      <c r="A845" s="3020"/>
      <c r="B845" s="3015" t="str">
        <f>[2]分摊!B847</f>
        <v>2C#02工具间</v>
      </c>
      <c r="C845" s="3017">
        <f>[2]分摊!C847</f>
        <v>79.56</v>
      </c>
      <c r="D845" s="3018">
        <f>[2]分摊!H847</f>
        <v>0.43</v>
      </c>
      <c r="E845" s="3017">
        <f t="shared" si="13"/>
        <v>79.990000000000009</v>
      </c>
    </row>
    <row r="846" spans="1:5" ht="19.95" customHeight="1">
      <c r="A846" s="3020"/>
      <c r="B846" s="3015" t="str">
        <f>[2]分摊!B848</f>
        <v>2C#03工具间</v>
      </c>
      <c r="C846" s="3017">
        <f>[2]分摊!C848</f>
        <v>79.56</v>
      </c>
      <c r="D846" s="3018">
        <f>[2]分摊!H848</f>
        <v>0.43</v>
      </c>
      <c r="E846" s="3017">
        <f t="shared" si="13"/>
        <v>79.990000000000009</v>
      </c>
    </row>
    <row r="847" spans="1:5" ht="19.95" customHeight="1">
      <c r="A847" s="3020"/>
      <c r="B847" s="3015" t="str">
        <f>[2]分摊!B849</f>
        <v>2C#05工具间</v>
      </c>
      <c r="C847" s="3017">
        <f>[2]分摊!C849</f>
        <v>79.56</v>
      </c>
      <c r="D847" s="3018">
        <f>[2]分摊!H849</f>
        <v>0.43</v>
      </c>
      <c r="E847" s="3017">
        <f t="shared" si="13"/>
        <v>79.990000000000009</v>
      </c>
    </row>
    <row r="848" spans="1:5" ht="19.95" customHeight="1">
      <c r="A848" s="3020"/>
      <c r="B848" s="3015" t="str">
        <f>[2]分摊!B850</f>
        <v>2C#06工具间</v>
      </c>
      <c r="C848" s="3017">
        <f>[2]分摊!C850</f>
        <v>114.94</v>
      </c>
      <c r="D848" s="3018">
        <f>[2]分摊!H850</f>
        <v>0.62</v>
      </c>
      <c r="E848" s="3017">
        <f t="shared" si="13"/>
        <v>115.56</v>
      </c>
    </row>
    <row r="849" spans="1:5" ht="19.95" customHeight="1">
      <c r="A849" s="3020"/>
      <c r="B849" s="3015" t="str">
        <f>[2]分摊!B851</f>
        <v>2D#01工具间</v>
      </c>
      <c r="C849" s="3017">
        <f>[2]分摊!C851</f>
        <v>118.92</v>
      </c>
      <c r="D849" s="3018">
        <f>[2]分摊!H851</f>
        <v>0.64</v>
      </c>
      <c r="E849" s="3017">
        <f t="shared" si="13"/>
        <v>119.56</v>
      </c>
    </row>
    <row r="850" spans="1:5" ht="19.95" customHeight="1">
      <c r="A850" s="3020"/>
      <c r="B850" s="3015" t="str">
        <f>[2]分摊!B852</f>
        <v>2D#02工具间</v>
      </c>
      <c r="C850" s="3017">
        <f>[2]分摊!C852</f>
        <v>79.56</v>
      </c>
      <c r="D850" s="3018">
        <f>[2]分摊!H852</f>
        <v>0.43</v>
      </c>
      <c r="E850" s="3017">
        <f t="shared" si="13"/>
        <v>79.990000000000009</v>
      </c>
    </row>
    <row r="851" spans="1:5" ht="19.95" customHeight="1">
      <c r="A851" s="3020"/>
      <c r="B851" s="3015" t="str">
        <f>[2]分摊!B853</f>
        <v>2D#03工具间</v>
      </c>
      <c r="C851" s="3017">
        <f>[2]分摊!C853</f>
        <v>79.56</v>
      </c>
      <c r="D851" s="3018">
        <f>[2]分摊!H853</f>
        <v>0.43</v>
      </c>
      <c r="E851" s="3017">
        <f t="shared" si="13"/>
        <v>79.990000000000009</v>
      </c>
    </row>
    <row r="852" spans="1:5" ht="19.95" customHeight="1">
      <c r="A852" s="3020"/>
      <c r="B852" s="3015" t="str">
        <f>[2]分摊!B854</f>
        <v>2D#05工具间</v>
      </c>
      <c r="C852" s="3017">
        <f>[2]分摊!C854</f>
        <v>79.56</v>
      </c>
      <c r="D852" s="3018">
        <f>[2]分摊!H854</f>
        <v>0.43</v>
      </c>
      <c r="E852" s="3017">
        <f t="shared" si="13"/>
        <v>79.990000000000009</v>
      </c>
    </row>
    <row r="853" spans="1:5" ht="19.95" customHeight="1">
      <c r="A853" s="3020"/>
      <c r="B853" s="3015" t="str">
        <f>[2]分摊!B855</f>
        <v>2D#06工具间</v>
      </c>
      <c r="C853" s="3017">
        <f>[2]分摊!C855</f>
        <v>118.44</v>
      </c>
      <c r="D853" s="3018">
        <f>[2]分摊!H855</f>
        <v>0.63</v>
      </c>
      <c r="E853" s="3017">
        <f t="shared" si="13"/>
        <v>119.07</v>
      </c>
    </row>
    <row r="854" spans="1:5" ht="19.95" customHeight="1">
      <c r="A854" s="3020"/>
      <c r="B854" s="3015" t="str">
        <f>[2]分摊!B856</f>
        <v>2E#01工具间</v>
      </c>
      <c r="C854" s="3017">
        <f>[2]分摊!C856</f>
        <v>118.44</v>
      </c>
      <c r="D854" s="3018">
        <f>[2]分摊!H856</f>
        <v>0.63</v>
      </c>
      <c r="E854" s="3017">
        <f t="shared" si="13"/>
        <v>119.07</v>
      </c>
    </row>
    <row r="855" spans="1:5" ht="19.95" customHeight="1">
      <c r="A855" s="3020"/>
      <c r="B855" s="3015" t="str">
        <f>[2]分摊!B857</f>
        <v>2E#02工具间</v>
      </c>
      <c r="C855" s="3017">
        <f>[2]分摊!C857</f>
        <v>79.56</v>
      </c>
      <c r="D855" s="3018">
        <f>[2]分摊!H857</f>
        <v>0.43</v>
      </c>
      <c r="E855" s="3017">
        <f t="shared" si="13"/>
        <v>79.990000000000009</v>
      </c>
    </row>
    <row r="856" spans="1:5" ht="19.95" customHeight="1">
      <c r="A856" s="3020"/>
      <c r="B856" s="3015" t="str">
        <f>[2]分摊!B858</f>
        <v>2E#03工具间</v>
      </c>
      <c r="C856" s="3017">
        <f>[2]分摊!C858</f>
        <v>79.56</v>
      </c>
      <c r="D856" s="3018">
        <f>[2]分摊!H858</f>
        <v>0.43</v>
      </c>
      <c r="E856" s="3017">
        <f t="shared" si="13"/>
        <v>79.990000000000009</v>
      </c>
    </row>
    <row r="857" spans="1:5" ht="19.95" customHeight="1">
      <c r="A857" s="3020"/>
      <c r="B857" s="3015" t="str">
        <f>[2]分摊!B859</f>
        <v>2E#05工具间</v>
      </c>
      <c r="C857" s="3017">
        <f>[2]分摊!C859</f>
        <v>79.56</v>
      </c>
      <c r="D857" s="3018">
        <f>[2]分摊!H859</f>
        <v>0.43</v>
      </c>
      <c r="E857" s="3017">
        <f t="shared" si="13"/>
        <v>79.990000000000009</v>
      </c>
    </row>
    <row r="858" spans="1:5" ht="19.95" customHeight="1">
      <c r="A858" s="3020"/>
      <c r="B858" s="3015" t="str">
        <f>[2]分摊!B860</f>
        <v>2E#06工具间</v>
      </c>
      <c r="C858" s="3017">
        <f>[2]分摊!C860</f>
        <v>118.44</v>
      </c>
      <c r="D858" s="3018">
        <f>[2]分摊!H860</f>
        <v>0.63</v>
      </c>
      <c r="E858" s="3017">
        <f t="shared" si="13"/>
        <v>119.07</v>
      </c>
    </row>
    <row r="859" spans="1:5" ht="19.95" customHeight="1">
      <c r="A859" s="3020"/>
      <c r="B859" s="3015" t="str">
        <f>[2]分摊!B861</f>
        <v>2F#01工具间</v>
      </c>
      <c r="C859" s="3017">
        <f>[2]分摊!C861</f>
        <v>114.6</v>
      </c>
      <c r="D859" s="3018">
        <f>[2]分摊!H861</f>
        <v>0.61</v>
      </c>
      <c r="E859" s="3017">
        <f t="shared" si="13"/>
        <v>115.21</v>
      </c>
    </row>
    <row r="860" spans="1:5" ht="19.95" customHeight="1">
      <c r="A860" s="3020"/>
      <c r="B860" s="3015" t="str">
        <f>[2]分摊!B862</f>
        <v>2F#02工具间</v>
      </c>
      <c r="C860" s="3017">
        <f>[2]分摊!C862</f>
        <v>79.56</v>
      </c>
      <c r="D860" s="3018">
        <f>[2]分摊!H862</f>
        <v>0.43</v>
      </c>
      <c r="E860" s="3017">
        <f t="shared" si="13"/>
        <v>79.990000000000009</v>
      </c>
    </row>
    <row r="861" spans="1:5" ht="19.95" customHeight="1">
      <c r="A861" s="3020"/>
      <c r="B861" s="3015" t="str">
        <f>[2]分摊!B863</f>
        <v>2F#03工具间</v>
      </c>
      <c r="C861" s="3017">
        <f>[2]分摊!C863</f>
        <v>79.56</v>
      </c>
      <c r="D861" s="3018">
        <f>[2]分摊!H863</f>
        <v>0.43</v>
      </c>
      <c r="E861" s="3017">
        <f t="shared" si="13"/>
        <v>79.990000000000009</v>
      </c>
    </row>
    <row r="862" spans="1:5" ht="19.95" customHeight="1">
      <c r="A862" s="3020"/>
      <c r="B862" s="3015" t="str">
        <f>[2]分摊!B864</f>
        <v>2F#05工具间</v>
      </c>
      <c r="C862" s="3017">
        <f>[2]分摊!C864</f>
        <v>79.56</v>
      </c>
      <c r="D862" s="3018">
        <f>[2]分摊!H864</f>
        <v>0.43</v>
      </c>
      <c r="E862" s="3017">
        <f t="shared" si="13"/>
        <v>79.990000000000009</v>
      </c>
    </row>
    <row r="863" spans="1:5" ht="19.95" customHeight="1">
      <c r="A863" s="3020"/>
      <c r="B863" s="3015" t="str">
        <f>[2]分摊!B865</f>
        <v>2F#06工具间</v>
      </c>
      <c r="C863" s="3017">
        <f>[2]分摊!C865</f>
        <v>118.44</v>
      </c>
      <c r="D863" s="3018">
        <f>[2]分摊!H865</f>
        <v>0.63</v>
      </c>
      <c r="E863" s="3017">
        <f t="shared" si="13"/>
        <v>119.07</v>
      </c>
    </row>
    <row r="864" spans="1:5" ht="19.95" customHeight="1">
      <c r="A864" s="3020"/>
      <c r="B864" s="3015" t="str">
        <f>[2]分摊!B866</f>
        <v>2G#01工具间</v>
      </c>
      <c r="C864" s="3017">
        <f>[2]分摊!C866</f>
        <v>118.44</v>
      </c>
      <c r="D864" s="3018">
        <f>[2]分摊!H866</f>
        <v>0.63</v>
      </c>
      <c r="E864" s="3017">
        <f t="shared" si="13"/>
        <v>119.07</v>
      </c>
    </row>
    <row r="865" spans="1:5" ht="19.95" customHeight="1">
      <c r="A865" s="3020"/>
      <c r="B865" s="3015" t="str">
        <f>[2]分摊!B867</f>
        <v>2G#02工具间</v>
      </c>
      <c r="C865" s="3017">
        <f>[2]分摊!C867</f>
        <v>79.56</v>
      </c>
      <c r="D865" s="3018">
        <f>[2]分摊!H867</f>
        <v>0.43</v>
      </c>
      <c r="E865" s="3017">
        <f t="shared" si="13"/>
        <v>79.990000000000009</v>
      </c>
    </row>
    <row r="866" spans="1:5" ht="19.95" customHeight="1">
      <c r="A866" s="3020"/>
      <c r="B866" s="3015" t="str">
        <f>[2]分摊!B868</f>
        <v>2G#03工具间</v>
      </c>
      <c r="C866" s="3017">
        <f>[2]分摊!C868</f>
        <v>79.56</v>
      </c>
      <c r="D866" s="3018">
        <f>[2]分摊!H868</f>
        <v>0.43</v>
      </c>
      <c r="E866" s="3017">
        <f t="shared" si="13"/>
        <v>79.990000000000009</v>
      </c>
    </row>
    <row r="867" spans="1:5" ht="19.95" customHeight="1">
      <c r="A867" s="3020"/>
      <c r="B867" s="3015" t="str">
        <f>[2]分摊!B869</f>
        <v>2G#05工具间</v>
      </c>
      <c r="C867" s="3017">
        <f>[2]分摊!C869</f>
        <v>79.56</v>
      </c>
      <c r="D867" s="3018">
        <f>[2]分摊!H869</f>
        <v>0.43</v>
      </c>
      <c r="E867" s="3017">
        <f t="shared" si="13"/>
        <v>79.990000000000009</v>
      </c>
    </row>
    <row r="868" spans="1:5" ht="19.95" customHeight="1">
      <c r="A868" s="3020"/>
      <c r="B868" s="3015" t="str">
        <f>[2]分摊!B870</f>
        <v>2G#06工具间</v>
      </c>
      <c r="C868" s="3017">
        <f>[2]分摊!C870</f>
        <v>118.44</v>
      </c>
      <c r="D868" s="3018">
        <f>[2]分摊!H870</f>
        <v>0.63</v>
      </c>
      <c r="E868" s="3017">
        <f t="shared" si="13"/>
        <v>119.07</v>
      </c>
    </row>
    <row r="869" spans="1:5" ht="19.95" customHeight="1">
      <c r="A869" s="3020"/>
      <c r="B869" s="3015" t="str">
        <f>[2]分摊!B871</f>
        <v>2H#01工具间</v>
      </c>
      <c r="C869" s="3017">
        <f>[2]分摊!C871</f>
        <v>118.44</v>
      </c>
      <c r="D869" s="3018">
        <f>[2]分摊!H871</f>
        <v>0.63</v>
      </c>
      <c r="E869" s="3017">
        <f t="shared" si="13"/>
        <v>119.07</v>
      </c>
    </row>
    <row r="870" spans="1:5" ht="19.95" customHeight="1">
      <c r="A870" s="3020"/>
      <c r="B870" s="3015" t="str">
        <f>[2]分摊!B872</f>
        <v>2H#02工具间</v>
      </c>
      <c r="C870" s="3017">
        <f>[2]分摊!C872</f>
        <v>79.56</v>
      </c>
      <c r="D870" s="3018">
        <f>[2]分摊!H872</f>
        <v>0.43</v>
      </c>
      <c r="E870" s="3017">
        <f t="shared" si="13"/>
        <v>79.990000000000009</v>
      </c>
    </row>
    <row r="871" spans="1:5" ht="19.95" customHeight="1">
      <c r="A871" s="3020"/>
      <c r="B871" s="3015" t="str">
        <f>[2]分摊!B873</f>
        <v>2H#03工具间</v>
      </c>
      <c r="C871" s="3017">
        <f>[2]分摊!C873</f>
        <v>79.56</v>
      </c>
      <c r="D871" s="3018">
        <f>[2]分摊!H873</f>
        <v>0.43</v>
      </c>
      <c r="E871" s="3017">
        <f t="shared" si="13"/>
        <v>79.990000000000009</v>
      </c>
    </row>
    <row r="872" spans="1:5" ht="19.95" customHeight="1">
      <c r="A872" s="3020"/>
      <c r="B872" s="3015" t="str">
        <f>[2]分摊!B874</f>
        <v>2H#05工具间</v>
      </c>
      <c r="C872" s="3017">
        <f>[2]分摊!C874</f>
        <v>118.92</v>
      </c>
      <c r="D872" s="3018">
        <f>[2]分摊!H874</f>
        <v>0.64</v>
      </c>
      <c r="E872" s="3017">
        <f t="shared" si="13"/>
        <v>119.56</v>
      </c>
    </row>
    <row r="873" spans="1:5" ht="19.95" customHeight="1">
      <c r="A873" s="3020"/>
      <c r="B873" s="3015" t="str">
        <f>[2]分摊!B875</f>
        <v>3#01工具间</v>
      </c>
      <c r="C873" s="3017">
        <f>[2]分摊!C875</f>
        <v>129.52000000000001</v>
      </c>
      <c r="D873" s="3018">
        <f>[2]分摊!H875</f>
        <v>0.69</v>
      </c>
      <c r="E873" s="3017">
        <f t="shared" si="13"/>
        <v>130.21</v>
      </c>
    </row>
    <row r="874" spans="1:5" ht="19.95" customHeight="1">
      <c r="A874" s="3020"/>
      <c r="B874" s="3015" t="str">
        <f>[2]分摊!B876</f>
        <v>3#02工具间</v>
      </c>
      <c r="C874" s="3017">
        <f>[2]分摊!C876</f>
        <v>129.52000000000001</v>
      </c>
      <c r="D874" s="3018">
        <f>[2]分摊!H876</f>
        <v>0.69</v>
      </c>
      <c r="E874" s="3017">
        <f t="shared" si="13"/>
        <v>130.21</v>
      </c>
    </row>
    <row r="875" spans="1:5" ht="19.95" customHeight="1">
      <c r="A875" s="3020"/>
      <c r="B875" s="3015" t="str">
        <f>[2]分摊!B877</f>
        <v>5#01工具间</v>
      </c>
      <c r="C875" s="3017">
        <f>[2]分摊!C877</f>
        <v>129.52000000000001</v>
      </c>
      <c r="D875" s="3018">
        <f>[2]分摊!H877</f>
        <v>0.69</v>
      </c>
      <c r="E875" s="3017">
        <f t="shared" si="13"/>
        <v>130.21</v>
      </c>
    </row>
    <row r="876" spans="1:5" ht="19.95" customHeight="1">
      <c r="A876" s="3020"/>
      <c r="B876" s="3015" t="str">
        <f>[2]分摊!B878</f>
        <v>5#02工具间</v>
      </c>
      <c r="C876" s="3017">
        <f>[2]分摊!C878</f>
        <v>129.52000000000001</v>
      </c>
      <c r="D876" s="3018">
        <f>[2]分摊!H878</f>
        <v>0.69</v>
      </c>
      <c r="E876" s="3017">
        <f t="shared" si="13"/>
        <v>130.21</v>
      </c>
    </row>
    <row r="877" spans="1:5" ht="19.95" customHeight="1">
      <c r="A877" s="3020"/>
      <c r="B877" s="3015" t="str">
        <f>[2]分摊!B879</f>
        <v>6#01工具间</v>
      </c>
      <c r="C877" s="3017">
        <f>[2]分摊!C879</f>
        <v>129.52000000000001</v>
      </c>
      <c r="D877" s="3018">
        <f>[2]分摊!H879</f>
        <v>0.69</v>
      </c>
      <c r="E877" s="3017">
        <f t="shared" si="13"/>
        <v>130.21</v>
      </c>
    </row>
    <row r="878" spans="1:5" ht="19.95" customHeight="1">
      <c r="A878" s="3020"/>
      <c r="B878" s="3015" t="str">
        <f>[2]分摊!B880</f>
        <v>6#02工具间</v>
      </c>
      <c r="C878" s="3017">
        <f>[2]分摊!C880</f>
        <v>129.52000000000001</v>
      </c>
      <c r="D878" s="3018">
        <f>[2]分摊!H880</f>
        <v>0.69</v>
      </c>
      <c r="E878" s="3017">
        <f t="shared" si="13"/>
        <v>130.21</v>
      </c>
    </row>
    <row r="879" spans="1:5" ht="19.95" customHeight="1">
      <c r="A879" s="3020"/>
      <c r="B879" s="3015" t="str">
        <f>[2]分摊!B881</f>
        <v>7#01工具间</v>
      </c>
      <c r="C879" s="3017">
        <f>[2]分摊!C881</f>
        <v>129.52000000000001</v>
      </c>
      <c r="D879" s="3018">
        <f>[2]分摊!H881</f>
        <v>0.69</v>
      </c>
      <c r="E879" s="3017">
        <f t="shared" si="13"/>
        <v>130.21</v>
      </c>
    </row>
    <row r="880" spans="1:5" ht="19.95" customHeight="1">
      <c r="A880" s="3020"/>
      <c r="B880" s="3015" t="str">
        <f>[2]分摊!B882</f>
        <v>7#02工具间</v>
      </c>
      <c r="C880" s="3017">
        <f>[2]分摊!C882</f>
        <v>129.52000000000001</v>
      </c>
      <c r="D880" s="3018">
        <f>[2]分摊!H882</f>
        <v>0.69</v>
      </c>
      <c r="E880" s="3017">
        <f t="shared" si="13"/>
        <v>130.21</v>
      </c>
    </row>
    <row r="881" spans="1:5" ht="19.95" customHeight="1">
      <c r="A881" s="3020"/>
      <c r="B881" s="3015" t="str">
        <f>[2]分摊!B883</f>
        <v>8#01工具间</v>
      </c>
      <c r="C881" s="3017">
        <f>[2]分摊!C883</f>
        <v>129.52000000000001</v>
      </c>
      <c r="D881" s="3018">
        <f>[2]分摊!H883</f>
        <v>0.69</v>
      </c>
      <c r="E881" s="3017">
        <f t="shared" si="13"/>
        <v>130.21</v>
      </c>
    </row>
    <row r="882" spans="1:5" ht="19.95" customHeight="1">
      <c r="A882" s="3020"/>
      <c r="B882" s="3015" t="str">
        <f>[2]分摊!B884</f>
        <v>8#02工具间</v>
      </c>
      <c r="C882" s="3017">
        <f>[2]分摊!C884</f>
        <v>127.76</v>
      </c>
      <c r="D882" s="3018">
        <f>[2]分摊!H884</f>
        <v>0.68</v>
      </c>
      <c r="E882" s="3017">
        <f t="shared" si="13"/>
        <v>128.44</v>
      </c>
    </row>
    <row r="883" spans="1:5" ht="19.95" customHeight="1">
      <c r="A883" s="3020"/>
      <c r="B883" s="3015" t="str">
        <f>[2]分摊!B885</f>
        <v>9#01工具间</v>
      </c>
      <c r="C883" s="3017">
        <f>[2]分摊!C885</f>
        <v>129.52000000000001</v>
      </c>
      <c r="D883" s="3018">
        <f>[2]分摊!H885</f>
        <v>0.69</v>
      </c>
      <c r="E883" s="3017">
        <f t="shared" si="13"/>
        <v>130.21</v>
      </c>
    </row>
    <row r="884" spans="1:5" ht="19.95" customHeight="1">
      <c r="A884" s="3020"/>
      <c r="B884" s="3015" t="str">
        <f>[2]分摊!B886</f>
        <v>9#02工具间</v>
      </c>
      <c r="C884" s="3017">
        <f>[2]分摊!C886</f>
        <v>129.52000000000001</v>
      </c>
      <c r="D884" s="3018">
        <f>[2]分摊!H886</f>
        <v>0.69</v>
      </c>
      <c r="E884" s="3017">
        <f t="shared" si="13"/>
        <v>130.21</v>
      </c>
    </row>
    <row r="885" spans="1:5" ht="19.95" customHeight="1">
      <c r="A885" s="3020"/>
      <c r="B885" s="3015" t="str">
        <f>[2]分摊!B887</f>
        <v>10#01工具间</v>
      </c>
      <c r="C885" s="3017">
        <f>[2]分摊!C887</f>
        <v>129.52000000000001</v>
      </c>
      <c r="D885" s="3018">
        <f>[2]分摊!H887</f>
        <v>0.69</v>
      </c>
      <c r="E885" s="3017">
        <f t="shared" si="13"/>
        <v>130.21</v>
      </c>
    </row>
    <row r="886" spans="1:5" ht="19.95" customHeight="1">
      <c r="A886" s="3020"/>
      <c r="B886" s="3015" t="str">
        <f>[2]分摊!B888</f>
        <v>10#02工具间</v>
      </c>
      <c r="C886" s="3017">
        <f>[2]分摊!C888</f>
        <v>129.52000000000001</v>
      </c>
      <c r="D886" s="3018">
        <f>[2]分摊!H888</f>
        <v>0.69</v>
      </c>
      <c r="E886" s="3017">
        <f t="shared" si="13"/>
        <v>130.21</v>
      </c>
    </row>
    <row r="887" spans="1:5" ht="19.95" customHeight="1">
      <c r="A887" s="3020"/>
      <c r="B887" s="3015" t="str">
        <f>[2]分摊!B889</f>
        <v>11#01工具间</v>
      </c>
      <c r="C887" s="3017">
        <f>[2]分摊!C889</f>
        <v>131.74</v>
      </c>
      <c r="D887" s="3018">
        <f>[2]分摊!H889</f>
        <v>0.71</v>
      </c>
      <c r="E887" s="3017">
        <f t="shared" si="13"/>
        <v>132.45000000000002</v>
      </c>
    </row>
    <row r="888" spans="1:5" ht="19.95" customHeight="1">
      <c r="A888" s="3020"/>
      <c r="B888" s="3015" t="str">
        <f>[2]分摊!B890</f>
        <v>11#02工具间</v>
      </c>
      <c r="C888" s="3017">
        <f>[2]分摊!C890</f>
        <v>131.74</v>
      </c>
      <c r="D888" s="3018">
        <f>[2]分摊!H890</f>
        <v>0.71</v>
      </c>
      <c r="E888" s="3017">
        <f t="shared" si="13"/>
        <v>132.45000000000002</v>
      </c>
    </row>
    <row r="889" spans="1:5" ht="19.95" customHeight="1">
      <c r="A889" s="3020"/>
      <c r="B889" s="3015" t="str">
        <f>[2]分摊!B891</f>
        <v>12#01工具间</v>
      </c>
      <c r="C889" s="3017">
        <f>[2]分摊!C891</f>
        <v>131.74</v>
      </c>
      <c r="D889" s="3018">
        <f>[2]分摊!H891</f>
        <v>0.71</v>
      </c>
      <c r="E889" s="3017">
        <f t="shared" si="13"/>
        <v>132.45000000000002</v>
      </c>
    </row>
    <row r="890" spans="1:5" ht="19.95" customHeight="1">
      <c r="A890" s="3020"/>
      <c r="B890" s="3015" t="str">
        <f>[2]分摊!B892</f>
        <v>12#02工具间</v>
      </c>
      <c r="C890" s="3017">
        <f>[2]分摊!C892</f>
        <v>131.74</v>
      </c>
      <c r="D890" s="3018">
        <f>[2]分摊!H892</f>
        <v>0.71</v>
      </c>
      <c r="E890" s="3017">
        <f t="shared" si="13"/>
        <v>132.45000000000002</v>
      </c>
    </row>
    <row r="891" spans="1:5" ht="19.95" customHeight="1">
      <c r="A891" s="3020"/>
      <c r="B891" s="3015" t="str">
        <f>[2]分摊!B893</f>
        <v>13#01工具间</v>
      </c>
      <c r="C891" s="3017">
        <f>[2]分摊!C893</f>
        <v>131.74</v>
      </c>
      <c r="D891" s="3018">
        <f>[2]分摊!H893</f>
        <v>0.71</v>
      </c>
      <c r="E891" s="3017">
        <f t="shared" si="13"/>
        <v>132.45000000000002</v>
      </c>
    </row>
    <row r="892" spans="1:5" ht="19.95" customHeight="1">
      <c r="A892" s="3020"/>
      <c r="B892" s="3015" t="str">
        <f>[2]分摊!B894</f>
        <v>13#02工具间</v>
      </c>
      <c r="C892" s="3017">
        <f>[2]分摊!C894</f>
        <v>131.74</v>
      </c>
      <c r="D892" s="3018">
        <f>[2]分摊!H894</f>
        <v>0.71</v>
      </c>
      <c r="E892" s="3017">
        <f t="shared" si="13"/>
        <v>132.45000000000002</v>
      </c>
    </row>
    <row r="893" spans="1:5" ht="19.95" customHeight="1">
      <c r="A893" s="3020"/>
      <c r="B893" s="3015" t="str">
        <f>[2]分摊!B895</f>
        <v>15#01工具间</v>
      </c>
      <c r="C893" s="3017">
        <f>[2]分摊!C895</f>
        <v>131.74</v>
      </c>
      <c r="D893" s="3018">
        <f>[2]分摊!H895</f>
        <v>0.71</v>
      </c>
      <c r="E893" s="3017">
        <f t="shared" si="13"/>
        <v>132.45000000000002</v>
      </c>
    </row>
    <row r="894" spans="1:5" ht="19.95" customHeight="1">
      <c r="A894" s="3020"/>
      <c r="B894" s="3015" t="str">
        <f>[2]分摊!B896</f>
        <v>15#02工具间</v>
      </c>
      <c r="C894" s="3017">
        <f>[2]分摊!C896</f>
        <v>129.86000000000001</v>
      </c>
      <c r="D894" s="3018">
        <f>[2]分摊!H896</f>
        <v>0.7</v>
      </c>
      <c r="E894" s="3017">
        <f t="shared" si="13"/>
        <v>130.56</v>
      </c>
    </row>
    <row r="895" spans="1:5" ht="19.95" customHeight="1">
      <c r="A895" s="3020"/>
      <c r="B895" s="3015" t="str">
        <f>[2]分摊!B897</f>
        <v>16#01工具间</v>
      </c>
      <c r="C895" s="3017">
        <f>[2]分摊!C897</f>
        <v>131.74</v>
      </c>
      <c r="D895" s="3018">
        <f>[2]分摊!H897</f>
        <v>0.71</v>
      </c>
      <c r="E895" s="3017">
        <f t="shared" si="13"/>
        <v>132.45000000000002</v>
      </c>
    </row>
    <row r="896" spans="1:5" ht="19.95" customHeight="1">
      <c r="A896" s="3020"/>
      <c r="B896" s="3015" t="str">
        <f>[2]分摊!B898</f>
        <v>16#02工具间</v>
      </c>
      <c r="C896" s="3017">
        <f>[2]分摊!C898</f>
        <v>131.74</v>
      </c>
      <c r="D896" s="3018">
        <f>[2]分摊!H898</f>
        <v>0.71</v>
      </c>
      <c r="E896" s="3017">
        <f t="shared" si="13"/>
        <v>132.45000000000002</v>
      </c>
    </row>
    <row r="897" spans="1:5" ht="19.95" customHeight="1">
      <c r="A897" s="3020"/>
      <c r="B897" s="3015" t="str">
        <f>[2]分摊!B899</f>
        <v>17#01工具间</v>
      </c>
      <c r="C897" s="3017">
        <f>[2]分摊!C899</f>
        <v>131.74</v>
      </c>
      <c r="D897" s="3018">
        <f>[2]分摊!H899</f>
        <v>0.71</v>
      </c>
      <c r="E897" s="3017">
        <f t="shared" si="13"/>
        <v>132.45000000000002</v>
      </c>
    </row>
    <row r="898" spans="1:5" ht="19.95" customHeight="1">
      <c r="A898" s="3020"/>
      <c r="B898" s="3015" t="str">
        <f>[2]分摊!B900</f>
        <v>17#02工具间</v>
      </c>
      <c r="C898" s="3017">
        <f>[2]分摊!C900</f>
        <v>131.74</v>
      </c>
      <c r="D898" s="3018">
        <f>[2]分摊!H900</f>
        <v>0.71</v>
      </c>
      <c r="E898" s="3017">
        <f t="shared" si="13"/>
        <v>132.45000000000002</v>
      </c>
    </row>
    <row r="899" spans="1:5" ht="19.95" customHeight="1">
      <c r="A899" s="3020"/>
      <c r="B899" s="3015" t="str">
        <f>[2]分摊!B901</f>
        <v>18#01工具间</v>
      </c>
      <c r="C899" s="3017">
        <f>[2]分摊!C901</f>
        <v>131.74</v>
      </c>
      <c r="D899" s="3018">
        <f>[2]分摊!H901</f>
        <v>0.71</v>
      </c>
      <c r="E899" s="3017">
        <f t="shared" si="13"/>
        <v>132.45000000000002</v>
      </c>
    </row>
    <row r="900" spans="1:5" ht="19.95" customHeight="1">
      <c r="A900" s="3020"/>
      <c r="B900" s="3015" t="str">
        <f>[2]分摊!B902</f>
        <v>18#02工具间</v>
      </c>
      <c r="C900" s="3017">
        <f>[2]分摊!C902</f>
        <v>131.74</v>
      </c>
      <c r="D900" s="3018">
        <f>[2]分摊!H902</f>
        <v>0.71</v>
      </c>
      <c r="E900" s="3017">
        <f t="shared" si="13"/>
        <v>132.45000000000002</v>
      </c>
    </row>
    <row r="901" spans="1:5" ht="19.95" customHeight="1">
      <c r="A901" s="3020"/>
      <c r="B901" s="3015" t="str">
        <f>[2]分摊!B903</f>
        <v>19#01工具间</v>
      </c>
      <c r="C901" s="3017">
        <f>[2]分摊!C903</f>
        <v>131.74</v>
      </c>
      <c r="D901" s="3018">
        <f>[2]分摊!H903</f>
        <v>0.71</v>
      </c>
      <c r="E901" s="3017">
        <f t="shared" ref="E901:E964" si="14">SUM(C901:D901)</f>
        <v>132.45000000000002</v>
      </c>
    </row>
    <row r="902" spans="1:5" ht="19.95" customHeight="1">
      <c r="A902" s="3020"/>
      <c r="B902" s="3015" t="str">
        <f>[2]分摊!B904</f>
        <v>19#02工具间</v>
      </c>
      <c r="C902" s="3017">
        <f>[2]分摊!C904</f>
        <v>131.74</v>
      </c>
      <c r="D902" s="3018">
        <f>[2]分摊!H904</f>
        <v>0.71</v>
      </c>
      <c r="E902" s="3017">
        <f t="shared" si="14"/>
        <v>132.45000000000002</v>
      </c>
    </row>
    <row r="903" spans="1:5" ht="19.95" customHeight="1">
      <c r="A903" s="3020"/>
      <c r="B903" s="3015" t="str">
        <f>[2]分摊!B905</f>
        <v>20#01工具间</v>
      </c>
      <c r="C903" s="3017">
        <f>[2]分摊!C905</f>
        <v>129.52000000000001</v>
      </c>
      <c r="D903" s="3018">
        <f>[2]分摊!H905</f>
        <v>0.69</v>
      </c>
      <c r="E903" s="3017">
        <f t="shared" si="14"/>
        <v>130.21</v>
      </c>
    </row>
    <row r="904" spans="1:5" ht="19.95" customHeight="1">
      <c r="A904" s="3020"/>
      <c r="B904" s="3015" t="str">
        <f>[2]分摊!B906</f>
        <v>20#02工具间</v>
      </c>
      <c r="C904" s="3017">
        <f>[2]分摊!C906</f>
        <v>129.52000000000001</v>
      </c>
      <c r="D904" s="3018">
        <f>[2]分摊!H906</f>
        <v>0.69</v>
      </c>
      <c r="E904" s="3017">
        <f t="shared" si="14"/>
        <v>130.21</v>
      </c>
    </row>
    <row r="905" spans="1:5" ht="19.95" customHeight="1">
      <c r="A905" s="3020"/>
      <c r="B905" s="3015" t="str">
        <f>[2]分摊!B907</f>
        <v>21#01工具间</v>
      </c>
      <c r="C905" s="3017">
        <f>[2]分摊!C907</f>
        <v>129.52000000000001</v>
      </c>
      <c r="D905" s="3018">
        <f>[2]分摊!H907</f>
        <v>0.69</v>
      </c>
      <c r="E905" s="3017">
        <f t="shared" si="14"/>
        <v>130.21</v>
      </c>
    </row>
    <row r="906" spans="1:5" ht="19.95" customHeight="1">
      <c r="A906" s="3020"/>
      <c r="B906" s="3015" t="str">
        <f>[2]分摊!B908</f>
        <v>21#02工具间</v>
      </c>
      <c r="C906" s="3017">
        <f>[2]分摊!C908</f>
        <v>129.52000000000001</v>
      </c>
      <c r="D906" s="3018">
        <f>[2]分摊!H908</f>
        <v>0.69</v>
      </c>
      <c r="E906" s="3017">
        <f t="shared" si="14"/>
        <v>130.21</v>
      </c>
    </row>
    <row r="907" spans="1:5" ht="19.95" customHeight="1">
      <c r="A907" s="3020"/>
      <c r="B907" s="3015" t="str">
        <f>[2]分摊!B909</f>
        <v>22#01工具间</v>
      </c>
      <c r="C907" s="3017">
        <f>[2]分摊!C909</f>
        <v>129.52000000000001</v>
      </c>
      <c r="D907" s="3018">
        <f>[2]分摊!H909</f>
        <v>0.69</v>
      </c>
      <c r="E907" s="3017">
        <f t="shared" si="14"/>
        <v>130.21</v>
      </c>
    </row>
    <row r="908" spans="1:5" ht="19.95" customHeight="1">
      <c r="A908" s="3020"/>
      <c r="B908" s="3015" t="str">
        <f>[2]分摊!B910</f>
        <v>22#02工具间</v>
      </c>
      <c r="C908" s="3017">
        <f>[2]分摊!C910</f>
        <v>129.52000000000001</v>
      </c>
      <c r="D908" s="3018">
        <f>[2]分摊!H910</f>
        <v>0.69</v>
      </c>
      <c r="E908" s="3017">
        <f t="shared" si="14"/>
        <v>130.21</v>
      </c>
    </row>
    <row r="909" spans="1:5" ht="19.95" customHeight="1">
      <c r="A909" s="3020"/>
      <c r="B909" s="3015" t="str">
        <f>[2]分摊!B911</f>
        <v>23#01工具间</v>
      </c>
      <c r="C909" s="3017">
        <f>[2]分摊!C911</f>
        <v>129.52000000000001</v>
      </c>
      <c r="D909" s="3018">
        <f>[2]分摊!H911</f>
        <v>0.69</v>
      </c>
      <c r="E909" s="3017">
        <f t="shared" si="14"/>
        <v>130.21</v>
      </c>
    </row>
    <row r="910" spans="1:5" ht="19.95" customHeight="1">
      <c r="A910" s="3020"/>
      <c r="B910" s="3015" t="str">
        <f>[2]分摊!B912</f>
        <v>23#02工具间</v>
      </c>
      <c r="C910" s="3017">
        <f>[2]分摊!C912</f>
        <v>129.52000000000001</v>
      </c>
      <c r="D910" s="3018">
        <f>[2]分摊!H912</f>
        <v>0.69</v>
      </c>
      <c r="E910" s="3017">
        <f t="shared" si="14"/>
        <v>130.21</v>
      </c>
    </row>
    <row r="911" spans="1:5" ht="19.95" customHeight="1">
      <c r="A911" s="3020"/>
      <c r="B911" s="3015" t="str">
        <f>[2]分摊!B913</f>
        <v>25#01工具间</v>
      </c>
      <c r="C911" s="3017">
        <f>[2]分摊!C913</f>
        <v>129.52000000000001</v>
      </c>
      <c r="D911" s="3018">
        <f>[2]分摊!H913</f>
        <v>0.69</v>
      </c>
      <c r="E911" s="3017">
        <f t="shared" si="14"/>
        <v>130.21</v>
      </c>
    </row>
    <row r="912" spans="1:5" ht="19.95" customHeight="1">
      <c r="A912" s="3020"/>
      <c r="B912" s="3015" t="str">
        <f>[2]分摊!B914</f>
        <v>25#02工具间</v>
      </c>
      <c r="C912" s="3017">
        <f>[2]分摊!C914</f>
        <v>127.76</v>
      </c>
      <c r="D912" s="3018">
        <f>[2]分摊!H914</f>
        <v>0.68</v>
      </c>
      <c r="E912" s="3017">
        <f t="shared" si="14"/>
        <v>128.44</v>
      </c>
    </row>
    <row r="913" spans="1:5" ht="19.95" customHeight="1">
      <c r="A913" s="3020"/>
      <c r="B913" s="3015" t="str">
        <f>[2]分摊!B915</f>
        <v>26#01工具间</v>
      </c>
      <c r="C913" s="3017">
        <f>[2]分摊!C915</f>
        <v>129.52000000000001</v>
      </c>
      <c r="D913" s="3018">
        <f>[2]分摊!H915</f>
        <v>0.69</v>
      </c>
      <c r="E913" s="3017">
        <f t="shared" si="14"/>
        <v>130.21</v>
      </c>
    </row>
    <row r="914" spans="1:5" ht="19.95" customHeight="1">
      <c r="A914" s="3020"/>
      <c r="B914" s="3015" t="str">
        <f>[2]分摊!B916</f>
        <v>26#02工具间</v>
      </c>
      <c r="C914" s="3017">
        <f>[2]分摊!C916</f>
        <v>129.52000000000001</v>
      </c>
      <c r="D914" s="3018">
        <f>[2]分摊!H916</f>
        <v>0.69</v>
      </c>
      <c r="E914" s="3017">
        <f t="shared" si="14"/>
        <v>130.21</v>
      </c>
    </row>
    <row r="915" spans="1:5" ht="19.95" customHeight="1">
      <c r="A915" s="3020"/>
      <c r="B915" s="3015" t="str">
        <f>[2]分摊!B917</f>
        <v>27#01工具间</v>
      </c>
      <c r="C915" s="3017">
        <f>[2]分摊!C917</f>
        <v>129.52000000000001</v>
      </c>
      <c r="D915" s="3018">
        <f>[2]分摊!H917</f>
        <v>0.69</v>
      </c>
      <c r="E915" s="3017">
        <f t="shared" si="14"/>
        <v>130.21</v>
      </c>
    </row>
    <row r="916" spans="1:5" ht="19.95" customHeight="1">
      <c r="A916" s="3020"/>
      <c r="B916" s="3015" t="str">
        <f>[2]分摊!B918</f>
        <v>27#02工具间</v>
      </c>
      <c r="C916" s="3017">
        <f>[2]分摊!C918</f>
        <v>129.52000000000001</v>
      </c>
      <c r="D916" s="3018">
        <f>[2]分摊!H918</f>
        <v>0.69</v>
      </c>
      <c r="E916" s="3017">
        <f t="shared" si="14"/>
        <v>130.21</v>
      </c>
    </row>
    <row r="917" spans="1:5" ht="19.95" customHeight="1">
      <c r="A917" s="3020"/>
      <c r="B917" s="3015" t="str">
        <f>[2]分摊!B919</f>
        <v>28#01工具间</v>
      </c>
      <c r="C917" s="3017">
        <f>[2]分摊!C919</f>
        <v>129.52000000000001</v>
      </c>
      <c r="D917" s="3018">
        <f>[2]分摊!H919</f>
        <v>0.69</v>
      </c>
      <c r="E917" s="3017">
        <f t="shared" si="14"/>
        <v>130.21</v>
      </c>
    </row>
    <row r="918" spans="1:5" ht="19.95" customHeight="1">
      <c r="A918" s="3020"/>
      <c r="B918" s="3015" t="str">
        <f>[2]分摊!B920</f>
        <v>28#02工具间</v>
      </c>
      <c r="C918" s="3017">
        <f>[2]分摊!C920</f>
        <v>129.52000000000001</v>
      </c>
      <c r="D918" s="3018">
        <f>[2]分摊!H920</f>
        <v>0.69</v>
      </c>
      <c r="E918" s="3017">
        <f t="shared" si="14"/>
        <v>130.21</v>
      </c>
    </row>
    <row r="919" spans="1:5" ht="19.95" customHeight="1">
      <c r="A919" s="3020"/>
      <c r="B919" s="3015" t="str">
        <f>[2]分摊!B921</f>
        <v>29#01工具间</v>
      </c>
      <c r="C919" s="3017">
        <f>[2]分摊!C921</f>
        <v>131.74</v>
      </c>
      <c r="D919" s="3018">
        <f>[2]分摊!H921</f>
        <v>0.71</v>
      </c>
      <c r="E919" s="3017">
        <f t="shared" si="14"/>
        <v>132.45000000000002</v>
      </c>
    </row>
    <row r="920" spans="1:5" ht="19.95" customHeight="1">
      <c r="A920" s="3020"/>
      <c r="B920" s="3015" t="str">
        <f>[2]分摊!B922</f>
        <v>29#02工具间</v>
      </c>
      <c r="C920" s="3017">
        <f>[2]分摊!C922</f>
        <v>131.74</v>
      </c>
      <c r="D920" s="3018">
        <f>[2]分摊!H922</f>
        <v>0.71</v>
      </c>
      <c r="E920" s="3017">
        <f t="shared" si="14"/>
        <v>132.45000000000002</v>
      </c>
    </row>
    <row r="921" spans="1:5" ht="19.95" customHeight="1">
      <c r="A921" s="3020"/>
      <c r="B921" s="3015" t="str">
        <f>[2]分摊!B923</f>
        <v>30#01工具间</v>
      </c>
      <c r="C921" s="3017">
        <f>[2]分摊!C923</f>
        <v>131.74</v>
      </c>
      <c r="D921" s="3018">
        <f>[2]分摊!H923</f>
        <v>0.71</v>
      </c>
      <c r="E921" s="3017">
        <f t="shared" si="14"/>
        <v>132.45000000000002</v>
      </c>
    </row>
    <row r="922" spans="1:5" ht="19.95" customHeight="1">
      <c r="A922" s="3020"/>
      <c r="B922" s="3015" t="str">
        <f>[2]分摊!B924</f>
        <v>30#02工具间</v>
      </c>
      <c r="C922" s="3017">
        <f>[2]分摊!C924</f>
        <v>131.74</v>
      </c>
      <c r="D922" s="3018">
        <f>[2]分摊!H924</f>
        <v>0.71</v>
      </c>
      <c r="E922" s="3017">
        <f t="shared" si="14"/>
        <v>132.45000000000002</v>
      </c>
    </row>
    <row r="923" spans="1:5" ht="19.95" customHeight="1">
      <c r="A923" s="3020"/>
      <c r="B923" s="3015" t="str">
        <f>[2]分摊!B925</f>
        <v>31#01工具间</v>
      </c>
      <c r="C923" s="3017">
        <f>[2]分摊!C925</f>
        <v>131.74</v>
      </c>
      <c r="D923" s="3018">
        <f>[2]分摊!H925</f>
        <v>0.71</v>
      </c>
      <c r="E923" s="3017">
        <f t="shared" si="14"/>
        <v>132.45000000000002</v>
      </c>
    </row>
    <row r="924" spans="1:5" ht="19.95" customHeight="1">
      <c r="A924" s="3020"/>
      <c r="B924" s="3015" t="str">
        <f>[2]分摊!B926</f>
        <v>31#02工具间</v>
      </c>
      <c r="C924" s="3017">
        <f>[2]分摊!C926</f>
        <v>131.74</v>
      </c>
      <c r="D924" s="3018">
        <f>[2]分摊!H926</f>
        <v>0.71</v>
      </c>
      <c r="E924" s="3017">
        <f t="shared" si="14"/>
        <v>132.45000000000002</v>
      </c>
    </row>
    <row r="925" spans="1:5" ht="19.95" customHeight="1">
      <c r="A925" s="3020"/>
      <c r="B925" s="3015" t="str">
        <f>[2]分摊!B927</f>
        <v>32#01工具间</v>
      </c>
      <c r="C925" s="3017">
        <f>[2]分摊!C927</f>
        <v>131.74</v>
      </c>
      <c r="D925" s="3018">
        <f>[2]分摊!H927</f>
        <v>0.71</v>
      </c>
      <c r="E925" s="3017">
        <f t="shared" si="14"/>
        <v>132.45000000000002</v>
      </c>
    </row>
    <row r="926" spans="1:5" ht="19.95" customHeight="1">
      <c r="A926" s="3020"/>
      <c r="B926" s="3015" t="str">
        <f>[2]分摊!B928</f>
        <v>32#02工具间</v>
      </c>
      <c r="C926" s="3017">
        <f>[2]分摊!C928</f>
        <v>145.84</v>
      </c>
      <c r="D926" s="3018">
        <f>[2]分摊!H928</f>
        <v>0.78</v>
      </c>
      <c r="E926" s="3017">
        <f t="shared" si="14"/>
        <v>146.62</v>
      </c>
    </row>
    <row r="927" spans="1:5" ht="19.95" customHeight="1">
      <c r="A927" s="3020"/>
      <c r="B927" s="3015" t="str">
        <f>[2]分摊!B929</f>
        <v>33#01工具间</v>
      </c>
      <c r="C927" s="3017">
        <f>[2]分摊!C929</f>
        <v>141.13999999999999</v>
      </c>
      <c r="D927" s="3018">
        <f>[2]分摊!H929</f>
        <v>0.76</v>
      </c>
      <c r="E927" s="3017">
        <f t="shared" si="14"/>
        <v>141.89999999999998</v>
      </c>
    </row>
    <row r="928" spans="1:5" ht="19.95" customHeight="1">
      <c r="A928" s="3020"/>
      <c r="B928" s="3015" t="str">
        <f>[2]分摊!B930</f>
        <v>33#02工具间</v>
      </c>
      <c r="C928" s="3017">
        <f>[2]分摊!C930</f>
        <v>131.74</v>
      </c>
      <c r="D928" s="3018">
        <f>[2]分摊!H930</f>
        <v>0.71</v>
      </c>
      <c r="E928" s="3017">
        <f t="shared" si="14"/>
        <v>132.45000000000002</v>
      </c>
    </row>
    <row r="929" spans="1:5" ht="19.95" customHeight="1">
      <c r="A929" s="3020"/>
      <c r="B929" s="3015" t="str">
        <f>[2]分摊!B931</f>
        <v>35#01工具间</v>
      </c>
      <c r="C929" s="3017">
        <f>[2]分摊!C931</f>
        <v>131.74</v>
      </c>
      <c r="D929" s="3018">
        <f>[2]分摊!H931</f>
        <v>0.71</v>
      </c>
      <c r="E929" s="3017">
        <f t="shared" si="14"/>
        <v>132.45000000000002</v>
      </c>
    </row>
    <row r="930" spans="1:5" ht="19.95" customHeight="1">
      <c r="A930" s="3020"/>
      <c r="B930" s="3015" t="str">
        <f>[2]分摊!B932</f>
        <v>35#02工具间</v>
      </c>
      <c r="C930" s="3017">
        <f>[2]分摊!C932</f>
        <v>131.74</v>
      </c>
      <c r="D930" s="3018">
        <f>[2]分摊!H932</f>
        <v>0.71</v>
      </c>
      <c r="E930" s="3017">
        <f t="shared" si="14"/>
        <v>132.45000000000002</v>
      </c>
    </row>
    <row r="931" spans="1:5" ht="19.95" customHeight="1">
      <c r="A931" s="3020"/>
      <c r="B931" s="3015" t="str">
        <f>[2]分摊!B933</f>
        <v>36#01工具间</v>
      </c>
      <c r="C931" s="3017">
        <f>[2]分摊!C933</f>
        <v>131.74</v>
      </c>
      <c r="D931" s="3018">
        <f>[2]分摊!H933</f>
        <v>0.71</v>
      </c>
      <c r="E931" s="3017">
        <f t="shared" si="14"/>
        <v>132.45000000000002</v>
      </c>
    </row>
    <row r="932" spans="1:5" ht="19.95" customHeight="1">
      <c r="A932" s="3020"/>
      <c r="B932" s="3015" t="str">
        <f>[2]分摊!B934</f>
        <v>36#02工具间</v>
      </c>
      <c r="C932" s="3017">
        <f>[2]分摊!C934</f>
        <v>131.74</v>
      </c>
      <c r="D932" s="3018">
        <f>[2]分摊!H934</f>
        <v>0.71</v>
      </c>
      <c r="E932" s="3017">
        <f t="shared" si="14"/>
        <v>132.45000000000002</v>
      </c>
    </row>
    <row r="933" spans="1:5" ht="19.95" customHeight="1">
      <c r="A933" s="3020"/>
      <c r="B933" s="3015" t="str">
        <f>[2]分摊!B935</f>
        <v>37#01工具间</v>
      </c>
      <c r="C933" s="3017">
        <f>[2]分摊!C935</f>
        <v>131.74</v>
      </c>
      <c r="D933" s="3018">
        <f>[2]分摊!H935</f>
        <v>0.71</v>
      </c>
      <c r="E933" s="3017">
        <f t="shared" si="14"/>
        <v>132.45000000000002</v>
      </c>
    </row>
    <row r="934" spans="1:5" ht="19.95" customHeight="1">
      <c r="A934" s="3020"/>
      <c r="B934" s="3015" t="str">
        <f>[2]分摊!B936</f>
        <v>37#02工具间</v>
      </c>
      <c r="C934" s="3017">
        <f>[2]分摊!C936</f>
        <v>131.74</v>
      </c>
      <c r="D934" s="3018">
        <f>[2]分摊!H936</f>
        <v>0.71</v>
      </c>
      <c r="E934" s="3017">
        <f t="shared" si="14"/>
        <v>132.45000000000002</v>
      </c>
    </row>
    <row r="935" spans="1:5" ht="19.95" customHeight="1">
      <c r="A935" s="3020"/>
      <c r="B935" s="3015" t="str">
        <f>[2]分摊!B937</f>
        <v>38#01工具间</v>
      </c>
      <c r="C935" s="3017">
        <f>[2]分摊!C937</f>
        <v>129.52000000000001</v>
      </c>
      <c r="D935" s="3018">
        <f>[2]分摊!H937</f>
        <v>0.69</v>
      </c>
      <c r="E935" s="3017">
        <f t="shared" si="14"/>
        <v>130.21</v>
      </c>
    </row>
    <row r="936" spans="1:5" ht="19.95" customHeight="1">
      <c r="A936" s="3020"/>
      <c r="B936" s="3015" t="str">
        <f>[2]分摊!B938</f>
        <v>38#02工具间</v>
      </c>
      <c r="C936" s="3017">
        <f>[2]分摊!C938</f>
        <v>129.52000000000001</v>
      </c>
      <c r="D936" s="3018">
        <f>[2]分摊!H938</f>
        <v>0.69</v>
      </c>
      <c r="E936" s="3017">
        <f t="shared" si="14"/>
        <v>130.21</v>
      </c>
    </row>
    <row r="937" spans="1:5" ht="19.95" customHeight="1">
      <c r="A937" s="3020"/>
      <c r="B937" s="3015" t="str">
        <f>[2]分摊!B939</f>
        <v>39#01工具间</v>
      </c>
      <c r="C937" s="3017">
        <f>[2]分摊!C939</f>
        <v>129.52000000000001</v>
      </c>
      <c r="D937" s="3018">
        <f>[2]分摊!H939</f>
        <v>0.69</v>
      </c>
      <c r="E937" s="3017">
        <f t="shared" si="14"/>
        <v>130.21</v>
      </c>
    </row>
    <row r="938" spans="1:5" ht="19.95" customHeight="1">
      <c r="A938" s="3020"/>
      <c r="B938" s="3015" t="str">
        <f>[2]分摊!B940</f>
        <v>39#02工具间</v>
      </c>
      <c r="C938" s="3017">
        <f>[2]分摊!C940</f>
        <v>129.52000000000001</v>
      </c>
      <c r="D938" s="3018">
        <f>[2]分摊!H940</f>
        <v>0.69</v>
      </c>
      <c r="E938" s="3017">
        <f t="shared" si="14"/>
        <v>130.21</v>
      </c>
    </row>
    <row r="939" spans="1:5" ht="19.95" customHeight="1">
      <c r="A939" s="3020"/>
      <c r="B939" s="3015" t="str">
        <f>[2]分摊!B941</f>
        <v>50#01工具间</v>
      </c>
      <c r="C939" s="3017">
        <f>[2]分摊!C941</f>
        <v>129.52000000000001</v>
      </c>
      <c r="D939" s="3018">
        <f>[2]分摊!H941</f>
        <v>0.69</v>
      </c>
      <c r="E939" s="3017">
        <f t="shared" si="14"/>
        <v>130.21</v>
      </c>
    </row>
    <row r="940" spans="1:5" ht="19.95" customHeight="1">
      <c r="A940" s="3020"/>
      <c r="B940" s="3015" t="str">
        <f>[2]分摊!B942</f>
        <v>50#02工具间</v>
      </c>
      <c r="C940" s="3017">
        <f>[2]分摊!C942</f>
        <v>129.52000000000001</v>
      </c>
      <c r="D940" s="3018">
        <f>[2]分摊!H942</f>
        <v>0.69</v>
      </c>
      <c r="E940" s="3017">
        <f t="shared" si="14"/>
        <v>130.21</v>
      </c>
    </row>
    <row r="941" spans="1:5" ht="19.95" customHeight="1">
      <c r="A941" s="3020"/>
      <c r="B941" s="3015" t="str">
        <f>[2]分摊!B943</f>
        <v>51#01工具间</v>
      </c>
      <c r="C941" s="3017">
        <f>[2]分摊!C943</f>
        <v>138.32</v>
      </c>
      <c r="D941" s="3018">
        <f>[2]分摊!H943</f>
        <v>0.74</v>
      </c>
      <c r="E941" s="3017">
        <f t="shared" si="14"/>
        <v>139.06</v>
      </c>
    </row>
    <row r="942" spans="1:5" ht="19.95" customHeight="1">
      <c r="A942" s="3020"/>
      <c r="B942" s="3015" t="str">
        <f>[2]分摊!B944</f>
        <v>51#02工具间</v>
      </c>
      <c r="C942" s="3017">
        <f>[2]分摊!C944</f>
        <v>129.52000000000001</v>
      </c>
      <c r="D942" s="3018">
        <f>[2]分摊!H944</f>
        <v>0.69</v>
      </c>
      <c r="E942" s="3017">
        <f t="shared" si="14"/>
        <v>130.21</v>
      </c>
    </row>
    <row r="943" spans="1:5" ht="19.95" customHeight="1">
      <c r="A943" s="3020"/>
      <c r="B943" s="3015" t="str">
        <f>[2]分摊!B945</f>
        <v>52#01工具间</v>
      </c>
      <c r="C943" s="3017">
        <f>[2]分摊!C945</f>
        <v>129.52000000000001</v>
      </c>
      <c r="D943" s="3018">
        <f>[2]分摊!H945</f>
        <v>0.69</v>
      </c>
      <c r="E943" s="3017">
        <f t="shared" si="14"/>
        <v>130.21</v>
      </c>
    </row>
    <row r="944" spans="1:5" ht="19.95" customHeight="1">
      <c r="A944" s="3020"/>
      <c r="B944" s="3015" t="str">
        <f>[2]分摊!B946</f>
        <v>52#02工具间</v>
      </c>
      <c r="C944" s="3017">
        <f>[2]分摊!C946</f>
        <v>133.04</v>
      </c>
      <c r="D944" s="3018">
        <f>[2]分摊!H946</f>
        <v>0.71</v>
      </c>
      <c r="E944" s="3017">
        <f t="shared" si="14"/>
        <v>133.75</v>
      </c>
    </row>
    <row r="945" spans="1:5" ht="19.95" customHeight="1">
      <c r="A945" s="3020"/>
      <c r="B945" s="3015" t="str">
        <f>[2]分摊!B947</f>
        <v>53#01工具间</v>
      </c>
      <c r="C945" s="3017">
        <f>[2]分摊!C947</f>
        <v>129.52000000000001</v>
      </c>
      <c r="D945" s="3018">
        <f>[2]分摊!H947</f>
        <v>0.69</v>
      </c>
      <c r="E945" s="3017">
        <f t="shared" si="14"/>
        <v>130.21</v>
      </c>
    </row>
    <row r="946" spans="1:5" ht="19.95" customHeight="1">
      <c r="A946" s="3020"/>
      <c r="B946" s="3015" t="str">
        <f>[2]分摊!B948</f>
        <v>53#02工具间</v>
      </c>
      <c r="C946" s="3017">
        <f>[2]分摊!C948</f>
        <v>129.52000000000001</v>
      </c>
      <c r="D946" s="3018">
        <f>[2]分摊!H948</f>
        <v>0.69</v>
      </c>
      <c r="E946" s="3017">
        <f t="shared" si="14"/>
        <v>130.21</v>
      </c>
    </row>
    <row r="947" spans="1:5" ht="19.95" customHeight="1">
      <c r="A947" s="3020"/>
      <c r="B947" s="3015" t="str">
        <f>[2]分摊!B949</f>
        <v>55#01工具间</v>
      </c>
      <c r="C947" s="3017">
        <f>[2]分摊!C949</f>
        <v>129.52000000000001</v>
      </c>
      <c r="D947" s="3018">
        <f>[2]分摊!H949</f>
        <v>0.69</v>
      </c>
      <c r="E947" s="3017">
        <f t="shared" si="14"/>
        <v>130.21</v>
      </c>
    </row>
    <row r="948" spans="1:5" ht="19.95" customHeight="1">
      <c r="A948" s="3020"/>
      <c r="B948" s="3015" t="str">
        <f>[2]分摊!B950</f>
        <v>55#02工具间</v>
      </c>
      <c r="C948" s="3017">
        <f>[2]分摊!C950</f>
        <v>129.52000000000001</v>
      </c>
      <c r="D948" s="3018">
        <f>[2]分摊!H950</f>
        <v>0.69</v>
      </c>
      <c r="E948" s="3017">
        <f t="shared" si="14"/>
        <v>130.21</v>
      </c>
    </row>
    <row r="949" spans="1:5" ht="19.95" customHeight="1">
      <c r="A949" s="3020"/>
      <c r="B949" s="3015" t="str">
        <f>[2]分摊!B951</f>
        <v>56#01工具间</v>
      </c>
      <c r="C949" s="3017">
        <f>[2]分摊!C951</f>
        <v>129.52000000000001</v>
      </c>
      <c r="D949" s="3018">
        <f>[2]分摊!H951</f>
        <v>0.69</v>
      </c>
      <c r="E949" s="3017">
        <f t="shared" si="14"/>
        <v>130.21</v>
      </c>
    </row>
    <row r="950" spans="1:5" ht="19.95" customHeight="1">
      <c r="A950" s="3020"/>
      <c r="B950" s="3015" t="str">
        <f>[2]分摊!B952</f>
        <v>56#02工具间</v>
      </c>
      <c r="C950" s="3017">
        <f>[2]分摊!C952</f>
        <v>129.52000000000001</v>
      </c>
      <c r="D950" s="3018">
        <f>[2]分摊!H952</f>
        <v>0.69</v>
      </c>
      <c r="E950" s="3017">
        <f t="shared" si="14"/>
        <v>130.21</v>
      </c>
    </row>
    <row r="951" spans="1:5" ht="19.95" customHeight="1">
      <c r="A951" s="3020"/>
      <c r="B951" s="3015" t="str">
        <f>[2]分摊!B953</f>
        <v>57#01工具间</v>
      </c>
      <c r="C951" s="3017">
        <f>[2]分摊!C953</f>
        <v>131.74</v>
      </c>
      <c r="D951" s="3018">
        <f>[2]分摊!H953</f>
        <v>0.71</v>
      </c>
      <c r="E951" s="3017">
        <f t="shared" si="14"/>
        <v>132.45000000000002</v>
      </c>
    </row>
    <row r="952" spans="1:5" ht="19.95" customHeight="1">
      <c r="A952" s="3020"/>
      <c r="B952" s="3015" t="str">
        <f>[2]分摊!B954</f>
        <v>57#02工具间</v>
      </c>
      <c r="C952" s="3017">
        <f>[2]分摊!C954</f>
        <v>131.74</v>
      </c>
      <c r="D952" s="3018">
        <f>[2]分摊!H954</f>
        <v>0.71</v>
      </c>
      <c r="E952" s="3017">
        <f t="shared" si="14"/>
        <v>132.45000000000002</v>
      </c>
    </row>
    <row r="953" spans="1:5" ht="19.95" customHeight="1">
      <c r="A953" s="3020"/>
      <c r="B953" s="3015" t="str">
        <f>[2]分摊!B955</f>
        <v>58#01工具间</v>
      </c>
      <c r="C953" s="3017">
        <f>[2]分摊!C955</f>
        <v>131.74</v>
      </c>
      <c r="D953" s="3018">
        <f>[2]分摊!H955</f>
        <v>0.71</v>
      </c>
      <c r="E953" s="3017">
        <f t="shared" si="14"/>
        <v>132.45000000000002</v>
      </c>
    </row>
    <row r="954" spans="1:5" ht="19.95" customHeight="1">
      <c r="A954" s="3020"/>
      <c r="B954" s="3015" t="str">
        <f>[2]分摊!B956</f>
        <v>58#02工具间</v>
      </c>
      <c r="C954" s="3017">
        <f>[2]分摊!C956</f>
        <v>131.74</v>
      </c>
      <c r="D954" s="3018">
        <f>[2]分摊!H956</f>
        <v>0.71</v>
      </c>
      <c r="E954" s="3017">
        <f t="shared" si="14"/>
        <v>132.45000000000002</v>
      </c>
    </row>
    <row r="955" spans="1:5" ht="19.95" customHeight="1">
      <c r="A955" s="3020"/>
      <c r="B955" s="3015" t="str">
        <f>[2]分摊!B957</f>
        <v>59#01工具间</v>
      </c>
      <c r="C955" s="3017">
        <f>[2]分摊!C957</f>
        <v>131.74</v>
      </c>
      <c r="D955" s="3018">
        <f>[2]分摊!H957</f>
        <v>0.71</v>
      </c>
      <c r="E955" s="3017">
        <f t="shared" si="14"/>
        <v>132.45000000000002</v>
      </c>
    </row>
    <row r="956" spans="1:5" ht="19.95" customHeight="1">
      <c r="A956" s="3020"/>
      <c r="B956" s="3015" t="str">
        <f>[2]分摊!B958</f>
        <v>59#02工具间</v>
      </c>
      <c r="C956" s="3017">
        <f>[2]分摊!C958</f>
        <v>131.74</v>
      </c>
      <c r="D956" s="3018">
        <f>[2]分摊!H958</f>
        <v>0.71</v>
      </c>
      <c r="E956" s="3017">
        <f t="shared" si="14"/>
        <v>132.45000000000002</v>
      </c>
    </row>
    <row r="957" spans="1:5" ht="19.95" customHeight="1">
      <c r="A957" s="3020"/>
      <c r="B957" s="3015" t="str">
        <f>[2]分摊!B959</f>
        <v>60#01工具间</v>
      </c>
      <c r="C957" s="3017">
        <f>[2]分摊!C959</f>
        <v>131.74</v>
      </c>
      <c r="D957" s="3018">
        <f>[2]分摊!H959</f>
        <v>0.71</v>
      </c>
      <c r="E957" s="3017">
        <f t="shared" si="14"/>
        <v>132.45000000000002</v>
      </c>
    </row>
    <row r="958" spans="1:5" ht="19.95" customHeight="1">
      <c r="A958" s="3020"/>
      <c r="B958" s="3015" t="str">
        <f>[2]分摊!B960</f>
        <v>60#02工具间</v>
      </c>
      <c r="C958" s="3017">
        <f>[2]分摊!C960</f>
        <v>135.5</v>
      </c>
      <c r="D958" s="3018">
        <f>[2]分摊!H960</f>
        <v>0.73</v>
      </c>
      <c r="E958" s="3017">
        <f t="shared" si="14"/>
        <v>136.22999999999999</v>
      </c>
    </row>
    <row r="959" spans="1:5" ht="19.95" customHeight="1">
      <c r="A959" s="3020"/>
      <c r="B959" s="3015" t="str">
        <f>[2]分摊!B961</f>
        <v>61#01工具间</v>
      </c>
      <c r="C959" s="3017">
        <f>[2]分摊!C961</f>
        <v>141.13999999999999</v>
      </c>
      <c r="D959" s="3018">
        <f>[2]分摊!H961</f>
        <v>0.76</v>
      </c>
      <c r="E959" s="3017">
        <f t="shared" si="14"/>
        <v>141.89999999999998</v>
      </c>
    </row>
    <row r="960" spans="1:5" ht="19.95" customHeight="1">
      <c r="A960" s="3020"/>
      <c r="B960" s="3015" t="str">
        <f>[2]分摊!B962</f>
        <v>61#02工具间</v>
      </c>
      <c r="C960" s="3017">
        <f>[2]分摊!C962</f>
        <v>131.74</v>
      </c>
      <c r="D960" s="3018">
        <f>[2]分摊!H962</f>
        <v>0.71</v>
      </c>
      <c r="E960" s="3017">
        <f t="shared" si="14"/>
        <v>132.45000000000002</v>
      </c>
    </row>
    <row r="961" spans="1:5" ht="19.95" customHeight="1">
      <c r="A961" s="3020"/>
      <c r="B961" s="3015" t="str">
        <f>[2]分摊!B963</f>
        <v>62#01工具间</v>
      </c>
      <c r="C961" s="3017">
        <f>[2]分摊!C963</f>
        <v>131.74</v>
      </c>
      <c r="D961" s="3018">
        <f>[2]分摊!H963</f>
        <v>0.71</v>
      </c>
      <c r="E961" s="3017">
        <f t="shared" si="14"/>
        <v>132.45000000000002</v>
      </c>
    </row>
    <row r="962" spans="1:5" ht="19.95" customHeight="1">
      <c r="A962" s="3020"/>
      <c r="B962" s="3015" t="str">
        <f>[2]分摊!B964</f>
        <v>62#02工具间</v>
      </c>
      <c r="C962" s="3017">
        <f>[2]分摊!C964</f>
        <v>131.74</v>
      </c>
      <c r="D962" s="3018">
        <f>[2]分摊!H964</f>
        <v>0.71</v>
      </c>
      <c r="E962" s="3017">
        <f t="shared" si="14"/>
        <v>132.45000000000002</v>
      </c>
    </row>
    <row r="963" spans="1:5" ht="19.95" customHeight="1">
      <c r="A963" s="3020"/>
      <c r="B963" s="3015" t="str">
        <f>[2]分摊!B965</f>
        <v>63#01工具间</v>
      </c>
      <c r="C963" s="3017">
        <f>[2]分摊!C965</f>
        <v>131.74</v>
      </c>
      <c r="D963" s="3018">
        <f>[2]分摊!H965</f>
        <v>0.71</v>
      </c>
      <c r="E963" s="3017">
        <f t="shared" si="14"/>
        <v>132.45000000000002</v>
      </c>
    </row>
    <row r="964" spans="1:5" ht="19.95" customHeight="1">
      <c r="A964" s="3020"/>
      <c r="B964" s="3015" t="str">
        <f>[2]分摊!B966</f>
        <v>63#02工具间</v>
      </c>
      <c r="C964" s="3017">
        <f>[2]分摊!C966</f>
        <v>131.74</v>
      </c>
      <c r="D964" s="3018">
        <f>[2]分摊!H966</f>
        <v>0.71</v>
      </c>
      <c r="E964" s="3017">
        <f t="shared" si="14"/>
        <v>132.45000000000002</v>
      </c>
    </row>
    <row r="965" spans="1:5" ht="19.95" customHeight="1">
      <c r="A965" s="3020"/>
      <c r="B965" s="3015" t="str">
        <f>[2]分摊!B967</f>
        <v>65#01工具间</v>
      </c>
      <c r="C965" s="3017">
        <f>[2]分摊!C967</f>
        <v>131.74</v>
      </c>
      <c r="D965" s="3018">
        <f>[2]分摊!H967</f>
        <v>0.71</v>
      </c>
      <c r="E965" s="3017">
        <f t="shared" ref="E965:E1028" si="15">SUM(C965:D965)</f>
        <v>132.45000000000002</v>
      </c>
    </row>
    <row r="966" spans="1:5" ht="19.95" customHeight="1">
      <c r="A966" s="3020"/>
      <c r="B966" s="3015" t="str">
        <f>[2]分摊!B968</f>
        <v>65#02工具间</v>
      </c>
      <c r="C966" s="3017">
        <f>[2]分摊!C968</f>
        <v>131.74</v>
      </c>
      <c r="D966" s="3018">
        <f>[2]分摊!H968</f>
        <v>0.71</v>
      </c>
      <c r="E966" s="3017">
        <f t="shared" si="15"/>
        <v>132.45000000000002</v>
      </c>
    </row>
    <row r="967" spans="1:5" ht="19.95" customHeight="1">
      <c r="A967" s="3020"/>
      <c r="B967" s="3015" t="str">
        <f>[2]分摊!B969</f>
        <v>66#01工具间</v>
      </c>
      <c r="C967" s="3017">
        <f>[2]分摊!C969</f>
        <v>260.86</v>
      </c>
      <c r="D967" s="3018">
        <f>[2]分摊!H969</f>
        <v>1.4</v>
      </c>
      <c r="E967" s="3017">
        <f t="shared" si="15"/>
        <v>262.26</v>
      </c>
    </row>
    <row r="968" spans="1:5" ht="19.95" customHeight="1">
      <c r="A968" s="3020"/>
      <c r="B968" s="3015" t="str">
        <f>[2]分摊!B970</f>
        <v>66#02工具间</v>
      </c>
      <c r="C968" s="3017">
        <f>[2]分摊!C970</f>
        <v>179.49</v>
      </c>
      <c r="D968" s="3018">
        <f>[2]分摊!H970</f>
        <v>0.96</v>
      </c>
      <c r="E968" s="3017">
        <f t="shared" si="15"/>
        <v>180.45000000000002</v>
      </c>
    </row>
    <row r="969" spans="1:5" ht="19.95" customHeight="1">
      <c r="A969" s="3020"/>
      <c r="B969" s="3015" t="str">
        <f>[2]分摊!B971</f>
        <v>67#01工具间</v>
      </c>
      <c r="C969" s="3017">
        <f>[2]分摊!C971</f>
        <v>129.52000000000001</v>
      </c>
      <c r="D969" s="3018">
        <f>[2]分摊!H971</f>
        <v>0.69</v>
      </c>
      <c r="E969" s="3017">
        <f t="shared" si="15"/>
        <v>130.21</v>
      </c>
    </row>
    <row r="970" spans="1:5" ht="19.95" customHeight="1">
      <c r="A970" s="3020"/>
      <c r="B970" s="3015" t="str">
        <f>[2]分摊!B972</f>
        <v>67#02工具间</v>
      </c>
      <c r="C970" s="3017">
        <f>[2]分摊!C972</f>
        <v>129.52000000000001</v>
      </c>
      <c r="D970" s="3018">
        <f>[2]分摊!H972</f>
        <v>0.69</v>
      </c>
      <c r="E970" s="3017">
        <f t="shared" si="15"/>
        <v>130.21</v>
      </c>
    </row>
    <row r="971" spans="1:5" ht="19.95" customHeight="1">
      <c r="A971" s="3020"/>
      <c r="B971" s="3015" t="str">
        <f>[2]分摊!B973</f>
        <v>68#01工具间</v>
      </c>
      <c r="C971" s="3017">
        <f>[2]分摊!C973</f>
        <v>129.52000000000001</v>
      </c>
      <c r="D971" s="3018">
        <f>[2]分摊!H973</f>
        <v>0.69</v>
      </c>
      <c r="E971" s="3017">
        <f t="shared" si="15"/>
        <v>130.21</v>
      </c>
    </row>
    <row r="972" spans="1:5" ht="19.95" customHeight="1">
      <c r="A972" s="3020"/>
      <c r="B972" s="3015" t="str">
        <f>[2]分摊!B974</f>
        <v>68#02工具间</v>
      </c>
      <c r="C972" s="3017">
        <f>[2]分摊!C974</f>
        <v>129.52000000000001</v>
      </c>
      <c r="D972" s="3018">
        <f>[2]分摊!H974</f>
        <v>0.69</v>
      </c>
      <c r="E972" s="3017">
        <f t="shared" si="15"/>
        <v>130.21</v>
      </c>
    </row>
    <row r="973" spans="1:5" ht="19.95" customHeight="1">
      <c r="A973" s="3020"/>
      <c r="B973" s="3015" t="str">
        <f>[2]分摊!B975</f>
        <v>69#01工具间</v>
      </c>
      <c r="C973" s="3017">
        <f>[2]分摊!C975</f>
        <v>129.52000000000001</v>
      </c>
      <c r="D973" s="3018">
        <f>[2]分摊!H975</f>
        <v>0.69</v>
      </c>
      <c r="E973" s="3017">
        <f t="shared" si="15"/>
        <v>130.21</v>
      </c>
    </row>
    <row r="974" spans="1:5" ht="19.95" customHeight="1">
      <c r="A974" s="3020"/>
      <c r="B974" s="3015" t="str">
        <f>[2]分摊!B976</f>
        <v>69#02工具间</v>
      </c>
      <c r="C974" s="3017">
        <f>[2]分摊!C976</f>
        <v>129.52000000000001</v>
      </c>
      <c r="D974" s="3018">
        <f>[2]分摊!H976</f>
        <v>0.69</v>
      </c>
      <c r="E974" s="3017">
        <f t="shared" si="15"/>
        <v>130.21</v>
      </c>
    </row>
    <row r="975" spans="1:5" ht="19.95" customHeight="1">
      <c r="A975" s="3020"/>
      <c r="B975" s="3015" t="str">
        <f>[2]分摊!B977</f>
        <v>70#01工具间</v>
      </c>
      <c r="C975" s="3017">
        <f>[2]分摊!C977</f>
        <v>129.52000000000001</v>
      </c>
      <c r="D975" s="3018">
        <f>[2]分摊!H977</f>
        <v>0.69</v>
      </c>
      <c r="E975" s="3017">
        <f t="shared" si="15"/>
        <v>130.21</v>
      </c>
    </row>
    <row r="976" spans="1:5" ht="19.95" customHeight="1">
      <c r="A976" s="3020"/>
      <c r="B976" s="3015" t="str">
        <f>[2]分摊!B978</f>
        <v>70#02工具间</v>
      </c>
      <c r="C976" s="3017">
        <f>[2]分摊!C978</f>
        <v>138.32</v>
      </c>
      <c r="D976" s="3018">
        <f>[2]分摊!H978</f>
        <v>0.74</v>
      </c>
      <c r="E976" s="3017">
        <f t="shared" si="15"/>
        <v>139.06</v>
      </c>
    </row>
    <row r="977" spans="1:5" ht="19.95" customHeight="1">
      <c r="A977" s="3020"/>
      <c r="B977" s="3015" t="str">
        <f>[2]分摊!B979</f>
        <v>71#01工具间</v>
      </c>
      <c r="C977" s="3017">
        <f>[2]分摊!C979</f>
        <v>129.52000000000001</v>
      </c>
      <c r="D977" s="3018">
        <f>[2]分摊!H979</f>
        <v>0.69</v>
      </c>
      <c r="E977" s="3017">
        <f t="shared" si="15"/>
        <v>130.21</v>
      </c>
    </row>
    <row r="978" spans="1:5" ht="19.95" customHeight="1">
      <c r="A978" s="3020"/>
      <c r="B978" s="3015" t="str">
        <f>[2]分摊!B980</f>
        <v>71#02工具间</v>
      </c>
      <c r="C978" s="3017">
        <f>[2]分摊!C980</f>
        <v>129.52000000000001</v>
      </c>
      <c r="D978" s="3018">
        <f>[2]分摊!H980</f>
        <v>0.69</v>
      </c>
      <c r="E978" s="3017">
        <f t="shared" si="15"/>
        <v>130.21</v>
      </c>
    </row>
    <row r="979" spans="1:5" ht="19.95" customHeight="1">
      <c r="A979" s="3020"/>
      <c r="B979" s="3015" t="str">
        <f>[2]分摊!B981</f>
        <v>72#01工具间</v>
      </c>
      <c r="C979" s="3017">
        <f>[2]分摊!C981</f>
        <v>129.52000000000001</v>
      </c>
      <c r="D979" s="3018">
        <f>[2]分摊!H981</f>
        <v>0.69</v>
      </c>
      <c r="E979" s="3017">
        <f t="shared" si="15"/>
        <v>130.21</v>
      </c>
    </row>
    <row r="980" spans="1:5" ht="19.95" customHeight="1">
      <c r="A980" s="3020"/>
      <c r="B980" s="3015" t="str">
        <f>[2]分摊!B982</f>
        <v>72#02工具间</v>
      </c>
      <c r="C980" s="3017">
        <f>[2]分摊!C982</f>
        <v>129.52000000000001</v>
      </c>
      <c r="D980" s="3018">
        <f>[2]分摊!H982</f>
        <v>0.69</v>
      </c>
      <c r="E980" s="3017">
        <f t="shared" si="15"/>
        <v>130.21</v>
      </c>
    </row>
    <row r="981" spans="1:5" ht="19.95" customHeight="1">
      <c r="A981" s="3020"/>
      <c r="B981" s="3015" t="str">
        <f>[2]分摊!B983</f>
        <v>73#01工具间</v>
      </c>
      <c r="C981" s="3017">
        <f>[2]分摊!C983</f>
        <v>129.52000000000001</v>
      </c>
      <c r="D981" s="3018">
        <f>[2]分摊!H983</f>
        <v>0.69</v>
      </c>
      <c r="E981" s="3017">
        <f t="shared" si="15"/>
        <v>130.21</v>
      </c>
    </row>
    <row r="982" spans="1:5" ht="19.95" customHeight="1">
      <c r="A982" s="3020"/>
      <c r="B982" s="3015" t="str">
        <f>[2]分摊!B984</f>
        <v>73#02工具间</v>
      </c>
      <c r="C982" s="3017">
        <f>[2]分摊!C984</f>
        <v>129.52000000000001</v>
      </c>
      <c r="D982" s="3018">
        <f>[2]分摊!H984</f>
        <v>0.69</v>
      </c>
      <c r="E982" s="3017">
        <f t="shared" si="15"/>
        <v>130.21</v>
      </c>
    </row>
    <row r="983" spans="1:5" ht="19.95" customHeight="1">
      <c r="A983" s="3020"/>
      <c r="B983" s="3015" t="str">
        <f>[2]分摊!B985</f>
        <v>75#01工具间</v>
      </c>
      <c r="C983" s="3017">
        <f>[2]分摊!C985</f>
        <v>129.52000000000001</v>
      </c>
      <c r="D983" s="3018">
        <f>[2]分摊!H985</f>
        <v>0.69</v>
      </c>
      <c r="E983" s="3017">
        <f t="shared" si="15"/>
        <v>130.21</v>
      </c>
    </row>
    <row r="984" spans="1:5" ht="19.95" customHeight="1">
      <c r="A984" s="3020"/>
      <c r="B984" s="3015" t="str">
        <f>[2]分摊!B986</f>
        <v>75#02工具间</v>
      </c>
      <c r="C984" s="3017">
        <f>[2]分摊!C986</f>
        <v>129.52000000000001</v>
      </c>
      <c r="D984" s="3018">
        <f>[2]分摊!H986</f>
        <v>0.69</v>
      </c>
      <c r="E984" s="3017">
        <f t="shared" si="15"/>
        <v>130.21</v>
      </c>
    </row>
    <row r="985" spans="1:5" ht="19.95" customHeight="1">
      <c r="A985" s="3020"/>
      <c r="B985" s="3015" t="str">
        <f>[2]分摊!B987</f>
        <v>76#01工具间</v>
      </c>
      <c r="C985" s="3017">
        <f>[2]分摊!C987</f>
        <v>153.12</v>
      </c>
      <c r="D985" s="3018">
        <f>[2]分摊!H987</f>
        <v>0.82</v>
      </c>
      <c r="E985" s="3017">
        <f t="shared" si="15"/>
        <v>153.94</v>
      </c>
    </row>
    <row r="986" spans="1:5" ht="19.95" customHeight="1">
      <c r="A986" s="3020"/>
      <c r="B986" s="3015" t="str">
        <f>[2]分摊!B988</f>
        <v>76#02工具间</v>
      </c>
      <c r="C986" s="3017">
        <f>[2]分摊!C988</f>
        <v>128.81</v>
      </c>
      <c r="D986" s="3018">
        <f>[2]分摊!H988</f>
        <v>0.69</v>
      </c>
      <c r="E986" s="3017">
        <f t="shared" si="15"/>
        <v>129.5</v>
      </c>
    </row>
    <row r="987" spans="1:5" ht="19.95" customHeight="1">
      <c r="A987" s="3020"/>
      <c r="B987" s="3015" t="str">
        <f>[2]分摊!B989</f>
        <v>76#03工具间</v>
      </c>
      <c r="C987" s="3017">
        <f>[2]分摊!C989</f>
        <v>128.81</v>
      </c>
      <c r="D987" s="3018">
        <f>[2]分摊!H989</f>
        <v>0.69</v>
      </c>
      <c r="E987" s="3017">
        <f t="shared" si="15"/>
        <v>129.5</v>
      </c>
    </row>
    <row r="988" spans="1:5" ht="19.95" customHeight="1">
      <c r="A988" s="3020"/>
      <c r="B988" s="3015" t="str">
        <f>[2]分摊!B990</f>
        <v>76#05工具间</v>
      </c>
      <c r="C988" s="3017">
        <f>[2]分摊!C990</f>
        <v>128.81</v>
      </c>
      <c r="D988" s="3018">
        <f>[2]分摊!H990</f>
        <v>0.69</v>
      </c>
      <c r="E988" s="3017">
        <f t="shared" si="15"/>
        <v>129.5</v>
      </c>
    </row>
    <row r="989" spans="1:5" ht="19.95" customHeight="1">
      <c r="A989" s="3020"/>
      <c r="B989" s="3015" t="str">
        <f>[2]分摊!B991</f>
        <v>76#06工具间</v>
      </c>
      <c r="C989" s="3017">
        <f>[2]分摊!C991</f>
        <v>193.07</v>
      </c>
      <c r="D989" s="3018">
        <f>[2]分摊!H991</f>
        <v>1.03</v>
      </c>
      <c r="E989" s="3017">
        <f t="shared" si="15"/>
        <v>194.1</v>
      </c>
    </row>
    <row r="990" spans="1:5" ht="19.95" customHeight="1">
      <c r="A990" s="3020"/>
      <c r="B990" s="3015" t="str">
        <f>[2]分摊!B992</f>
        <v>77#01工具间</v>
      </c>
      <c r="C990" s="3017">
        <f>[2]分摊!C992</f>
        <v>149.08000000000001</v>
      </c>
      <c r="D990" s="3018">
        <f>[2]分摊!H992</f>
        <v>0.8</v>
      </c>
      <c r="E990" s="3017">
        <f t="shared" si="15"/>
        <v>149.88000000000002</v>
      </c>
    </row>
    <row r="991" spans="1:5" ht="19.95" customHeight="1">
      <c r="A991" s="3020"/>
      <c r="B991" s="3015" t="str">
        <f>[2]分摊!B993</f>
        <v>77#02工具间</v>
      </c>
      <c r="C991" s="3017">
        <f>[2]分摊!C993</f>
        <v>128.81</v>
      </c>
      <c r="D991" s="3018">
        <f>[2]分摊!H993</f>
        <v>0.69</v>
      </c>
      <c r="E991" s="3017">
        <f t="shared" si="15"/>
        <v>129.5</v>
      </c>
    </row>
    <row r="992" spans="1:5" ht="19.95" customHeight="1">
      <c r="A992" s="3020"/>
      <c r="B992" s="3015" t="str">
        <f>[2]分摊!B994</f>
        <v>77#03工具间</v>
      </c>
      <c r="C992" s="3017">
        <f>[2]分摊!C994</f>
        <v>128.81</v>
      </c>
      <c r="D992" s="3018">
        <f>[2]分摊!H994</f>
        <v>0.69</v>
      </c>
      <c r="E992" s="3017">
        <f t="shared" si="15"/>
        <v>129.5</v>
      </c>
    </row>
    <row r="993" spans="1:5" ht="19.95" customHeight="1">
      <c r="A993" s="3020"/>
      <c r="B993" s="3015" t="str">
        <f>[2]分摊!B995</f>
        <v>77#05工具间</v>
      </c>
      <c r="C993" s="3017">
        <f>[2]分摊!C995</f>
        <v>128.81</v>
      </c>
      <c r="D993" s="3018">
        <f>[2]分摊!H995</f>
        <v>0.69</v>
      </c>
      <c r="E993" s="3017">
        <f t="shared" si="15"/>
        <v>129.5</v>
      </c>
    </row>
    <row r="994" spans="1:5" ht="19.95" customHeight="1">
      <c r="A994" s="3020"/>
      <c r="B994" s="3015" t="str">
        <f>[2]分摊!B996</f>
        <v>77#06工具间</v>
      </c>
      <c r="C994" s="3017">
        <f>[2]分摊!C996</f>
        <v>175.9</v>
      </c>
      <c r="D994" s="3018">
        <f>[2]分摊!H996</f>
        <v>0.94</v>
      </c>
      <c r="E994" s="3017">
        <f t="shared" si="15"/>
        <v>176.84</v>
      </c>
    </row>
    <row r="995" spans="1:5" ht="19.95" customHeight="1">
      <c r="A995" s="3020"/>
      <c r="B995" s="3015" t="str">
        <f>[2]分摊!B997</f>
        <v>78A#01工具间</v>
      </c>
      <c r="C995" s="3017">
        <f>[2]分摊!C997</f>
        <v>118.92</v>
      </c>
      <c r="D995" s="3018">
        <f>[2]分摊!H997</f>
        <v>0.64</v>
      </c>
      <c r="E995" s="3017">
        <f t="shared" si="15"/>
        <v>119.56</v>
      </c>
    </row>
    <row r="996" spans="1:5" ht="19.95" customHeight="1">
      <c r="A996" s="3020"/>
      <c r="B996" s="3015" t="str">
        <f>[2]分摊!B998</f>
        <v>78A #02工具间</v>
      </c>
      <c r="C996" s="3017">
        <f>[2]分摊!C998</f>
        <v>79.56</v>
      </c>
      <c r="D996" s="3018">
        <f>[2]分摊!H998</f>
        <v>0.43</v>
      </c>
      <c r="E996" s="3017">
        <f t="shared" si="15"/>
        <v>79.990000000000009</v>
      </c>
    </row>
    <row r="997" spans="1:5" ht="19.95" customHeight="1">
      <c r="A997" s="3020"/>
      <c r="B997" s="3015" t="str">
        <f>[2]分摊!B999</f>
        <v>78A #03工具间</v>
      </c>
      <c r="C997" s="3017">
        <f>[2]分摊!C999</f>
        <v>79.56</v>
      </c>
      <c r="D997" s="3018">
        <f>[2]分摊!H999</f>
        <v>0.43</v>
      </c>
      <c r="E997" s="3017">
        <f t="shared" si="15"/>
        <v>79.990000000000009</v>
      </c>
    </row>
    <row r="998" spans="1:5" ht="19.95" customHeight="1">
      <c r="A998" s="3020"/>
      <c r="B998" s="3015" t="str">
        <f>[2]分摊!B1000</f>
        <v>78A #05工具间</v>
      </c>
      <c r="C998" s="3017">
        <f>[2]分摊!C1000</f>
        <v>79.56</v>
      </c>
      <c r="D998" s="3018">
        <f>[2]分摊!H1000</f>
        <v>0.43</v>
      </c>
      <c r="E998" s="3017">
        <f t="shared" si="15"/>
        <v>79.990000000000009</v>
      </c>
    </row>
    <row r="999" spans="1:5" ht="19.95" customHeight="1">
      <c r="A999" s="3020"/>
      <c r="B999" s="3015" t="str">
        <f>[2]分摊!B1001</f>
        <v>78A #06工具间</v>
      </c>
      <c r="C999" s="3017">
        <f>[2]分摊!C1001</f>
        <v>120.36</v>
      </c>
      <c r="D999" s="3018">
        <f>[2]分摊!H1001</f>
        <v>0.64</v>
      </c>
      <c r="E999" s="3017">
        <f t="shared" si="15"/>
        <v>121</v>
      </c>
    </row>
    <row r="1000" spans="1:5" ht="19.95" customHeight="1">
      <c r="A1000" s="3020"/>
      <c r="B1000" s="3015" t="str">
        <f>[2]分摊!B1002</f>
        <v>78B#01工具间</v>
      </c>
      <c r="C1000" s="3017">
        <f>[2]分摊!C1002</f>
        <v>115.37</v>
      </c>
      <c r="D1000" s="3018">
        <f>[2]分摊!H1002</f>
        <v>0.62</v>
      </c>
      <c r="E1000" s="3017">
        <f t="shared" si="15"/>
        <v>115.99000000000001</v>
      </c>
    </row>
    <row r="1001" spans="1:5" ht="19.95" customHeight="1">
      <c r="A1001" s="3020"/>
      <c r="B1001" s="3015" t="str">
        <f>[2]分摊!B1003</f>
        <v>78B #02工具间</v>
      </c>
      <c r="C1001" s="3017">
        <f>[2]分摊!C1003</f>
        <v>79.56</v>
      </c>
      <c r="D1001" s="3018">
        <f>[2]分摊!H1003</f>
        <v>0.43</v>
      </c>
      <c r="E1001" s="3017">
        <f t="shared" si="15"/>
        <v>79.990000000000009</v>
      </c>
    </row>
    <row r="1002" spans="1:5" ht="19.95" customHeight="1">
      <c r="A1002" s="3020"/>
      <c r="B1002" s="3015" t="str">
        <f>[2]分摊!B1004</f>
        <v>78B #03工具间</v>
      </c>
      <c r="C1002" s="3017">
        <f>[2]分摊!C1004</f>
        <v>79.56</v>
      </c>
      <c r="D1002" s="3018">
        <f>[2]分摊!H1004</f>
        <v>0.43</v>
      </c>
      <c r="E1002" s="3017">
        <f t="shared" si="15"/>
        <v>79.990000000000009</v>
      </c>
    </row>
    <row r="1003" spans="1:5" ht="19.95" customHeight="1">
      <c r="A1003" s="3020"/>
      <c r="B1003" s="3015" t="str">
        <f>[2]分摊!B1005</f>
        <v>78B #05工具间</v>
      </c>
      <c r="C1003" s="3017">
        <f>[2]分摊!C1005</f>
        <v>79.56</v>
      </c>
      <c r="D1003" s="3018">
        <f>[2]分摊!H1005</f>
        <v>0.43</v>
      </c>
      <c r="E1003" s="3017">
        <f t="shared" si="15"/>
        <v>79.990000000000009</v>
      </c>
    </row>
    <row r="1004" spans="1:5" ht="19.95" customHeight="1">
      <c r="A1004" s="3020"/>
      <c r="B1004" s="3015" t="str">
        <f>[2]分摊!B1006</f>
        <v>78B #06工具间</v>
      </c>
      <c r="C1004" s="3017">
        <f>[2]分摊!C1006</f>
        <v>116.66</v>
      </c>
      <c r="D1004" s="3018">
        <f>[2]分摊!H1006</f>
        <v>0.63</v>
      </c>
      <c r="E1004" s="3017">
        <f t="shared" si="15"/>
        <v>117.28999999999999</v>
      </c>
    </row>
    <row r="1005" spans="1:5" ht="19.95" customHeight="1">
      <c r="A1005" s="3020"/>
      <c r="B1005" s="3015" t="str">
        <f>[2]分摊!B1007</f>
        <v>78C#01工具间</v>
      </c>
      <c r="C1005" s="3017">
        <f>[2]分摊!C1007</f>
        <v>118.92</v>
      </c>
      <c r="D1005" s="3018">
        <f>[2]分摊!H1007</f>
        <v>0.64</v>
      </c>
      <c r="E1005" s="3017">
        <f t="shared" si="15"/>
        <v>119.56</v>
      </c>
    </row>
    <row r="1006" spans="1:5" ht="19.95" customHeight="1">
      <c r="A1006" s="3020"/>
      <c r="B1006" s="3015" t="str">
        <f>[2]分摊!B1008</f>
        <v>78C #02工具间</v>
      </c>
      <c r="C1006" s="3017">
        <f>[2]分摊!C1008</f>
        <v>79.56</v>
      </c>
      <c r="D1006" s="3018">
        <f>[2]分摊!H1008</f>
        <v>0.43</v>
      </c>
      <c r="E1006" s="3017">
        <f t="shared" si="15"/>
        <v>79.990000000000009</v>
      </c>
    </row>
    <row r="1007" spans="1:5" ht="19.95" customHeight="1">
      <c r="A1007" s="3020"/>
      <c r="B1007" s="3015" t="str">
        <f>[2]分摊!B1009</f>
        <v>78C #03工具间</v>
      </c>
      <c r="C1007" s="3017">
        <f>[2]分摊!C1009</f>
        <v>79.56</v>
      </c>
      <c r="D1007" s="3018">
        <f>[2]分摊!H1009</f>
        <v>0.43</v>
      </c>
      <c r="E1007" s="3017">
        <f t="shared" si="15"/>
        <v>79.990000000000009</v>
      </c>
    </row>
    <row r="1008" spans="1:5" ht="19.95" customHeight="1">
      <c r="A1008" s="3020"/>
      <c r="B1008" s="3015" t="str">
        <f>[2]分摊!B1010</f>
        <v>78C #05工具间</v>
      </c>
      <c r="C1008" s="3017">
        <f>[2]分摊!C1010</f>
        <v>79.56</v>
      </c>
      <c r="D1008" s="3018">
        <f>[2]分摊!H1010</f>
        <v>0.43</v>
      </c>
      <c r="E1008" s="3017">
        <f t="shared" si="15"/>
        <v>79.990000000000009</v>
      </c>
    </row>
    <row r="1009" spans="1:5" ht="19.95" customHeight="1">
      <c r="A1009" s="3020"/>
      <c r="B1009" s="3015" t="str">
        <f>[2]分摊!B1011</f>
        <v>78C #06工具间</v>
      </c>
      <c r="C1009" s="3017">
        <f>[2]分摊!C1011</f>
        <v>120.36</v>
      </c>
      <c r="D1009" s="3018">
        <f>[2]分摊!H1011</f>
        <v>0.64</v>
      </c>
      <c r="E1009" s="3017">
        <f t="shared" si="15"/>
        <v>121</v>
      </c>
    </row>
    <row r="1010" spans="1:5" ht="19.95" customHeight="1">
      <c r="A1010" s="3020"/>
      <c r="B1010" s="3015" t="str">
        <f>[2]分摊!B1012</f>
        <v>78D#01工具间</v>
      </c>
      <c r="C1010" s="3017">
        <f>[2]分摊!C1012</f>
        <v>126.98</v>
      </c>
      <c r="D1010" s="3018">
        <f>[2]分摊!H1012</f>
        <v>0.68</v>
      </c>
      <c r="E1010" s="3017">
        <f t="shared" si="15"/>
        <v>127.66000000000001</v>
      </c>
    </row>
    <row r="1011" spans="1:5" ht="19.95" customHeight="1">
      <c r="A1011" s="3020"/>
      <c r="B1011" s="3015" t="str">
        <f>[2]分摊!B1013</f>
        <v>78D #02工具间</v>
      </c>
      <c r="C1011" s="3017">
        <f>[2]分摊!C1013</f>
        <v>79.56</v>
      </c>
      <c r="D1011" s="3018">
        <f>[2]分摊!H1013</f>
        <v>0.43</v>
      </c>
      <c r="E1011" s="3017">
        <f t="shared" si="15"/>
        <v>79.990000000000009</v>
      </c>
    </row>
    <row r="1012" spans="1:5" ht="19.95" customHeight="1">
      <c r="A1012" s="3020"/>
      <c r="B1012" s="3015" t="str">
        <f>[2]分摊!B1014</f>
        <v>78D #03工具间</v>
      </c>
      <c r="C1012" s="3017">
        <f>[2]分摊!C1014</f>
        <v>79.56</v>
      </c>
      <c r="D1012" s="3018">
        <f>[2]分摊!H1014</f>
        <v>0.43</v>
      </c>
      <c r="E1012" s="3017">
        <f t="shared" si="15"/>
        <v>79.990000000000009</v>
      </c>
    </row>
    <row r="1013" spans="1:5" ht="19.95" customHeight="1">
      <c r="A1013" s="3020"/>
      <c r="B1013" s="3015" t="str">
        <f>[2]分摊!B1015</f>
        <v>78D #05工具间</v>
      </c>
      <c r="C1013" s="3017">
        <f>[2]分摊!C1015</f>
        <v>79.56</v>
      </c>
      <c r="D1013" s="3018">
        <f>[2]分摊!H1015</f>
        <v>0.43</v>
      </c>
      <c r="E1013" s="3017">
        <f t="shared" si="15"/>
        <v>79.990000000000009</v>
      </c>
    </row>
    <row r="1014" spans="1:5" ht="19.95" customHeight="1">
      <c r="A1014" s="3020"/>
      <c r="B1014" s="3015" t="str">
        <f>[2]分摊!B1016</f>
        <v>78D #06工具间</v>
      </c>
      <c r="C1014" s="3017">
        <f>[2]分摊!C1016</f>
        <v>79.56</v>
      </c>
      <c r="D1014" s="3018">
        <f>[2]分摊!H1016</f>
        <v>0.43</v>
      </c>
      <c r="E1014" s="3017">
        <f t="shared" si="15"/>
        <v>79.990000000000009</v>
      </c>
    </row>
    <row r="1015" spans="1:5" ht="19.95" customHeight="1">
      <c r="A1015" s="3020"/>
      <c r="B1015" s="3015" t="str">
        <f>[2]分摊!B1017</f>
        <v>78D #07工具间</v>
      </c>
      <c r="C1015" s="3017">
        <f>[2]分摊!C1017</f>
        <v>79.56</v>
      </c>
      <c r="D1015" s="3018">
        <f>[2]分摊!H1017</f>
        <v>0.43</v>
      </c>
      <c r="E1015" s="3017">
        <f t="shared" si="15"/>
        <v>79.990000000000009</v>
      </c>
    </row>
    <row r="1016" spans="1:5" ht="19.95" customHeight="1">
      <c r="A1016" s="3020"/>
      <c r="B1016" s="3015" t="str">
        <f>[2]分摊!B1018</f>
        <v>78D #08工具间</v>
      </c>
      <c r="C1016" s="3017">
        <f>[2]分摊!C1018</f>
        <v>116.66</v>
      </c>
      <c r="D1016" s="3018">
        <f>[2]分摊!H1018</f>
        <v>0.63</v>
      </c>
      <c r="E1016" s="3017">
        <f t="shared" si="15"/>
        <v>117.28999999999999</v>
      </c>
    </row>
    <row r="1017" spans="1:5" ht="19.95" customHeight="1">
      <c r="A1017" s="3020"/>
      <c r="B1017" s="3015" t="str">
        <f>[2]分摊!B1019</f>
        <v>78E#01工具间</v>
      </c>
      <c r="C1017" s="3017">
        <f>[2]分摊!C1019</f>
        <v>118.92</v>
      </c>
      <c r="D1017" s="3018">
        <f>[2]分摊!H1019</f>
        <v>0.64</v>
      </c>
      <c r="E1017" s="3017">
        <f t="shared" si="15"/>
        <v>119.56</v>
      </c>
    </row>
    <row r="1018" spans="1:5" ht="19.95" customHeight="1">
      <c r="A1018" s="3020"/>
      <c r="B1018" s="3015" t="str">
        <f>[2]分摊!B1020</f>
        <v>78E #02工具间</v>
      </c>
      <c r="C1018" s="3017">
        <f>[2]分摊!C1020</f>
        <v>79.56</v>
      </c>
      <c r="D1018" s="3018">
        <f>[2]分摊!H1020</f>
        <v>0.43</v>
      </c>
      <c r="E1018" s="3017">
        <f t="shared" si="15"/>
        <v>79.990000000000009</v>
      </c>
    </row>
    <row r="1019" spans="1:5" ht="19.95" customHeight="1">
      <c r="A1019" s="3020"/>
      <c r="B1019" s="3015" t="str">
        <f>[2]分摊!B1021</f>
        <v>78E #03工具间</v>
      </c>
      <c r="C1019" s="3017">
        <f>[2]分摊!C1021</f>
        <v>79.56</v>
      </c>
      <c r="D1019" s="3018">
        <f>[2]分摊!H1021</f>
        <v>0.43</v>
      </c>
      <c r="E1019" s="3017">
        <f t="shared" si="15"/>
        <v>79.990000000000009</v>
      </c>
    </row>
    <row r="1020" spans="1:5" ht="19.95" customHeight="1">
      <c r="A1020" s="3020"/>
      <c r="B1020" s="3015" t="str">
        <f>[2]分摊!B1022</f>
        <v>78E #05工具间</v>
      </c>
      <c r="C1020" s="3017">
        <f>[2]分摊!C1022</f>
        <v>79.56</v>
      </c>
      <c r="D1020" s="3018">
        <f>[2]分摊!H1022</f>
        <v>0.43</v>
      </c>
      <c r="E1020" s="3017">
        <f t="shared" si="15"/>
        <v>79.990000000000009</v>
      </c>
    </row>
    <row r="1021" spans="1:5" ht="19.95" customHeight="1">
      <c r="A1021" s="3020"/>
      <c r="B1021" s="3015" t="str">
        <f>[2]分摊!B1023</f>
        <v>78E #06工具间</v>
      </c>
      <c r="C1021" s="3017">
        <f>[2]分摊!C1023</f>
        <v>79.56</v>
      </c>
      <c r="D1021" s="3018">
        <f>[2]分摊!H1023</f>
        <v>0.43</v>
      </c>
      <c r="E1021" s="3017">
        <f t="shared" si="15"/>
        <v>79.990000000000009</v>
      </c>
    </row>
    <row r="1022" spans="1:5" ht="19.95" customHeight="1">
      <c r="A1022" s="3020"/>
      <c r="B1022" s="3015" t="str">
        <f>[2]分摊!B1024</f>
        <v>78E #07工具间</v>
      </c>
      <c r="C1022" s="3017">
        <f>[2]分摊!C1024</f>
        <v>79.56</v>
      </c>
      <c r="D1022" s="3018">
        <f>[2]分摊!H1024</f>
        <v>0.43</v>
      </c>
      <c r="E1022" s="3017">
        <f t="shared" si="15"/>
        <v>79.990000000000009</v>
      </c>
    </row>
    <row r="1023" spans="1:5" ht="19.95" customHeight="1">
      <c r="A1023" s="3020"/>
      <c r="B1023" s="3015" t="str">
        <f>[2]分摊!B1025</f>
        <v>78E #08工具间</v>
      </c>
      <c r="C1023" s="3017">
        <f>[2]分摊!C1025</f>
        <v>120.36</v>
      </c>
      <c r="D1023" s="3018">
        <f>[2]分摊!H1025</f>
        <v>0.64</v>
      </c>
      <c r="E1023" s="3017">
        <f t="shared" si="15"/>
        <v>121</v>
      </c>
    </row>
    <row r="1024" spans="1:5" ht="19.95" customHeight="1">
      <c r="A1024" s="3020"/>
      <c r="B1024" s="3015" t="str">
        <f>[2]分摊!B1026</f>
        <v>78F#01工具间</v>
      </c>
      <c r="C1024" s="3017">
        <f>[2]分摊!C1026</f>
        <v>115.37</v>
      </c>
      <c r="D1024" s="3018">
        <f>[2]分摊!H1026</f>
        <v>0.62</v>
      </c>
      <c r="E1024" s="3017">
        <f t="shared" si="15"/>
        <v>115.99000000000001</v>
      </c>
    </row>
    <row r="1025" spans="1:5" ht="19.95" customHeight="1">
      <c r="A1025" s="3020"/>
      <c r="B1025" s="3015" t="str">
        <f>[2]分摊!B1027</f>
        <v>78F #02工具间</v>
      </c>
      <c r="C1025" s="3017">
        <f>[2]分摊!C1027</f>
        <v>79.56</v>
      </c>
      <c r="D1025" s="3018">
        <f>[2]分摊!H1027</f>
        <v>0.43</v>
      </c>
      <c r="E1025" s="3017">
        <f t="shared" si="15"/>
        <v>79.990000000000009</v>
      </c>
    </row>
    <row r="1026" spans="1:5" ht="19.95" customHeight="1">
      <c r="A1026" s="3020"/>
      <c r="B1026" s="3015" t="str">
        <f>[2]分摊!B1028</f>
        <v>78F #03工具间</v>
      </c>
      <c r="C1026" s="3017">
        <f>[2]分摊!C1028</f>
        <v>79.56</v>
      </c>
      <c r="D1026" s="3018">
        <f>[2]分摊!H1028</f>
        <v>0.43</v>
      </c>
      <c r="E1026" s="3017">
        <f t="shared" si="15"/>
        <v>79.990000000000009</v>
      </c>
    </row>
    <row r="1027" spans="1:5" ht="19.95" customHeight="1">
      <c r="A1027" s="3020"/>
      <c r="B1027" s="3015" t="str">
        <f>[2]分摊!B1029</f>
        <v>78F #05工具间</v>
      </c>
      <c r="C1027" s="3017">
        <f>[2]分摊!C1029</f>
        <v>114.94</v>
      </c>
      <c r="D1027" s="3018">
        <f>[2]分摊!H1029</f>
        <v>0.62</v>
      </c>
      <c r="E1027" s="3017">
        <f t="shared" si="15"/>
        <v>115.56</v>
      </c>
    </row>
    <row r="1028" spans="1:5" ht="19.95" customHeight="1">
      <c r="A1028" s="3020"/>
      <c r="B1028" s="3015" t="str">
        <f>[2]分摊!B1030</f>
        <v>78G#01工具间</v>
      </c>
      <c r="C1028" s="3017">
        <f>[2]分摊!C1030</f>
        <v>114.94</v>
      </c>
      <c r="D1028" s="3018">
        <f>[2]分摊!H1030</f>
        <v>0.62</v>
      </c>
      <c r="E1028" s="3017">
        <f t="shared" si="15"/>
        <v>115.56</v>
      </c>
    </row>
    <row r="1029" spans="1:5" ht="19.95" customHeight="1">
      <c r="A1029" s="3020"/>
      <c r="B1029" s="3015" t="str">
        <f>[2]分摊!B1031</f>
        <v>78G#02工具间</v>
      </c>
      <c r="C1029" s="3017">
        <f>[2]分摊!C1031</f>
        <v>79.56</v>
      </c>
      <c r="D1029" s="3018">
        <f>[2]分摊!H1031</f>
        <v>0.43</v>
      </c>
      <c r="E1029" s="3017">
        <f t="shared" ref="E1029:E1092" si="16">SUM(C1029:D1029)</f>
        <v>79.990000000000009</v>
      </c>
    </row>
    <row r="1030" spans="1:5" ht="19.95" customHeight="1">
      <c r="A1030" s="3020"/>
      <c r="B1030" s="3015" t="str">
        <f>[2]分摊!B1032</f>
        <v>78G#03工具间</v>
      </c>
      <c r="C1030" s="3017">
        <f>[2]分摊!C1032</f>
        <v>79.56</v>
      </c>
      <c r="D1030" s="3018">
        <f>[2]分摊!H1032</f>
        <v>0.43</v>
      </c>
      <c r="E1030" s="3017">
        <f t="shared" si="16"/>
        <v>79.990000000000009</v>
      </c>
    </row>
    <row r="1031" spans="1:5" ht="19.95" customHeight="1">
      <c r="A1031" s="3020"/>
      <c r="B1031" s="3015" t="str">
        <f>[2]分摊!B1033</f>
        <v>78G#05工具间</v>
      </c>
      <c r="C1031" s="3017">
        <f>[2]分摊!C1033</f>
        <v>79.56</v>
      </c>
      <c r="D1031" s="3018">
        <f>[2]分摊!H1033</f>
        <v>0.43</v>
      </c>
      <c r="E1031" s="3017">
        <f t="shared" si="16"/>
        <v>79.990000000000009</v>
      </c>
    </row>
    <row r="1032" spans="1:5" ht="19.95" customHeight="1">
      <c r="A1032" s="3020"/>
      <c r="B1032" s="3015" t="str">
        <f>[2]分摊!B1034</f>
        <v>78G#06工具间</v>
      </c>
      <c r="C1032" s="3017">
        <f>[2]分摊!C1034</f>
        <v>117.4</v>
      </c>
      <c r="D1032" s="3018">
        <f>[2]分摊!H1034</f>
        <v>0.63</v>
      </c>
      <c r="E1032" s="3017">
        <f t="shared" si="16"/>
        <v>118.03</v>
      </c>
    </row>
    <row r="1033" spans="1:5" ht="19.95" customHeight="1">
      <c r="A1033" s="3020"/>
      <c r="B1033" s="3015" t="str">
        <f>[2]分摊!B1035</f>
        <v>79A#01工具间</v>
      </c>
      <c r="C1033" s="3017">
        <f>[2]分摊!C1035</f>
        <v>116.66</v>
      </c>
      <c r="D1033" s="3018">
        <f>[2]分摊!H1035</f>
        <v>0.63</v>
      </c>
      <c r="E1033" s="3017">
        <f t="shared" si="16"/>
        <v>117.28999999999999</v>
      </c>
    </row>
    <row r="1034" spans="1:5" ht="19.95" customHeight="1">
      <c r="A1034" s="3020"/>
      <c r="B1034" s="3015" t="str">
        <f>[2]分摊!B1036</f>
        <v>79A #02工具间</v>
      </c>
      <c r="C1034" s="3017">
        <f>[2]分摊!C1036</f>
        <v>79.56</v>
      </c>
      <c r="D1034" s="3018">
        <f>[2]分摊!H1036</f>
        <v>0.43</v>
      </c>
      <c r="E1034" s="3017">
        <f t="shared" si="16"/>
        <v>79.990000000000009</v>
      </c>
    </row>
    <row r="1035" spans="1:5" ht="19.95" customHeight="1">
      <c r="A1035" s="3020"/>
      <c r="B1035" s="3015" t="str">
        <f>[2]分摊!B1037</f>
        <v>79A #03工具间</v>
      </c>
      <c r="C1035" s="3017">
        <f>[2]分摊!C1037</f>
        <v>79.56</v>
      </c>
      <c r="D1035" s="3018">
        <f>[2]分摊!H1037</f>
        <v>0.43</v>
      </c>
      <c r="E1035" s="3017">
        <f t="shared" si="16"/>
        <v>79.990000000000009</v>
      </c>
    </row>
    <row r="1036" spans="1:5" ht="19.95" customHeight="1">
      <c r="A1036" s="3020"/>
      <c r="B1036" s="3015" t="str">
        <f>[2]分摊!B1038</f>
        <v>79A #05工具间</v>
      </c>
      <c r="C1036" s="3017">
        <f>[2]分摊!C1038</f>
        <v>79.56</v>
      </c>
      <c r="D1036" s="3018">
        <f>[2]分摊!H1038</f>
        <v>0.43</v>
      </c>
      <c r="E1036" s="3017">
        <f t="shared" si="16"/>
        <v>79.990000000000009</v>
      </c>
    </row>
    <row r="1037" spans="1:5" ht="19.95" customHeight="1">
      <c r="A1037" s="3020"/>
      <c r="B1037" s="3015" t="str">
        <f>[2]分摊!B1039</f>
        <v>79A #06工具间</v>
      </c>
      <c r="C1037" s="3017">
        <f>[2]分摊!C1039</f>
        <v>79.56</v>
      </c>
      <c r="D1037" s="3018">
        <f>[2]分摊!H1039</f>
        <v>0.43</v>
      </c>
      <c r="E1037" s="3017">
        <f t="shared" si="16"/>
        <v>79.990000000000009</v>
      </c>
    </row>
    <row r="1038" spans="1:5" ht="19.95" customHeight="1">
      <c r="A1038" s="3020"/>
      <c r="B1038" s="3015" t="str">
        <f>[2]分摊!B1040</f>
        <v>79A #07工具间</v>
      </c>
      <c r="C1038" s="3017">
        <f>[2]分摊!C1040</f>
        <v>116.66</v>
      </c>
      <c r="D1038" s="3018">
        <f>[2]分摊!H1040</f>
        <v>0.63</v>
      </c>
      <c r="E1038" s="3017">
        <f t="shared" si="16"/>
        <v>117.28999999999999</v>
      </c>
    </row>
    <row r="1039" spans="1:5" ht="19.95" customHeight="1">
      <c r="A1039" s="3020"/>
      <c r="B1039" s="3015" t="str">
        <f>[2]分摊!B1041</f>
        <v>79B#01工具间</v>
      </c>
      <c r="C1039" s="3017">
        <f>[2]分摊!C1041</f>
        <v>120.36</v>
      </c>
      <c r="D1039" s="3018">
        <f>[2]分摊!H1041</f>
        <v>0.64</v>
      </c>
      <c r="E1039" s="3017">
        <f t="shared" si="16"/>
        <v>121</v>
      </c>
    </row>
    <row r="1040" spans="1:5" ht="19.95" customHeight="1">
      <c r="A1040" s="3020"/>
      <c r="B1040" s="3015" t="str">
        <f>[2]分摊!B1042</f>
        <v>79B #02工具间</v>
      </c>
      <c r="C1040" s="3017">
        <f>[2]分摊!C1042</f>
        <v>79.56</v>
      </c>
      <c r="D1040" s="3018">
        <f>[2]分摊!H1042</f>
        <v>0.43</v>
      </c>
      <c r="E1040" s="3017">
        <f t="shared" si="16"/>
        <v>79.990000000000009</v>
      </c>
    </row>
    <row r="1041" spans="1:5" ht="19.95" customHeight="1">
      <c r="A1041" s="3020"/>
      <c r="B1041" s="3015" t="str">
        <f>[2]分摊!B1043</f>
        <v>79B#03工具间</v>
      </c>
      <c r="C1041" s="3017">
        <f>[2]分摊!C1043</f>
        <v>79.56</v>
      </c>
      <c r="D1041" s="3018">
        <f>[2]分摊!H1043</f>
        <v>0.43</v>
      </c>
      <c r="E1041" s="3017">
        <f t="shared" si="16"/>
        <v>79.990000000000009</v>
      </c>
    </row>
    <row r="1042" spans="1:5" ht="19.95" customHeight="1">
      <c r="A1042" s="3020"/>
      <c r="B1042" s="3015" t="str">
        <f>[2]分摊!B1044</f>
        <v>79B #05工具间</v>
      </c>
      <c r="C1042" s="3017">
        <f>[2]分摊!C1044</f>
        <v>79.56</v>
      </c>
      <c r="D1042" s="3018">
        <f>[2]分摊!H1044</f>
        <v>0.43</v>
      </c>
      <c r="E1042" s="3017">
        <f t="shared" si="16"/>
        <v>79.990000000000009</v>
      </c>
    </row>
    <row r="1043" spans="1:5" ht="19.95" customHeight="1">
      <c r="A1043" s="3020"/>
      <c r="B1043" s="3015" t="str">
        <f>[2]分摊!B1045</f>
        <v>79B #06工具间</v>
      </c>
      <c r="C1043" s="3017">
        <f>[2]分摊!C1045</f>
        <v>79.56</v>
      </c>
      <c r="D1043" s="3018">
        <f>[2]分摊!H1045</f>
        <v>0.43</v>
      </c>
      <c r="E1043" s="3017">
        <f t="shared" si="16"/>
        <v>79.990000000000009</v>
      </c>
    </row>
    <row r="1044" spans="1:5" ht="19.95" customHeight="1">
      <c r="A1044" s="3020"/>
      <c r="B1044" s="3015" t="str">
        <f>[2]分摊!B1046</f>
        <v>79B #07工具间</v>
      </c>
      <c r="C1044" s="3017">
        <f>[2]分摊!C1046</f>
        <v>120.36</v>
      </c>
      <c r="D1044" s="3018">
        <f>[2]分摊!H1046</f>
        <v>0.64</v>
      </c>
      <c r="E1044" s="3017">
        <f t="shared" si="16"/>
        <v>121</v>
      </c>
    </row>
    <row r="1045" spans="1:5" ht="19.95" customHeight="1">
      <c r="A1045" s="3020"/>
      <c r="B1045" s="3015" t="str">
        <f>[2]分摊!B1047</f>
        <v>79C#01工具间</v>
      </c>
      <c r="C1045" s="3017">
        <f>[2]分摊!C1047</f>
        <v>117.4</v>
      </c>
      <c r="D1045" s="3018">
        <f>[2]分摊!H1047</f>
        <v>0.63</v>
      </c>
      <c r="E1045" s="3017">
        <f t="shared" si="16"/>
        <v>118.03</v>
      </c>
    </row>
    <row r="1046" spans="1:5" ht="19.95" customHeight="1">
      <c r="A1046" s="3020"/>
      <c r="B1046" s="3015" t="str">
        <f>[2]分摊!B1048</f>
        <v>79C #02工具间</v>
      </c>
      <c r="C1046" s="3017">
        <f>[2]分摊!C1048</f>
        <v>79.56</v>
      </c>
      <c r="D1046" s="3018">
        <f>[2]分摊!H1048</f>
        <v>0.43</v>
      </c>
      <c r="E1046" s="3017">
        <f t="shared" si="16"/>
        <v>79.990000000000009</v>
      </c>
    </row>
    <row r="1047" spans="1:5" ht="19.95" customHeight="1">
      <c r="A1047" s="3020"/>
      <c r="B1047" s="3015" t="str">
        <f>[2]分摊!B1049</f>
        <v>79C#03工具间</v>
      </c>
      <c r="C1047" s="3017">
        <f>[2]分摊!C1049</f>
        <v>79.56</v>
      </c>
      <c r="D1047" s="3018">
        <f>[2]分摊!H1049</f>
        <v>0.43</v>
      </c>
      <c r="E1047" s="3017">
        <f t="shared" si="16"/>
        <v>79.990000000000009</v>
      </c>
    </row>
    <row r="1048" spans="1:5" ht="19.95" customHeight="1">
      <c r="A1048" s="3020"/>
      <c r="B1048" s="3015" t="str">
        <f>[2]分摊!B1050</f>
        <v>79C #05工具间</v>
      </c>
      <c r="C1048" s="3017">
        <f>[2]分摊!C1050</f>
        <v>79.56</v>
      </c>
      <c r="D1048" s="3018">
        <f>[2]分摊!H1050</f>
        <v>0.43</v>
      </c>
      <c r="E1048" s="3017">
        <f t="shared" si="16"/>
        <v>79.990000000000009</v>
      </c>
    </row>
    <row r="1049" spans="1:5" ht="19.95" customHeight="1">
      <c r="A1049" s="3020"/>
      <c r="B1049" s="3015" t="str">
        <f>[2]分摊!B1051</f>
        <v>79C #06工具间</v>
      </c>
      <c r="C1049" s="3017">
        <f>[2]分摊!C1051</f>
        <v>79.56</v>
      </c>
      <c r="D1049" s="3018">
        <f>[2]分摊!H1051</f>
        <v>0.43</v>
      </c>
      <c r="E1049" s="3017">
        <f t="shared" si="16"/>
        <v>79.990000000000009</v>
      </c>
    </row>
    <row r="1050" spans="1:5" ht="19.95" customHeight="1">
      <c r="A1050" s="3020"/>
      <c r="B1050" s="3015" t="str">
        <f>[2]分摊!B1052</f>
        <v>79C #07工具间</v>
      </c>
      <c r="C1050" s="3017">
        <f>[2]分摊!C1052</f>
        <v>116.66</v>
      </c>
      <c r="D1050" s="3018">
        <f>[2]分摊!H1052</f>
        <v>0.63</v>
      </c>
      <c r="E1050" s="3017">
        <f t="shared" si="16"/>
        <v>117.28999999999999</v>
      </c>
    </row>
    <row r="1051" spans="1:5" ht="19.95" customHeight="1">
      <c r="A1051" s="3020"/>
      <c r="B1051" s="3015" t="str">
        <f>[2]分摊!B1053</f>
        <v>79D#01工具间</v>
      </c>
      <c r="C1051" s="3017">
        <f>[2]分摊!C1053</f>
        <v>120.36</v>
      </c>
      <c r="D1051" s="3018">
        <f>[2]分摊!H1053</f>
        <v>0.64</v>
      </c>
      <c r="E1051" s="3017">
        <f t="shared" si="16"/>
        <v>121</v>
      </c>
    </row>
    <row r="1052" spans="1:5" ht="19.95" customHeight="1">
      <c r="A1052" s="3020"/>
      <c r="B1052" s="3015" t="str">
        <f>[2]分摊!B1054</f>
        <v>79D #02工具间</v>
      </c>
      <c r="C1052" s="3017">
        <f>[2]分摊!C1054</f>
        <v>79.56</v>
      </c>
      <c r="D1052" s="3018">
        <f>[2]分摊!H1054</f>
        <v>0.43</v>
      </c>
      <c r="E1052" s="3017">
        <f t="shared" si="16"/>
        <v>79.990000000000009</v>
      </c>
    </row>
    <row r="1053" spans="1:5" ht="19.95" customHeight="1">
      <c r="A1053" s="3020"/>
      <c r="B1053" s="3015" t="str">
        <f>[2]分摊!B1055</f>
        <v>79D#03工具间</v>
      </c>
      <c r="C1053" s="3017">
        <f>[2]分摊!C1055</f>
        <v>79.56</v>
      </c>
      <c r="D1053" s="3018">
        <f>[2]分摊!H1055</f>
        <v>0.43</v>
      </c>
      <c r="E1053" s="3017">
        <f t="shared" si="16"/>
        <v>79.990000000000009</v>
      </c>
    </row>
    <row r="1054" spans="1:5" ht="19.95" customHeight="1">
      <c r="A1054" s="3020"/>
      <c r="B1054" s="3015" t="str">
        <f>[2]分摊!B1056</f>
        <v>79D #05工具间</v>
      </c>
      <c r="C1054" s="3017">
        <f>[2]分摊!C1056</f>
        <v>79.56</v>
      </c>
      <c r="D1054" s="3018">
        <f>[2]分摊!H1056</f>
        <v>0.43</v>
      </c>
      <c r="E1054" s="3017">
        <f t="shared" si="16"/>
        <v>79.990000000000009</v>
      </c>
    </row>
    <row r="1055" spans="1:5" ht="19.95" customHeight="1">
      <c r="A1055" s="3020"/>
      <c r="B1055" s="3015" t="str">
        <f>[2]分摊!B1057</f>
        <v>79D #06工具间</v>
      </c>
      <c r="C1055" s="3017">
        <f>[2]分摊!C1057</f>
        <v>79.56</v>
      </c>
      <c r="D1055" s="3018">
        <f>[2]分摊!H1057</f>
        <v>0.43</v>
      </c>
      <c r="E1055" s="3017">
        <f t="shared" si="16"/>
        <v>79.990000000000009</v>
      </c>
    </row>
    <row r="1056" spans="1:5" ht="19.95" customHeight="1">
      <c r="A1056" s="3020"/>
      <c r="B1056" s="3015" t="str">
        <f>[2]分摊!B1058</f>
        <v>79D #07工具间</v>
      </c>
      <c r="C1056" s="3017">
        <f>[2]分摊!C1058</f>
        <v>120.36</v>
      </c>
      <c r="D1056" s="3018">
        <f>[2]分摊!H1058</f>
        <v>0.64</v>
      </c>
      <c r="E1056" s="3017">
        <f t="shared" si="16"/>
        <v>121</v>
      </c>
    </row>
    <row r="1057" spans="1:5" ht="19.95" customHeight="1">
      <c r="A1057" s="3020"/>
      <c r="B1057" s="3015" t="str">
        <f>[2]分摊!B1059</f>
        <v>79E#01工具间</v>
      </c>
      <c r="C1057" s="3017">
        <f>[2]分摊!C1059</f>
        <v>116.66</v>
      </c>
      <c r="D1057" s="3018">
        <f>[2]分摊!H1059</f>
        <v>0.63</v>
      </c>
      <c r="E1057" s="3017">
        <f t="shared" si="16"/>
        <v>117.28999999999999</v>
      </c>
    </row>
    <row r="1058" spans="1:5" ht="19.95" customHeight="1">
      <c r="A1058" s="3020"/>
      <c r="B1058" s="3015" t="str">
        <f>[2]分摊!B1060</f>
        <v>79E #02工具间</v>
      </c>
      <c r="C1058" s="3017">
        <f>[2]分摊!C1060</f>
        <v>79.56</v>
      </c>
      <c r="D1058" s="3018">
        <f>[2]分摊!H1060</f>
        <v>0.43</v>
      </c>
      <c r="E1058" s="3017">
        <f t="shared" si="16"/>
        <v>79.990000000000009</v>
      </c>
    </row>
    <row r="1059" spans="1:5" ht="19.95" customHeight="1">
      <c r="A1059" s="3020"/>
      <c r="B1059" s="3015" t="str">
        <f>[2]分摊!B1061</f>
        <v>79E#03工具间</v>
      </c>
      <c r="C1059" s="3017">
        <f>[2]分摊!C1061</f>
        <v>79.56</v>
      </c>
      <c r="D1059" s="3018">
        <f>[2]分摊!H1061</f>
        <v>0.43</v>
      </c>
      <c r="E1059" s="3017">
        <f t="shared" si="16"/>
        <v>79.990000000000009</v>
      </c>
    </row>
    <row r="1060" spans="1:5" ht="19.95" customHeight="1">
      <c r="A1060" s="3020"/>
      <c r="B1060" s="3015" t="str">
        <f>[2]分摊!B1062</f>
        <v>79E #05工具间</v>
      </c>
      <c r="C1060" s="3017">
        <f>[2]分摊!C1062</f>
        <v>79.56</v>
      </c>
      <c r="D1060" s="3018">
        <f>[2]分摊!H1062</f>
        <v>0.43</v>
      </c>
      <c r="E1060" s="3017">
        <f t="shared" si="16"/>
        <v>79.990000000000009</v>
      </c>
    </row>
    <row r="1061" spans="1:5" ht="19.95" customHeight="1">
      <c r="A1061" s="3020"/>
      <c r="B1061" s="3015" t="str">
        <f>[2]分摊!B1063</f>
        <v>79E #06工具间</v>
      </c>
      <c r="C1061" s="3017">
        <f>[2]分摊!C1063</f>
        <v>79.56</v>
      </c>
      <c r="D1061" s="3018">
        <f>[2]分摊!H1063</f>
        <v>0.43</v>
      </c>
      <c r="E1061" s="3017">
        <f t="shared" si="16"/>
        <v>79.990000000000009</v>
      </c>
    </row>
    <row r="1062" spans="1:5" ht="19.95" customHeight="1">
      <c r="A1062" s="3020"/>
      <c r="B1062" s="3015" t="str">
        <f>[2]分摊!B1064</f>
        <v>79E #07工具间</v>
      </c>
      <c r="C1062" s="3017">
        <f>[2]分摊!C1064</f>
        <v>116.66</v>
      </c>
      <c r="D1062" s="3018">
        <f>[2]分摊!H1064</f>
        <v>0.63</v>
      </c>
      <c r="E1062" s="3017">
        <f t="shared" si="16"/>
        <v>117.28999999999999</v>
      </c>
    </row>
    <row r="1063" spans="1:5" ht="19.95" customHeight="1">
      <c r="A1063" s="3020"/>
      <c r="B1063" s="3015" t="str">
        <f>[2]分摊!B1065</f>
        <v>79F#01工具间</v>
      </c>
      <c r="C1063" s="3017">
        <f>[2]分摊!C1065</f>
        <v>120.36</v>
      </c>
      <c r="D1063" s="3018">
        <f>[2]分摊!H1065</f>
        <v>0.64</v>
      </c>
      <c r="E1063" s="3017">
        <f t="shared" si="16"/>
        <v>121</v>
      </c>
    </row>
    <row r="1064" spans="1:5" ht="19.95" customHeight="1">
      <c r="A1064" s="3020"/>
      <c r="B1064" s="3015" t="str">
        <f>[2]分摊!B1066</f>
        <v>79F #02工具间</v>
      </c>
      <c r="C1064" s="3017">
        <f>[2]分摊!C1066</f>
        <v>79.56</v>
      </c>
      <c r="D1064" s="3018">
        <f>[2]分摊!H1066</f>
        <v>0.43</v>
      </c>
      <c r="E1064" s="3017">
        <f t="shared" si="16"/>
        <v>79.990000000000009</v>
      </c>
    </row>
    <row r="1065" spans="1:5" ht="19.95" customHeight="1">
      <c r="A1065" s="3020"/>
      <c r="B1065" s="3015" t="str">
        <f>[2]分摊!B1067</f>
        <v>79F#03工具间</v>
      </c>
      <c r="C1065" s="3017">
        <f>[2]分摊!C1067</f>
        <v>79.56</v>
      </c>
      <c r="D1065" s="3018">
        <f>[2]分摊!H1067</f>
        <v>0.43</v>
      </c>
      <c r="E1065" s="3017">
        <f t="shared" si="16"/>
        <v>79.990000000000009</v>
      </c>
    </row>
    <row r="1066" spans="1:5" ht="19.95" customHeight="1">
      <c r="A1066" s="3020"/>
      <c r="B1066" s="3015" t="str">
        <f>[2]分摊!B1068</f>
        <v>79F #05工具间</v>
      </c>
      <c r="C1066" s="3017">
        <f>[2]分摊!C1068</f>
        <v>79.56</v>
      </c>
      <c r="D1066" s="3018">
        <f>[2]分摊!H1068</f>
        <v>0.43</v>
      </c>
      <c r="E1066" s="3017">
        <f t="shared" si="16"/>
        <v>79.990000000000009</v>
      </c>
    </row>
    <row r="1067" spans="1:5" ht="19.95" customHeight="1">
      <c r="A1067" s="3020"/>
      <c r="B1067" s="3015" t="str">
        <f>[2]分摊!B1069</f>
        <v>79F #06工具间</v>
      </c>
      <c r="C1067" s="3017">
        <f>[2]分摊!C1069</f>
        <v>79.56</v>
      </c>
      <c r="D1067" s="3018">
        <f>[2]分摊!H1069</f>
        <v>0.43</v>
      </c>
      <c r="E1067" s="3017">
        <f t="shared" si="16"/>
        <v>79.990000000000009</v>
      </c>
    </row>
    <row r="1068" spans="1:5" ht="19.95" customHeight="1">
      <c r="A1068" s="3020"/>
      <c r="B1068" s="3015" t="str">
        <f>[2]分摊!B1070</f>
        <v>79F #07工具间</v>
      </c>
      <c r="C1068" s="3017">
        <f>[2]分摊!C1070</f>
        <v>120.36</v>
      </c>
      <c r="D1068" s="3018">
        <f>[2]分摊!H1070</f>
        <v>0.64</v>
      </c>
      <c r="E1068" s="3017">
        <f t="shared" si="16"/>
        <v>121</v>
      </c>
    </row>
    <row r="1069" spans="1:5" ht="19.95" customHeight="1">
      <c r="A1069" s="3020"/>
      <c r="B1069" s="3015" t="str">
        <f>[2]分摊!B1071</f>
        <v>80A#01工具间</v>
      </c>
      <c r="C1069" s="3017">
        <f>[2]分摊!C1071</f>
        <v>116.66</v>
      </c>
      <c r="D1069" s="3018">
        <f>[2]分摊!H1071</f>
        <v>0.63</v>
      </c>
      <c r="E1069" s="3017">
        <f t="shared" si="16"/>
        <v>117.28999999999999</v>
      </c>
    </row>
    <row r="1070" spans="1:5" ht="19.95" customHeight="1">
      <c r="A1070" s="3020"/>
      <c r="B1070" s="3015" t="str">
        <f>[2]分摊!B1072</f>
        <v>80A#02工具间</v>
      </c>
      <c r="C1070" s="3017">
        <f>[2]分摊!C1072</f>
        <v>79.56</v>
      </c>
      <c r="D1070" s="3018">
        <f>[2]分摊!H1072</f>
        <v>0.43</v>
      </c>
      <c r="E1070" s="3017">
        <f t="shared" si="16"/>
        <v>79.990000000000009</v>
      </c>
    </row>
    <row r="1071" spans="1:5" ht="19.95" customHeight="1">
      <c r="A1071" s="3020"/>
      <c r="B1071" s="3015" t="str">
        <f>[2]分摊!B1073</f>
        <v>80A#03工具间</v>
      </c>
      <c r="C1071" s="3017">
        <f>[2]分摊!C1073</f>
        <v>79.56</v>
      </c>
      <c r="D1071" s="3018">
        <f>[2]分摊!H1073</f>
        <v>0.43</v>
      </c>
      <c r="E1071" s="3017">
        <f t="shared" si="16"/>
        <v>79.990000000000009</v>
      </c>
    </row>
    <row r="1072" spans="1:5" ht="19.95" customHeight="1">
      <c r="A1072" s="3020"/>
      <c r="B1072" s="3015" t="str">
        <f>[2]分摊!B1074</f>
        <v>80A#05工具间</v>
      </c>
      <c r="C1072" s="3017">
        <f>[2]分摊!C1074</f>
        <v>79.56</v>
      </c>
      <c r="D1072" s="3018">
        <f>[2]分摊!H1074</f>
        <v>0.43</v>
      </c>
      <c r="E1072" s="3017">
        <f t="shared" si="16"/>
        <v>79.990000000000009</v>
      </c>
    </row>
    <row r="1073" spans="1:5" ht="19.95" customHeight="1">
      <c r="A1073" s="3020"/>
      <c r="B1073" s="3015" t="str">
        <f>[2]分摊!B1075</f>
        <v>80A#06工具间</v>
      </c>
      <c r="C1073" s="3017">
        <f>[2]分摊!C1075</f>
        <v>79.56</v>
      </c>
      <c r="D1073" s="3018">
        <f>[2]分摊!H1075</f>
        <v>0.43</v>
      </c>
      <c r="E1073" s="3017">
        <f t="shared" si="16"/>
        <v>79.990000000000009</v>
      </c>
    </row>
    <row r="1074" spans="1:5" ht="19.95" customHeight="1">
      <c r="A1074" s="3020"/>
      <c r="B1074" s="3015" t="str">
        <f>[2]分摊!B1076</f>
        <v>80A#07工具间</v>
      </c>
      <c r="C1074" s="3017">
        <f>[2]分摊!C1076</f>
        <v>116.66</v>
      </c>
      <c r="D1074" s="3018">
        <f>[2]分摊!H1076</f>
        <v>0.63</v>
      </c>
      <c r="E1074" s="3017">
        <f t="shared" si="16"/>
        <v>117.28999999999999</v>
      </c>
    </row>
    <row r="1075" spans="1:5" ht="19.95" customHeight="1">
      <c r="A1075" s="3020"/>
      <c r="B1075" s="3015" t="str">
        <f>[2]分摊!B1077</f>
        <v>80B#01工具间</v>
      </c>
      <c r="C1075" s="3017">
        <f>[2]分摊!C1077</f>
        <v>118.44</v>
      </c>
      <c r="D1075" s="3018">
        <f>[2]分摊!H1077</f>
        <v>0.63</v>
      </c>
      <c r="E1075" s="3017">
        <f t="shared" si="16"/>
        <v>119.07</v>
      </c>
    </row>
    <row r="1076" spans="1:5" ht="19.95" customHeight="1">
      <c r="A1076" s="3020"/>
      <c r="B1076" s="3015" t="str">
        <f>[2]分摊!B1078</f>
        <v>80B#02工具间</v>
      </c>
      <c r="C1076" s="3017">
        <f>[2]分摊!C1078</f>
        <v>79.56</v>
      </c>
      <c r="D1076" s="3018">
        <f>[2]分摊!H1078</f>
        <v>0.43</v>
      </c>
      <c r="E1076" s="3017">
        <f t="shared" si="16"/>
        <v>79.990000000000009</v>
      </c>
    </row>
    <row r="1077" spans="1:5" ht="19.95" customHeight="1">
      <c r="A1077" s="3020"/>
      <c r="B1077" s="3015" t="str">
        <f>[2]分摊!B1079</f>
        <v>80B#03工具间</v>
      </c>
      <c r="C1077" s="3017">
        <f>[2]分摊!C1079</f>
        <v>79.56</v>
      </c>
      <c r="D1077" s="3018">
        <f>[2]分摊!H1079</f>
        <v>0.43</v>
      </c>
      <c r="E1077" s="3017">
        <f t="shared" si="16"/>
        <v>79.990000000000009</v>
      </c>
    </row>
    <row r="1078" spans="1:5" ht="19.95" customHeight="1">
      <c r="A1078" s="3020"/>
      <c r="B1078" s="3015" t="str">
        <f>[2]分摊!B1080</f>
        <v>80B#05工具间</v>
      </c>
      <c r="C1078" s="3017">
        <f>[2]分摊!C1080</f>
        <v>79.56</v>
      </c>
      <c r="D1078" s="3018">
        <f>[2]分摊!H1080</f>
        <v>0.43</v>
      </c>
      <c r="E1078" s="3017">
        <f t="shared" si="16"/>
        <v>79.990000000000009</v>
      </c>
    </row>
    <row r="1079" spans="1:5" ht="19.95" customHeight="1">
      <c r="A1079" s="3020"/>
      <c r="B1079" s="3015" t="str">
        <f>[2]分摊!B1081</f>
        <v>80B#06工具间</v>
      </c>
      <c r="C1079" s="3017">
        <f>[2]分摊!C1081</f>
        <v>79.56</v>
      </c>
      <c r="D1079" s="3018">
        <f>[2]分摊!H1081</f>
        <v>0.43</v>
      </c>
      <c r="E1079" s="3017">
        <f t="shared" si="16"/>
        <v>79.990000000000009</v>
      </c>
    </row>
    <row r="1080" spans="1:5" ht="19.95" customHeight="1">
      <c r="A1080" s="3020"/>
      <c r="B1080" s="3015" t="str">
        <f>[2]分摊!B1082</f>
        <v>80B#07工具间</v>
      </c>
      <c r="C1080" s="3017">
        <f>[2]分摊!C1082</f>
        <v>121.32</v>
      </c>
      <c r="D1080" s="3018">
        <f>[2]分摊!H1082</f>
        <v>0.65</v>
      </c>
      <c r="E1080" s="3017">
        <f t="shared" si="16"/>
        <v>121.97</v>
      </c>
    </row>
    <row r="1081" spans="1:5" ht="19.95" customHeight="1">
      <c r="A1081" s="3020"/>
      <c r="B1081" s="3015" t="str">
        <f>[2]分摊!B1083</f>
        <v>80C#01工具间</v>
      </c>
      <c r="C1081" s="3017">
        <f>[2]分摊!C1083</f>
        <v>118.44</v>
      </c>
      <c r="D1081" s="3018">
        <f>[2]分摊!H1083</f>
        <v>0.63</v>
      </c>
      <c r="E1081" s="3017">
        <f t="shared" si="16"/>
        <v>119.07</v>
      </c>
    </row>
    <row r="1082" spans="1:5" ht="19.95" customHeight="1">
      <c r="A1082" s="3020"/>
      <c r="B1082" s="3015" t="str">
        <f>[2]分摊!B1084</f>
        <v>80C#02工具间</v>
      </c>
      <c r="C1082" s="3017">
        <f>[2]分摊!C1084</f>
        <v>79.56</v>
      </c>
      <c r="D1082" s="3018">
        <f>[2]分摊!H1084</f>
        <v>0.43</v>
      </c>
      <c r="E1082" s="3017">
        <f t="shared" si="16"/>
        <v>79.990000000000009</v>
      </c>
    </row>
    <row r="1083" spans="1:5" ht="19.95" customHeight="1">
      <c r="A1083" s="3020"/>
      <c r="B1083" s="3015" t="str">
        <f>[2]分摊!B1085</f>
        <v>80C#03工具间</v>
      </c>
      <c r="C1083" s="3017">
        <f>[2]分摊!C1085</f>
        <v>79.56</v>
      </c>
      <c r="D1083" s="3018">
        <f>[2]分摊!H1085</f>
        <v>0.43</v>
      </c>
      <c r="E1083" s="3017">
        <f t="shared" si="16"/>
        <v>79.990000000000009</v>
      </c>
    </row>
    <row r="1084" spans="1:5" ht="19.95" customHeight="1">
      <c r="A1084" s="3020"/>
      <c r="B1084" s="3015" t="str">
        <f>[2]分摊!B1086</f>
        <v>80C#05工具间</v>
      </c>
      <c r="C1084" s="3017">
        <f>[2]分摊!C1086</f>
        <v>79.56</v>
      </c>
      <c r="D1084" s="3018">
        <f>[2]分摊!H1086</f>
        <v>0.43</v>
      </c>
      <c r="E1084" s="3017">
        <f t="shared" si="16"/>
        <v>79.990000000000009</v>
      </c>
    </row>
    <row r="1085" spans="1:5" ht="19.95" customHeight="1">
      <c r="A1085" s="3020"/>
      <c r="B1085" s="3015" t="str">
        <f>[2]分摊!B1087</f>
        <v>80C#06工具间</v>
      </c>
      <c r="C1085" s="3017">
        <f>[2]分摊!C1087</f>
        <v>79.56</v>
      </c>
      <c r="D1085" s="3018">
        <f>[2]分摊!H1087</f>
        <v>0.43</v>
      </c>
      <c r="E1085" s="3017">
        <f t="shared" si="16"/>
        <v>79.990000000000009</v>
      </c>
    </row>
    <row r="1086" spans="1:5" ht="19.95" customHeight="1">
      <c r="A1086" s="3020"/>
      <c r="B1086" s="3015" t="str">
        <f>[2]分摊!B1088</f>
        <v>80C#07工具间</v>
      </c>
      <c r="C1086" s="3017">
        <f>[2]分摊!C1088</f>
        <v>118.44</v>
      </c>
      <c r="D1086" s="3018">
        <f>[2]分摊!H1088</f>
        <v>0.63</v>
      </c>
      <c r="E1086" s="3017">
        <f t="shared" si="16"/>
        <v>119.07</v>
      </c>
    </row>
    <row r="1087" spans="1:5" ht="19.95" customHeight="1">
      <c r="A1087" s="3020"/>
      <c r="B1087" s="3015" t="str">
        <f>[2]分摊!B1089</f>
        <v>80D#01工具间</v>
      </c>
      <c r="C1087" s="3017">
        <f>[2]分摊!C1089</f>
        <v>121.32</v>
      </c>
      <c r="D1087" s="3018">
        <f>[2]分摊!H1089</f>
        <v>0.65</v>
      </c>
      <c r="E1087" s="3017">
        <f t="shared" si="16"/>
        <v>121.97</v>
      </c>
    </row>
    <row r="1088" spans="1:5" ht="19.95" customHeight="1">
      <c r="A1088" s="3020"/>
      <c r="B1088" s="3015" t="str">
        <f>[2]分摊!B1090</f>
        <v>80D#02工具间</v>
      </c>
      <c r="C1088" s="3017">
        <f>[2]分摊!C1090</f>
        <v>79.56</v>
      </c>
      <c r="D1088" s="3018">
        <f>[2]分摊!H1090</f>
        <v>0.43</v>
      </c>
      <c r="E1088" s="3017">
        <f t="shared" si="16"/>
        <v>79.990000000000009</v>
      </c>
    </row>
    <row r="1089" spans="1:5" ht="19.95" customHeight="1">
      <c r="A1089" s="3020"/>
      <c r="B1089" s="3015" t="str">
        <f>[2]分摊!B1091</f>
        <v>80D#03工具间</v>
      </c>
      <c r="C1089" s="3017">
        <f>[2]分摊!C1091</f>
        <v>79.56</v>
      </c>
      <c r="D1089" s="3018">
        <f>[2]分摊!H1091</f>
        <v>0.43</v>
      </c>
      <c r="E1089" s="3017">
        <f t="shared" si="16"/>
        <v>79.990000000000009</v>
      </c>
    </row>
    <row r="1090" spans="1:5" ht="19.95" customHeight="1">
      <c r="A1090" s="3020"/>
      <c r="B1090" s="3015" t="str">
        <f>[2]分摊!B1092</f>
        <v>80D#05工具间</v>
      </c>
      <c r="C1090" s="3017">
        <f>[2]分摊!C1092</f>
        <v>79.56</v>
      </c>
      <c r="D1090" s="3018">
        <f>[2]分摊!H1092</f>
        <v>0.43</v>
      </c>
      <c r="E1090" s="3017">
        <f t="shared" si="16"/>
        <v>79.990000000000009</v>
      </c>
    </row>
    <row r="1091" spans="1:5" ht="19.95" customHeight="1">
      <c r="A1091" s="3020"/>
      <c r="B1091" s="3015" t="str">
        <f>[2]分摊!B1093</f>
        <v>80D#06工具间</v>
      </c>
      <c r="C1091" s="3017">
        <f>[2]分摊!C1093</f>
        <v>79.56</v>
      </c>
      <c r="D1091" s="3018">
        <f>[2]分摊!H1093</f>
        <v>0.43</v>
      </c>
      <c r="E1091" s="3017">
        <f t="shared" si="16"/>
        <v>79.990000000000009</v>
      </c>
    </row>
    <row r="1092" spans="1:5" ht="19.95" customHeight="1">
      <c r="A1092" s="3020"/>
      <c r="B1092" s="3015" t="str">
        <f>[2]分摊!B1094</f>
        <v>80D#07工具间</v>
      </c>
      <c r="C1092" s="3017">
        <f>[2]分摊!C1094</f>
        <v>118.44</v>
      </c>
      <c r="D1092" s="3018">
        <f>[2]分摊!H1094</f>
        <v>0.63</v>
      </c>
      <c r="E1092" s="3017">
        <f t="shared" si="16"/>
        <v>119.07</v>
      </c>
    </row>
    <row r="1093" spans="1:5" ht="19.95" customHeight="1">
      <c r="A1093" s="3020"/>
      <c r="B1093" s="3015" t="str">
        <f>[2]分摊!B1095</f>
        <v>80E#01工具间</v>
      </c>
      <c r="C1093" s="3017">
        <f>[2]分摊!C1095</f>
        <v>118.44</v>
      </c>
      <c r="D1093" s="3018">
        <f>[2]分摊!H1095</f>
        <v>0.63</v>
      </c>
      <c r="E1093" s="3017">
        <f t="shared" ref="E1093:E1156" si="17">SUM(C1093:D1093)</f>
        <v>119.07</v>
      </c>
    </row>
    <row r="1094" spans="1:5" ht="19.95" customHeight="1">
      <c r="A1094" s="3020"/>
      <c r="B1094" s="3015" t="str">
        <f>[2]分摊!B1096</f>
        <v>80E#02工具间</v>
      </c>
      <c r="C1094" s="3017">
        <f>[2]分摊!C1096</f>
        <v>79.56</v>
      </c>
      <c r="D1094" s="3018">
        <f>[2]分摊!H1096</f>
        <v>0.43</v>
      </c>
      <c r="E1094" s="3017">
        <f t="shared" si="17"/>
        <v>79.990000000000009</v>
      </c>
    </row>
    <row r="1095" spans="1:5" ht="19.95" customHeight="1">
      <c r="A1095" s="3020"/>
      <c r="B1095" s="3015" t="str">
        <f>[2]分摊!B1097</f>
        <v>80E#03工具间</v>
      </c>
      <c r="C1095" s="3017">
        <f>[2]分摊!C1097</f>
        <v>79.56</v>
      </c>
      <c r="D1095" s="3018">
        <f>[2]分摊!H1097</f>
        <v>0.43</v>
      </c>
      <c r="E1095" s="3017">
        <f t="shared" si="17"/>
        <v>79.990000000000009</v>
      </c>
    </row>
    <row r="1096" spans="1:5" ht="19.95" customHeight="1">
      <c r="A1096" s="3020"/>
      <c r="B1096" s="3015" t="str">
        <f>[2]分摊!B1098</f>
        <v>80E#05工具间</v>
      </c>
      <c r="C1096" s="3017">
        <f>[2]分摊!C1098</f>
        <v>79.56</v>
      </c>
      <c r="D1096" s="3018">
        <f>[2]分摊!H1098</f>
        <v>0.43</v>
      </c>
      <c r="E1096" s="3017">
        <f t="shared" si="17"/>
        <v>79.990000000000009</v>
      </c>
    </row>
    <row r="1097" spans="1:5" ht="19.95" customHeight="1">
      <c r="A1097" s="3020"/>
      <c r="B1097" s="3015" t="str">
        <f>[2]分摊!B1099</f>
        <v>80E#06工具间</v>
      </c>
      <c r="C1097" s="3017">
        <f>[2]分摊!C1099</f>
        <v>79.56</v>
      </c>
      <c r="D1097" s="3018">
        <f>[2]分摊!H1099</f>
        <v>0.43</v>
      </c>
      <c r="E1097" s="3017">
        <f t="shared" si="17"/>
        <v>79.990000000000009</v>
      </c>
    </row>
    <row r="1098" spans="1:5" ht="19.95" customHeight="1">
      <c r="A1098" s="3020"/>
      <c r="B1098" s="3015" t="str">
        <f>[2]分摊!B1100</f>
        <v>80E#07工具间</v>
      </c>
      <c r="C1098" s="3017">
        <f>[2]分摊!C1100</f>
        <v>118.44</v>
      </c>
      <c r="D1098" s="3018">
        <f>[2]分摊!H1100</f>
        <v>0.63</v>
      </c>
      <c r="E1098" s="3017">
        <f t="shared" si="17"/>
        <v>119.07</v>
      </c>
    </row>
    <row r="1099" spans="1:5" ht="19.95" customHeight="1">
      <c r="A1099" s="3020"/>
      <c r="B1099" s="3015" t="str">
        <f>[2]分摊!B1101</f>
        <v>80F#01工具间</v>
      </c>
      <c r="C1099" s="3017">
        <f>[2]分摊!C1101</f>
        <v>118.44</v>
      </c>
      <c r="D1099" s="3018">
        <f>[2]分摊!H1101</f>
        <v>0.63</v>
      </c>
      <c r="E1099" s="3017">
        <f t="shared" si="17"/>
        <v>119.07</v>
      </c>
    </row>
    <row r="1100" spans="1:5" ht="19.95" customHeight="1">
      <c r="A1100" s="3020"/>
      <c r="B1100" s="3015" t="str">
        <f>[2]分摊!B1102</f>
        <v>80F#02工具间</v>
      </c>
      <c r="C1100" s="3017">
        <f>[2]分摊!C1102</f>
        <v>79.56</v>
      </c>
      <c r="D1100" s="3018">
        <f>[2]分摊!H1102</f>
        <v>0.43</v>
      </c>
      <c r="E1100" s="3017">
        <f t="shared" si="17"/>
        <v>79.990000000000009</v>
      </c>
    </row>
    <row r="1101" spans="1:5" ht="19.95" customHeight="1">
      <c r="A1101" s="3020"/>
      <c r="B1101" s="3015" t="str">
        <f>[2]分摊!B1103</f>
        <v>80F#03工具间</v>
      </c>
      <c r="C1101" s="3017">
        <f>[2]分摊!C1103</f>
        <v>79.56</v>
      </c>
      <c r="D1101" s="3018">
        <f>[2]分摊!H1103</f>
        <v>0.43</v>
      </c>
      <c r="E1101" s="3017">
        <f t="shared" si="17"/>
        <v>79.990000000000009</v>
      </c>
    </row>
    <row r="1102" spans="1:5" ht="19.95" customHeight="1">
      <c r="A1102" s="3020"/>
      <c r="B1102" s="3015" t="str">
        <f>[2]分摊!B1104</f>
        <v>80F#05工具间</v>
      </c>
      <c r="C1102" s="3017">
        <f>[2]分摊!C1104</f>
        <v>118.44</v>
      </c>
      <c r="D1102" s="3018">
        <f>[2]分摊!H1104</f>
        <v>0.63</v>
      </c>
      <c r="E1102" s="3017">
        <f t="shared" si="17"/>
        <v>119.07</v>
      </c>
    </row>
    <row r="1103" spans="1:5" ht="19.95" customHeight="1">
      <c r="A1103" s="3020"/>
      <c r="B1103" s="3015" t="str">
        <f>[2]分摊!B1105</f>
        <v>80G#01工具间</v>
      </c>
      <c r="C1103" s="3017">
        <f>[2]分摊!C1105</f>
        <v>123.72</v>
      </c>
      <c r="D1103" s="3018">
        <f>[2]分摊!H1105</f>
        <v>0.66</v>
      </c>
      <c r="E1103" s="3017">
        <f t="shared" si="17"/>
        <v>124.38</v>
      </c>
    </row>
    <row r="1104" spans="1:5" ht="19.95" customHeight="1">
      <c r="A1104" s="3020"/>
      <c r="B1104" s="3015" t="str">
        <f>[2]分摊!B1106</f>
        <v>80G#02工具间</v>
      </c>
      <c r="C1104" s="3017">
        <f>[2]分摊!C1106</f>
        <v>79.56</v>
      </c>
      <c r="D1104" s="3018">
        <f>[2]分摊!H1106</f>
        <v>0.43</v>
      </c>
      <c r="E1104" s="3017">
        <f t="shared" si="17"/>
        <v>79.990000000000009</v>
      </c>
    </row>
    <row r="1105" spans="1:5" ht="19.95" customHeight="1">
      <c r="A1105" s="3020"/>
      <c r="B1105" s="3015" t="str">
        <f>[2]分摊!B1107</f>
        <v>80G#03工具间</v>
      </c>
      <c r="C1105" s="3017">
        <f>[2]分摊!C1107</f>
        <v>79.56</v>
      </c>
      <c r="D1105" s="3018">
        <f>[2]分摊!H1107</f>
        <v>0.43</v>
      </c>
      <c r="E1105" s="3017">
        <f t="shared" si="17"/>
        <v>79.990000000000009</v>
      </c>
    </row>
    <row r="1106" spans="1:5" ht="19.95" customHeight="1">
      <c r="A1106" s="3020"/>
      <c r="B1106" s="3015" t="str">
        <f>[2]分摊!B1108</f>
        <v>80G#05工具间</v>
      </c>
      <c r="C1106" s="3017">
        <f>[2]分摊!C1108</f>
        <v>79.56</v>
      </c>
      <c r="D1106" s="3018">
        <f>[2]分摊!H1108</f>
        <v>0.43</v>
      </c>
      <c r="E1106" s="3017">
        <f t="shared" si="17"/>
        <v>79.990000000000009</v>
      </c>
    </row>
    <row r="1107" spans="1:5" ht="19.95" customHeight="1">
      <c r="A1107" s="3020"/>
      <c r="B1107" s="3015" t="str">
        <f>[2]分摊!B1109</f>
        <v>80G#06工具间</v>
      </c>
      <c r="C1107" s="3017">
        <f>[2]分摊!C1109</f>
        <v>79.56</v>
      </c>
      <c r="D1107" s="3018">
        <f>[2]分摊!H1109</f>
        <v>0.43</v>
      </c>
      <c r="E1107" s="3017">
        <f t="shared" si="17"/>
        <v>79.990000000000009</v>
      </c>
    </row>
    <row r="1108" spans="1:5" ht="19.95" customHeight="1">
      <c r="A1108" s="3020"/>
      <c r="B1108" s="3015" t="str">
        <f>[2]分摊!B1110</f>
        <v>80G#07工具间</v>
      </c>
      <c r="C1108" s="3017">
        <f>[2]分摊!C1110</f>
        <v>118.44</v>
      </c>
      <c r="D1108" s="3018">
        <f>[2]分摊!H1110</f>
        <v>0.63</v>
      </c>
      <c r="E1108" s="3017">
        <f t="shared" si="17"/>
        <v>119.07</v>
      </c>
    </row>
    <row r="1109" spans="1:5" ht="19.95" customHeight="1">
      <c r="A1109" s="3020"/>
      <c r="B1109" s="3015" t="str">
        <f>[2]分摊!B1111</f>
        <v>80H#01工具间</v>
      </c>
      <c r="C1109" s="3017">
        <f>[2]分摊!C1111</f>
        <v>115.63</v>
      </c>
      <c r="D1109" s="3018">
        <f>[2]分摊!H1111</f>
        <v>0.62</v>
      </c>
      <c r="E1109" s="3017">
        <f t="shared" si="17"/>
        <v>116.25</v>
      </c>
    </row>
    <row r="1110" spans="1:5" ht="19.95" customHeight="1">
      <c r="A1110" s="3020"/>
      <c r="B1110" s="3015" t="str">
        <f>[2]分摊!B1112</f>
        <v>80H#02工具间</v>
      </c>
      <c r="C1110" s="3017">
        <f>[2]分摊!C1112</f>
        <v>79.56</v>
      </c>
      <c r="D1110" s="3018">
        <f>[2]分摊!H1112</f>
        <v>0.43</v>
      </c>
      <c r="E1110" s="3017">
        <f t="shared" si="17"/>
        <v>79.990000000000009</v>
      </c>
    </row>
    <row r="1111" spans="1:5" ht="19.95" customHeight="1">
      <c r="A1111" s="3020"/>
      <c r="B1111" s="3015" t="str">
        <f>[2]分摊!B1113</f>
        <v>80H#03工具间</v>
      </c>
      <c r="C1111" s="3017">
        <f>[2]分摊!C1113</f>
        <v>79.56</v>
      </c>
      <c r="D1111" s="3018">
        <f>[2]分摊!H1113</f>
        <v>0.43</v>
      </c>
      <c r="E1111" s="3017">
        <f t="shared" si="17"/>
        <v>79.990000000000009</v>
      </c>
    </row>
    <row r="1112" spans="1:5" ht="19.95" customHeight="1">
      <c r="A1112" s="3020"/>
      <c r="B1112" s="3015" t="str">
        <f>[2]分摊!B1114</f>
        <v>80H#05工具间</v>
      </c>
      <c r="C1112" s="3017">
        <f>[2]分摊!C1114</f>
        <v>116.66</v>
      </c>
      <c r="D1112" s="3018">
        <f>[2]分摊!H1114</f>
        <v>0.63</v>
      </c>
      <c r="E1112" s="3017">
        <f t="shared" si="17"/>
        <v>117.28999999999999</v>
      </c>
    </row>
    <row r="1113" spans="1:5" ht="19.95" customHeight="1">
      <c r="A1113" s="3020"/>
      <c r="B1113" s="3015" t="str">
        <f>[2]分摊!B1115</f>
        <v>81A#01工具间</v>
      </c>
      <c r="C1113" s="3017">
        <f>[2]分摊!C1115</f>
        <v>114.94</v>
      </c>
      <c r="D1113" s="3018">
        <f>[2]分摊!H1115</f>
        <v>0.62</v>
      </c>
      <c r="E1113" s="3017">
        <f t="shared" si="17"/>
        <v>115.56</v>
      </c>
    </row>
    <row r="1114" spans="1:5" ht="19.95" customHeight="1">
      <c r="A1114" s="3020"/>
      <c r="B1114" s="3015" t="str">
        <f>[2]分摊!B1116</f>
        <v>81A#02工具间</v>
      </c>
      <c r="C1114" s="3017">
        <f>[2]分摊!C1116</f>
        <v>79.56</v>
      </c>
      <c r="D1114" s="3018">
        <f>[2]分摊!H1116</f>
        <v>0.43</v>
      </c>
      <c r="E1114" s="3017">
        <f t="shared" si="17"/>
        <v>79.990000000000009</v>
      </c>
    </row>
    <row r="1115" spans="1:5" ht="19.95" customHeight="1">
      <c r="A1115" s="3020"/>
      <c r="B1115" s="3015" t="str">
        <f>[2]分摊!B1117</f>
        <v>81A#03工具间</v>
      </c>
      <c r="C1115" s="3017">
        <f>[2]分摊!C1117</f>
        <v>79.56</v>
      </c>
      <c r="D1115" s="3018">
        <f>[2]分摊!H1117</f>
        <v>0.43</v>
      </c>
      <c r="E1115" s="3017">
        <f t="shared" si="17"/>
        <v>79.990000000000009</v>
      </c>
    </row>
    <row r="1116" spans="1:5" ht="19.95" customHeight="1">
      <c r="A1116" s="3020"/>
      <c r="B1116" s="3015" t="str">
        <f>[2]分摊!B1118</f>
        <v>81A#05工具间</v>
      </c>
      <c r="C1116" s="3017">
        <f>[2]分摊!C1118</f>
        <v>79.56</v>
      </c>
      <c r="D1116" s="3018">
        <f>[2]分摊!H1118</f>
        <v>0.43</v>
      </c>
      <c r="E1116" s="3017">
        <f t="shared" si="17"/>
        <v>79.990000000000009</v>
      </c>
    </row>
    <row r="1117" spans="1:5" ht="19.95" customHeight="1">
      <c r="A1117" s="3020"/>
      <c r="B1117" s="3015" t="str">
        <f>[2]分摊!B1119</f>
        <v>81A#06工具间</v>
      </c>
      <c r="C1117" s="3017">
        <f>[2]分摊!C1119</f>
        <v>79.56</v>
      </c>
      <c r="D1117" s="3018">
        <f>[2]分摊!H1119</f>
        <v>0.43</v>
      </c>
      <c r="E1117" s="3017">
        <f t="shared" si="17"/>
        <v>79.990000000000009</v>
      </c>
    </row>
    <row r="1118" spans="1:5" ht="19.95" customHeight="1">
      <c r="A1118" s="3020"/>
      <c r="B1118" s="3015" t="str">
        <f>[2]分摊!B1120</f>
        <v>81A#07工具间</v>
      </c>
      <c r="C1118" s="3017">
        <f>[2]分摊!C1120</f>
        <v>114.94</v>
      </c>
      <c r="D1118" s="3018">
        <f>[2]分摊!H1120</f>
        <v>0.62</v>
      </c>
      <c r="E1118" s="3017">
        <f t="shared" si="17"/>
        <v>115.56</v>
      </c>
    </row>
    <row r="1119" spans="1:5" ht="19.95" customHeight="1">
      <c r="A1119" s="3020"/>
      <c r="B1119" s="3015" t="str">
        <f>[2]分摊!B1121</f>
        <v>81B#01工具间</v>
      </c>
      <c r="C1119" s="3017">
        <f>[2]分摊!C1121</f>
        <v>114.94</v>
      </c>
      <c r="D1119" s="3018">
        <f>[2]分摊!H1121</f>
        <v>0.62</v>
      </c>
      <c r="E1119" s="3017">
        <f t="shared" si="17"/>
        <v>115.56</v>
      </c>
    </row>
    <row r="1120" spans="1:5" ht="19.95" customHeight="1">
      <c r="A1120" s="3020"/>
      <c r="B1120" s="3015" t="str">
        <f>[2]分摊!B1122</f>
        <v>81B#02工具间</v>
      </c>
      <c r="C1120" s="3017">
        <f>[2]分摊!C1122</f>
        <v>79.56</v>
      </c>
      <c r="D1120" s="3018">
        <f>[2]分摊!H1122</f>
        <v>0.43</v>
      </c>
      <c r="E1120" s="3017">
        <f t="shared" si="17"/>
        <v>79.990000000000009</v>
      </c>
    </row>
    <row r="1121" spans="1:5" ht="19.95" customHeight="1">
      <c r="A1121" s="3020"/>
      <c r="B1121" s="3015" t="str">
        <f>[2]分摊!B1123</f>
        <v>81B#03工具间</v>
      </c>
      <c r="C1121" s="3017">
        <f>[2]分摊!C1123</f>
        <v>79.56</v>
      </c>
      <c r="D1121" s="3018">
        <f>[2]分摊!H1123</f>
        <v>0.43</v>
      </c>
      <c r="E1121" s="3017">
        <f t="shared" si="17"/>
        <v>79.990000000000009</v>
      </c>
    </row>
    <row r="1122" spans="1:5" ht="19.95" customHeight="1">
      <c r="A1122" s="3020"/>
      <c r="B1122" s="3015" t="str">
        <f>[2]分摊!B1124</f>
        <v>81B#05工具间</v>
      </c>
      <c r="C1122" s="3017">
        <f>[2]分摊!C1124</f>
        <v>114.94</v>
      </c>
      <c r="D1122" s="3018">
        <f>[2]分摊!H1124</f>
        <v>0.62</v>
      </c>
      <c r="E1122" s="3017">
        <f t="shared" si="17"/>
        <v>115.56</v>
      </c>
    </row>
    <row r="1123" spans="1:5" ht="19.95" customHeight="1">
      <c r="A1123" s="3020"/>
      <c r="B1123" s="3015" t="str">
        <f>[2]分摊!B1125</f>
        <v>81C#01工具间</v>
      </c>
      <c r="C1123" s="3017">
        <f>[2]分摊!C1125</f>
        <v>115.37</v>
      </c>
      <c r="D1123" s="3018">
        <f>[2]分摊!H1125</f>
        <v>0.62</v>
      </c>
      <c r="E1123" s="3017">
        <f t="shared" si="17"/>
        <v>115.99000000000001</v>
      </c>
    </row>
    <row r="1124" spans="1:5" ht="19.95" customHeight="1">
      <c r="A1124" s="3020"/>
      <c r="B1124" s="3015" t="str">
        <f>[2]分摊!B1126</f>
        <v>81C#02工具间</v>
      </c>
      <c r="C1124" s="3017">
        <f>[2]分摊!C1126</f>
        <v>79.56</v>
      </c>
      <c r="D1124" s="3018">
        <f>[2]分摊!H1126</f>
        <v>0.43</v>
      </c>
      <c r="E1124" s="3017">
        <f t="shared" si="17"/>
        <v>79.990000000000009</v>
      </c>
    </row>
    <row r="1125" spans="1:5" ht="19.95" customHeight="1">
      <c r="A1125" s="3020"/>
      <c r="B1125" s="3015" t="str">
        <f>[2]分摊!B1127</f>
        <v>81C#03工具间</v>
      </c>
      <c r="C1125" s="3017">
        <f>[2]分摊!C1127</f>
        <v>79.56</v>
      </c>
      <c r="D1125" s="3018">
        <f>[2]分摊!H1127</f>
        <v>0.43</v>
      </c>
      <c r="E1125" s="3017">
        <f t="shared" si="17"/>
        <v>79.990000000000009</v>
      </c>
    </row>
    <row r="1126" spans="1:5" ht="19.95" customHeight="1">
      <c r="A1126" s="3020"/>
      <c r="B1126" s="3015" t="str">
        <f>[2]分摊!B1128</f>
        <v>81C#05工具间</v>
      </c>
      <c r="C1126" s="3017">
        <f>[2]分摊!C1128</f>
        <v>79.56</v>
      </c>
      <c r="D1126" s="3018">
        <f>[2]分摊!H1128</f>
        <v>0.43</v>
      </c>
      <c r="E1126" s="3017">
        <f t="shared" si="17"/>
        <v>79.990000000000009</v>
      </c>
    </row>
    <row r="1127" spans="1:5" ht="19.95" customHeight="1">
      <c r="A1127" s="3020"/>
      <c r="B1127" s="3015" t="str">
        <f>[2]分摊!B1129</f>
        <v>81C#06工具间</v>
      </c>
      <c r="C1127" s="3017">
        <f>[2]分摊!C1129</f>
        <v>114.94</v>
      </c>
      <c r="D1127" s="3018">
        <f>[2]分摊!H1129</f>
        <v>0.62</v>
      </c>
      <c r="E1127" s="3017">
        <f t="shared" si="17"/>
        <v>115.56</v>
      </c>
    </row>
    <row r="1128" spans="1:5" ht="19.95" customHeight="1">
      <c r="A1128" s="3020"/>
      <c r="B1128" s="3015" t="str">
        <f>[2]分摊!B1130</f>
        <v>81D#01工具间</v>
      </c>
      <c r="C1128" s="3017">
        <f>[2]分摊!C1130</f>
        <v>120.1</v>
      </c>
      <c r="D1128" s="3018">
        <f>[2]分摊!H1130</f>
        <v>0.64</v>
      </c>
      <c r="E1128" s="3017">
        <f t="shared" si="17"/>
        <v>120.74</v>
      </c>
    </row>
    <row r="1129" spans="1:5" ht="19.95" customHeight="1">
      <c r="A1129" s="3020"/>
      <c r="B1129" s="3015" t="str">
        <f>[2]分摊!B1131</f>
        <v>81D#02工具间</v>
      </c>
      <c r="C1129" s="3017">
        <f>[2]分摊!C1131</f>
        <v>79.56</v>
      </c>
      <c r="D1129" s="3018">
        <f>[2]分摊!H1131</f>
        <v>0.43</v>
      </c>
      <c r="E1129" s="3017">
        <f t="shared" si="17"/>
        <v>79.990000000000009</v>
      </c>
    </row>
    <row r="1130" spans="1:5" ht="19.95" customHeight="1">
      <c r="A1130" s="3020"/>
      <c r="B1130" s="3015" t="str">
        <f>[2]分摊!B1132</f>
        <v>81D#03工具间</v>
      </c>
      <c r="C1130" s="3017">
        <f>[2]分摊!C1132</f>
        <v>79.56</v>
      </c>
      <c r="D1130" s="3018">
        <f>[2]分摊!H1132</f>
        <v>0.43</v>
      </c>
      <c r="E1130" s="3017">
        <f t="shared" si="17"/>
        <v>79.990000000000009</v>
      </c>
    </row>
    <row r="1131" spans="1:5" ht="19.95" customHeight="1">
      <c r="A1131" s="3020"/>
      <c r="B1131" s="3015" t="str">
        <f>[2]分摊!B1133</f>
        <v>81D#05工具间</v>
      </c>
      <c r="C1131" s="3017">
        <f>[2]分摊!C1133</f>
        <v>118.44</v>
      </c>
      <c r="D1131" s="3018">
        <f>[2]分摊!H1133</f>
        <v>0.63</v>
      </c>
      <c r="E1131" s="3017">
        <f t="shared" si="17"/>
        <v>119.07</v>
      </c>
    </row>
    <row r="1132" spans="1:5" ht="19.95" customHeight="1">
      <c r="A1132" s="3020"/>
      <c r="B1132" s="3015" t="str">
        <f>[2]分摊!B1134</f>
        <v>81E#01工具间</v>
      </c>
      <c r="C1132" s="3017">
        <f>[2]分摊!C1134</f>
        <v>118.44</v>
      </c>
      <c r="D1132" s="3018">
        <f>[2]分摊!H1134</f>
        <v>0.63</v>
      </c>
      <c r="E1132" s="3017">
        <f t="shared" si="17"/>
        <v>119.07</v>
      </c>
    </row>
    <row r="1133" spans="1:5" ht="19.95" customHeight="1">
      <c r="A1133" s="3020"/>
      <c r="B1133" s="3015" t="str">
        <f>[2]分摊!B1135</f>
        <v>81E#02工具间</v>
      </c>
      <c r="C1133" s="3017">
        <f>[2]分摊!C1135</f>
        <v>79.56</v>
      </c>
      <c r="D1133" s="3018">
        <f>[2]分摊!H1135</f>
        <v>0.43</v>
      </c>
      <c r="E1133" s="3017">
        <f t="shared" si="17"/>
        <v>79.990000000000009</v>
      </c>
    </row>
    <row r="1134" spans="1:5" ht="19.95" customHeight="1">
      <c r="A1134" s="3020"/>
      <c r="B1134" s="3015" t="str">
        <f>[2]分摊!B1136</f>
        <v>81E#03工具间</v>
      </c>
      <c r="C1134" s="3017">
        <f>[2]分摊!C1136</f>
        <v>79.56</v>
      </c>
      <c r="D1134" s="3018">
        <f>[2]分摊!H1136</f>
        <v>0.43</v>
      </c>
      <c r="E1134" s="3017">
        <f t="shared" si="17"/>
        <v>79.990000000000009</v>
      </c>
    </row>
    <row r="1135" spans="1:5" ht="19.95" customHeight="1">
      <c r="A1135" s="3020"/>
      <c r="B1135" s="3015" t="str">
        <f>[2]分摊!B1137</f>
        <v>81E#05工具间</v>
      </c>
      <c r="C1135" s="3017">
        <f>[2]分摊!C1137</f>
        <v>118.44</v>
      </c>
      <c r="D1135" s="3018">
        <f>[2]分摊!H1137</f>
        <v>0.63</v>
      </c>
      <c r="E1135" s="3017">
        <f t="shared" si="17"/>
        <v>119.07</v>
      </c>
    </row>
    <row r="1136" spans="1:5" ht="19.95" customHeight="1">
      <c r="A1136" s="3020"/>
      <c r="B1136" s="3015" t="str">
        <f>[2]分摊!B1138</f>
        <v>81F#01工具间</v>
      </c>
      <c r="C1136" s="3017">
        <f>[2]分摊!C1138</f>
        <v>118.44</v>
      </c>
      <c r="D1136" s="3018">
        <f>[2]分摊!H1138</f>
        <v>0.63</v>
      </c>
      <c r="E1136" s="3017">
        <f t="shared" si="17"/>
        <v>119.07</v>
      </c>
    </row>
    <row r="1137" spans="1:5" ht="19.95" customHeight="1">
      <c r="A1137" s="3020"/>
      <c r="B1137" s="3015" t="str">
        <f>[2]分摊!B1139</f>
        <v>81F#02工具间</v>
      </c>
      <c r="C1137" s="3017">
        <f>[2]分摊!C1139</f>
        <v>79.56</v>
      </c>
      <c r="D1137" s="3018">
        <f>[2]分摊!H1139</f>
        <v>0.43</v>
      </c>
      <c r="E1137" s="3017">
        <f t="shared" si="17"/>
        <v>79.990000000000009</v>
      </c>
    </row>
    <row r="1138" spans="1:5" ht="19.95" customHeight="1">
      <c r="A1138" s="3020"/>
      <c r="B1138" s="3015" t="str">
        <f>[2]分摊!B1140</f>
        <v>81F#03工具间</v>
      </c>
      <c r="C1138" s="3017">
        <f>[2]分摊!C1140</f>
        <v>79.56</v>
      </c>
      <c r="D1138" s="3018">
        <f>[2]分摊!H1140</f>
        <v>0.43</v>
      </c>
      <c r="E1138" s="3017">
        <f t="shared" si="17"/>
        <v>79.990000000000009</v>
      </c>
    </row>
    <row r="1139" spans="1:5" ht="19.95" customHeight="1">
      <c r="A1139" s="3020"/>
      <c r="B1139" s="3015" t="str">
        <f>[2]分摊!B1141</f>
        <v>81F#05工具间</v>
      </c>
      <c r="C1139" s="3017">
        <f>[2]分摊!C1141</f>
        <v>79.56</v>
      </c>
      <c r="D1139" s="3018">
        <f>[2]分摊!H1141</f>
        <v>0.43</v>
      </c>
      <c r="E1139" s="3017">
        <f t="shared" si="17"/>
        <v>79.990000000000009</v>
      </c>
    </row>
    <row r="1140" spans="1:5" ht="19.95" customHeight="1">
      <c r="A1140" s="3020"/>
      <c r="B1140" s="3015" t="str">
        <f>[2]分摊!B1142</f>
        <v>81F#06工具间</v>
      </c>
      <c r="C1140" s="3017">
        <f>[2]分摊!C1142</f>
        <v>79.56</v>
      </c>
      <c r="D1140" s="3018">
        <f>[2]分摊!H1142</f>
        <v>0.43</v>
      </c>
      <c r="E1140" s="3017">
        <f t="shared" si="17"/>
        <v>79.990000000000009</v>
      </c>
    </row>
    <row r="1141" spans="1:5" ht="19.95" customHeight="1">
      <c r="A1141" s="3020"/>
      <c r="B1141" s="3015" t="str">
        <f>[2]分摊!B1143</f>
        <v>81F#07工具间</v>
      </c>
      <c r="C1141" s="3017">
        <f>[2]分摊!C1143</f>
        <v>118.44</v>
      </c>
      <c r="D1141" s="3018">
        <f>[2]分摊!H1143</f>
        <v>0.63</v>
      </c>
      <c r="E1141" s="3017">
        <f t="shared" si="17"/>
        <v>119.07</v>
      </c>
    </row>
    <row r="1142" spans="1:5" ht="19.95" customHeight="1">
      <c r="A1142" s="3020"/>
      <c r="B1142" s="3015" t="str">
        <f>[2]分摊!B1144</f>
        <v>82#01工具间</v>
      </c>
      <c r="C1142" s="3017">
        <f>[2]分摊!C1144</f>
        <v>148.46</v>
      </c>
      <c r="D1142" s="3018">
        <f>[2]分摊!H1144</f>
        <v>0.8</v>
      </c>
      <c r="E1142" s="3017">
        <f t="shared" si="17"/>
        <v>149.26000000000002</v>
      </c>
    </row>
    <row r="1143" spans="1:5" ht="19.95" customHeight="1">
      <c r="A1143" s="3020"/>
      <c r="B1143" s="3015" t="str">
        <f>[2]分摊!B1145</f>
        <v>82#02工具间</v>
      </c>
      <c r="C1143" s="3017">
        <f>[2]分摊!C1145</f>
        <v>130.91</v>
      </c>
      <c r="D1143" s="3018">
        <f>[2]分摊!H1145</f>
        <v>0.7</v>
      </c>
      <c r="E1143" s="3017">
        <f t="shared" si="17"/>
        <v>131.60999999999999</v>
      </c>
    </row>
    <row r="1144" spans="1:5" ht="19.95" customHeight="1">
      <c r="A1144" s="3020"/>
      <c r="B1144" s="3015" t="str">
        <f>[2]分摊!B1146</f>
        <v>82#03工具间</v>
      </c>
      <c r="C1144" s="3017">
        <f>[2]分摊!C1146</f>
        <v>130.91</v>
      </c>
      <c r="D1144" s="3018">
        <f>[2]分摊!H1146</f>
        <v>0.7</v>
      </c>
      <c r="E1144" s="3017">
        <f t="shared" si="17"/>
        <v>131.60999999999999</v>
      </c>
    </row>
    <row r="1145" spans="1:5" ht="19.95" customHeight="1">
      <c r="A1145" s="3020"/>
      <c r="B1145" s="3015" t="str">
        <f>[2]分摊!B1147</f>
        <v>82#05工具间</v>
      </c>
      <c r="C1145" s="3017">
        <f>[2]分摊!C1147</f>
        <v>130.91</v>
      </c>
      <c r="D1145" s="3018">
        <f>[2]分摊!H1147</f>
        <v>0.7</v>
      </c>
      <c r="E1145" s="3017">
        <f t="shared" si="17"/>
        <v>131.60999999999999</v>
      </c>
    </row>
    <row r="1146" spans="1:5" ht="19.95" customHeight="1">
      <c r="A1146" s="3020"/>
      <c r="B1146" s="3015" t="str">
        <f>[2]分摊!B1148</f>
        <v>82#06工具间</v>
      </c>
      <c r="C1146" s="3017">
        <f>[2]分摊!C1148</f>
        <v>180.54</v>
      </c>
      <c r="D1146" s="3018">
        <f>[2]分摊!H1148</f>
        <v>0.97</v>
      </c>
      <c r="E1146" s="3017">
        <f t="shared" si="17"/>
        <v>181.51</v>
      </c>
    </row>
    <row r="1147" spans="1:5" ht="19.95" customHeight="1">
      <c r="A1147" s="3020"/>
      <c r="B1147" s="3015" t="str">
        <f>[2]分摊!B1149</f>
        <v>83#01工具间</v>
      </c>
      <c r="C1147" s="3017">
        <f>[2]分摊!C1149</f>
        <v>155.24</v>
      </c>
      <c r="D1147" s="3018">
        <f>[2]分摊!H1149</f>
        <v>0.83</v>
      </c>
      <c r="E1147" s="3017">
        <f t="shared" si="17"/>
        <v>156.07000000000002</v>
      </c>
    </row>
    <row r="1148" spans="1:5" ht="19.95" customHeight="1">
      <c r="A1148" s="3020"/>
      <c r="B1148" s="3015" t="str">
        <f>[2]分摊!B1150</f>
        <v>83#02工具间</v>
      </c>
      <c r="C1148" s="3017">
        <f>[2]分摊!C1150</f>
        <v>130.91</v>
      </c>
      <c r="D1148" s="3018">
        <f>[2]分摊!H1150</f>
        <v>0.7</v>
      </c>
      <c r="E1148" s="3017">
        <f t="shared" si="17"/>
        <v>131.60999999999999</v>
      </c>
    </row>
    <row r="1149" spans="1:5" ht="19.95" customHeight="1">
      <c r="A1149" s="3020"/>
      <c r="B1149" s="3015" t="str">
        <f>[2]分摊!B1151</f>
        <v>83#03工具间</v>
      </c>
      <c r="C1149" s="3017">
        <f>[2]分摊!C1151</f>
        <v>130.91</v>
      </c>
      <c r="D1149" s="3018">
        <f>[2]分摊!H1151</f>
        <v>0.7</v>
      </c>
      <c r="E1149" s="3017">
        <f t="shared" si="17"/>
        <v>131.60999999999999</v>
      </c>
    </row>
    <row r="1150" spans="1:5" ht="19.95" customHeight="1">
      <c r="A1150" s="3020"/>
      <c r="B1150" s="3015" t="str">
        <f>[2]分摊!B1152</f>
        <v>83#05工具间</v>
      </c>
      <c r="C1150" s="3017">
        <f>[2]分摊!C1152</f>
        <v>130.91</v>
      </c>
      <c r="D1150" s="3018">
        <f>[2]分摊!H1152</f>
        <v>0.7</v>
      </c>
      <c r="E1150" s="3017">
        <f t="shared" si="17"/>
        <v>131.60999999999999</v>
      </c>
    </row>
    <row r="1151" spans="1:5" ht="19.95" customHeight="1">
      <c r="A1151" s="3020"/>
      <c r="B1151" s="3015" t="str">
        <f>[2]分摊!B1153</f>
        <v>83#06工具间</v>
      </c>
      <c r="C1151" s="3017">
        <f>[2]分摊!C1153</f>
        <v>199.75</v>
      </c>
      <c r="D1151" s="3018">
        <f>[2]分摊!H1153</f>
        <v>1.07</v>
      </c>
      <c r="E1151" s="3017">
        <f t="shared" si="17"/>
        <v>200.82</v>
      </c>
    </row>
    <row r="1152" spans="1:5" ht="19.95" customHeight="1">
      <c r="A1152" s="3020"/>
      <c r="B1152" s="3015" t="str">
        <f>[2]分摊!B1154</f>
        <v>85#01工具间</v>
      </c>
      <c r="C1152" s="3017">
        <f>[2]分摊!C1154</f>
        <v>180.1</v>
      </c>
      <c r="D1152" s="3018">
        <f>[2]分摊!H1154</f>
        <v>0.96</v>
      </c>
      <c r="E1152" s="3017">
        <f t="shared" si="17"/>
        <v>181.06</v>
      </c>
    </row>
    <row r="1153" spans="1:5" ht="19.95" customHeight="1">
      <c r="A1153" s="3020"/>
      <c r="B1153" s="3015" t="str">
        <f>[2]分摊!B1155</f>
        <v>85#02工具间</v>
      </c>
      <c r="C1153" s="3017">
        <f>[2]分摊!C1155</f>
        <v>130.91</v>
      </c>
      <c r="D1153" s="3018">
        <f>[2]分摊!H1155</f>
        <v>0.7</v>
      </c>
      <c r="E1153" s="3017">
        <f t="shared" si="17"/>
        <v>131.60999999999999</v>
      </c>
    </row>
    <row r="1154" spans="1:5" ht="19.95" customHeight="1">
      <c r="A1154" s="3020"/>
      <c r="B1154" s="3015" t="str">
        <f>[2]分摊!B1156</f>
        <v>85#03工具间</v>
      </c>
      <c r="C1154" s="3017">
        <f>[2]分摊!C1156</f>
        <v>186.19</v>
      </c>
      <c r="D1154" s="3018">
        <f>[2]分摊!H1156</f>
        <v>1</v>
      </c>
      <c r="E1154" s="3017">
        <f t="shared" si="17"/>
        <v>187.19</v>
      </c>
    </row>
    <row r="1155" spans="1:5" ht="19.95" customHeight="1">
      <c r="A1155" s="3020"/>
      <c r="B1155" s="3015" t="str">
        <f>[2]分摊!B1157</f>
        <v>86#01工具间</v>
      </c>
      <c r="C1155" s="3017">
        <f>[2]分摊!C1157</f>
        <v>156.9</v>
      </c>
      <c r="D1155" s="3018">
        <f>[2]分摊!H1157</f>
        <v>0.84</v>
      </c>
      <c r="E1155" s="3017">
        <f t="shared" si="17"/>
        <v>157.74</v>
      </c>
    </row>
    <row r="1156" spans="1:5" ht="19.95" customHeight="1">
      <c r="A1156" s="3020"/>
      <c r="B1156" s="3015" t="str">
        <f>[2]分摊!B1158</f>
        <v>86#02工具间</v>
      </c>
      <c r="C1156" s="3017">
        <f>[2]分摊!C1158</f>
        <v>94.96</v>
      </c>
      <c r="D1156" s="3018">
        <f>[2]分摊!H1158</f>
        <v>0.51</v>
      </c>
      <c r="E1156" s="3017">
        <f t="shared" si="17"/>
        <v>95.47</v>
      </c>
    </row>
    <row r="1157" spans="1:5" ht="19.95" customHeight="1">
      <c r="A1157" s="3020"/>
      <c r="B1157" s="3015" t="str">
        <f>[2]分摊!B1159</f>
        <v>86#03工具间</v>
      </c>
      <c r="C1157" s="3017">
        <f>[2]分摊!C1159</f>
        <v>94.96</v>
      </c>
      <c r="D1157" s="3018">
        <f>[2]分摊!H1159</f>
        <v>0.51</v>
      </c>
      <c r="E1157" s="3017">
        <f t="shared" ref="E1157:E1220" si="18">SUM(C1157:D1157)</f>
        <v>95.47</v>
      </c>
    </row>
    <row r="1158" spans="1:5" ht="19.95" customHeight="1">
      <c r="A1158" s="3020"/>
      <c r="B1158" s="3015" t="str">
        <f>[2]分摊!B1160</f>
        <v>86#05工具间</v>
      </c>
      <c r="C1158" s="3017">
        <f>[2]分摊!C1160</f>
        <v>143.77000000000001</v>
      </c>
      <c r="D1158" s="3018">
        <f>[2]分摊!H1160</f>
        <v>0.77</v>
      </c>
      <c r="E1158" s="3017">
        <f t="shared" si="18"/>
        <v>144.54000000000002</v>
      </c>
    </row>
    <row r="1159" spans="1:5" ht="19.95" customHeight="1">
      <c r="A1159" s="3020"/>
      <c r="B1159" s="3015" t="str">
        <f>[2]分摊!B1161</f>
        <v>87#01工具间</v>
      </c>
      <c r="C1159" s="3017">
        <f>[2]分摊!C1161</f>
        <v>143.77000000000001</v>
      </c>
      <c r="D1159" s="3018">
        <f>[2]分摊!H1161</f>
        <v>0.77</v>
      </c>
      <c r="E1159" s="3017">
        <f t="shared" si="18"/>
        <v>144.54000000000002</v>
      </c>
    </row>
    <row r="1160" spans="1:5" ht="19.95" customHeight="1">
      <c r="A1160" s="3020"/>
      <c r="B1160" s="3015" t="str">
        <f>[2]分摊!B1162</f>
        <v>87#02工具间</v>
      </c>
      <c r="C1160" s="3017">
        <f>[2]分摊!C1162</f>
        <v>94.96</v>
      </c>
      <c r="D1160" s="3018">
        <f>[2]分摊!H1162</f>
        <v>0.51</v>
      </c>
      <c r="E1160" s="3017">
        <f t="shared" si="18"/>
        <v>95.47</v>
      </c>
    </row>
    <row r="1161" spans="1:5" ht="19.95" customHeight="1">
      <c r="A1161" s="3020"/>
      <c r="B1161" s="3015" t="str">
        <f>[2]分摊!B1163</f>
        <v>87#03工具间</v>
      </c>
      <c r="C1161" s="3017">
        <f>[2]分摊!C1163</f>
        <v>94.96</v>
      </c>
      <c r="D1161" s="3018">
        <f>[2]分摊!H1163</f>
        <v>0.51</v>
      </c>
      <c r="E1161" s="3017">
        <f t="shared" si="18"/>
        <v>95.47</v>
      </c>
    </row>
    <row r="1162" spans="1:5" ht="19.95" customHeight="1">
      <c r="A1162" s="3020"/>
      <c r="B1162" s="3015" t="str">
        <f>[2]分摊!B1164</f>
        <v>87#05工具间</v>
      </c>
      <c r="C1162" s="3017">
        <f>[2]分摊!C1164</f>
        <v>94.96</v>
      </c>
      <c r="D1162" s="3018">
        <f>[2]分摊!H1164</f>
        <v>0.51</v>
      </c>
      <c r="E1162" s="3017">
        <f t="shared" si="18"/>
        <v>95.47</v>
      </c>
    </row>
    <row r="1163" spans="1:5" ht="19.95" customHeight="1">
      <c r="A1163" s="3020"/>
      <c r="B1163" s="3015" t="str">
        <f>[2]分摊!B1165</f>
        <v>87#06工具间</v>
      </c>
      <c r="C1163" s="3017">
        <f>[2]分摊!C1165</f>
        <v>94.96</v>
      </c>
      <c r="D1163" s="3018">
        <f>[2]分摊!H1165</f>
        <v>0.51</v>
      </c>
      <c r="E1163" s="3017">
        <f t="shared" si="18"/>
        <v>95.47</v>
      </c>
    </row>
    <row r="1164" spans="1:5" ht="19.95" customHeight="1">
      <c r="A1164" s="3020"/>
      <c r="B1164" s="3015" t="str">
        <f>[2]分摊!B1166</f>
        <v>87#07工具间</v>
      </c>
      <c r="C1164" s="3017">
        <f>[2]分摊!C1166</f>
        <v>156.9</v>
      </c>
      <c r="D1164" s="3018">
        <f>[2]分摊!H1166</f>
        <v>0.84</v>
      </c>
      <c r="E1164" s="3017">
        <f t="shared" si="18"/>
        <v>157.74</v>
      </c>
    </row>
    <row r="1165" spans="1:5" ht="19.95" customHeight="1">
      <c r="A1165" s="3020"/>
      <c r="B1165" s="3015" t="str">
        <f>[2]分摊!B1167</f>
        <v>88#01工具间</v>
      </c>
      <c r="C1165" s="3017">
        <f>[2]分摊!C1167</f>
        <v>138.72</v>
      </c>
      <c r="D1165" s="3018">
        <f>[2]分摊!H1167</f>
        <v>0.74</v>
      </c>
      <c r="E1165" s="3017">
        <f t="shared" si="18"/>
        <v>139.46</v>
      </c>
    </row>
    <row r="1166" spans="1:5" ht="19.95" customHeight="1">
      <c r="A1166" s="3020"/>
      <c r="B1166" s="3015" t="str">
        <f>[2]分摊!B1168</f>
        <v>88#02工具间</v>
      </c>
      <c r="C1166" s="3017">
        <f>[2]分摊!C1168</f>
        <v>94.96</v>
      </c>
      <c r="D1166" s="3018">
        <f>[2]分摊!H1168</f>
        <v>0.51</v>
      </c>
      <c r="E1166" s="3017">
        <f t="shared" si="18"/>
        <v>95.47</v>
      </c>
    </row>
    <row r="1167" spans="1:5" ht="19.95" customHeight="1">
      <c r="A1167" s="3020"/>
      <c r="B1167" s="3015" t="str">
        <f>[2]分摊!B1169</f>
        <v>88#03工具间</v>
      </c>
      <c r="C1167" s="3017">
        <f>[2]分摊!C1169</f>
        <v>94.96</v>
      </c>
      <c r="D1167" s="3018">
        <f>[2]分摊!H1169</f>
        <v>0.51</v>
      </c>
      <c r="E1167" s="3017">
        <f t="shared" si="18"/>
        <v>95.47</v>
      </c>
    </row>
    <row r="1168" spans="1:5" ht="19.95" customHeight="1">
      <c r="A1168" s="3020"/>
      <c r="B1168" s="3015" t="str">
        <f>[2]分摊!B1170</f>
        <v>88#05工具间</v>
      </c>
      <c r="C1168" s="3017">
        <f>[2]分摊!C1170</f>
        <v>94.96</v>
      </c>
      <c r="D1168" s="3018">
        <f>[2]分摊!H1170</f>
        <v>0.51</v>
      </c>
      <c r="E1168" s="3017">
        <f t="shared" si="18"/>
        <v>95.47</v>
      </c>
    </row>
    <row r="1169" spans="1:5" ht="19.95" customHeight="1">
      <c r="A1169" s="3020"/>
      <c r="B1169" s="3015" t="str">
        <f>[2]分摊!B1171</f>
        <v>88#06工具间</v>
      </c>
      <c r="C1169" s="3017">
        <f>[2]分摊!C1171</f>
        <v>94.96</v>
      </c>
      <c r="D1169" s="3018">
        <f>[2]分摊!H1171</f>
        <v>0.51</v>
      </c>
      <c r="E1169" s="3017">
        <f t="shared" si="18"/>
        <v>95.47</v>
      </c>
    </row>
    <row r="1170" spans="1:5" ht="19.95" customHeight="1">
      <c r="A1170" s="3020"/>
      <c r="B1170" s="3015" t="str">
        <f>[2]分摊!B1172</f>
        <v>88#07工具间</v>
      </c>
      <c r="C1170" s="3017">
        <f>[2]分摊!C1172</f>
        <v>143.77000000000001</v>
      </c>
      <c r="D1170" s="3018">
        <f>[2]分摊!H1172</f>
        <v>0.77</v>
      </c>
      <c r="E1170" s="3017">
        <f t="shared" si="18"/>
        <v>144.54000000000002</v>
      </c>
    </row>
    <row r="1171" spans="1:5" ht="19.95" customHeight="1">
      <c r="A1171" s="3020"/>
      <c r="B1171" s="3015" t="str">
        <f>[2]分摊!B1173</f>
        <v>89#01工具间</v>
      </c>
      <c r="C1171" s="3017">
        <f>[2]分摊!C1173</f>
        <v>143.77000000000001</v>
      </c>
      <c r="D1171" s="3018">
        <f>[2]分摊!H1173</f>
        <v>0.77</v>
      </c>
      <c r="E1171" s="3017">
        <f t="shared" si="18"/>
        <v>144.54000000000002</v>
      </c>
    </row>
    <row r="1172" spans="1:5" ht="19.95" customHeight="1">
      <c r="A1172" s="3020"/>
      <c r="B1172" s="3015" t="str">
        <f>[2]分摊!B1174</f>
        <v>89#02工具间</v>
      </c>
      <c r="C1172" s="3017">
        <f>[2]分摊!C1174</f>
        <v>94.96</v>
      </c>
      <c r="D1172" s="3018">
        <f>[2]分摊!H1174</f>
        <v>0.51</v>
      </c>
      <c r="E1172" s="3017">
        <f t="shared" si="18"/>
        <v>95.47</v>
      </c>
    </row>
    <row r="1173" spans="1:5" ht="19.95" customHeight="1">
      <c r="A1173" s="3020"/>
      <c r="B1173" s="3015" t="str">
        <f>[2]分摊!B1175</f>
        <v>89#03工具间</v>
      </c>
      <c r="C1173" s="3017">
        <f>[2]分摊!C1175</f>
        <v>94.96</v>
      </c>
      <c r="D1173" s="3018">
        <f>[2]分摊!H1175</f>
        <v>0.51</v>
      </c>
      <c r="E1173" s="3017">
        <f t="shared" si="18"/>
        <v>95.47</v>
      </c>
    </row>
    <row r="1174" spans="1:5" ht="19.95" customHeight="1">
      <c r="A1174" s="3020"/>
      <c r="B1174" s="3015" t="str">
        <f>[2]分摊!B1176</f>
        <v>89#05工具间</v>
      </c>
      <c r="C1174" s="3017">
        <f>[2]分摊!C1176</f>
        <v>94.96</v>
      </c>
      <c r="D1174" s="3018">
        <f>[2]分摊!H1176</f>
        <v>0.51</v>
      </c>
      <c r="E1174" s="3017">
        <f t="shared" si="18"/>
        <v>95.47</v>
      </c>
    </row>
    <row r="1175" spans="1:5" ht="19.95" customHeight="1">
      <c r="A1175" s="3020"/>
      <c r="B1175" s="3015" t="str">
        <f>[2]分摊!B1177</f>
        <v>89#06工具间</v>
      </c>
      <c r="C1175" s="3017">
        <f>[2]分摊!C1177</f>
        <v>94.96</v>
      </c>
      <c r="D1175" s="3018">
        <f>[2]分摊!H1177</f>
        <v>0.51</v>
      </c>
      <c r="E1175" s="3017">
        <f t="shared" si="18"/>
        <v>95.47</v>
      </c>
    </row>
    <row r="1176" spans="1:5" ht="19.95" customHeight="1">
      <c r="A1176" s="3020"/>
      <c r="B1176" s="3015" t="str">
        <f>[2]分摊!B1178</f>
        <v>89#07工具间</v>
      </c>
      <c r="C1176" s="3017">
        <f>[2]分摊!C1178</f>
        <v>94.96</v>
      </c>
      <c r="D1176" s="3018">
        <f>[2]分摊!H1178</f>
        <v>0.51</v>
      </c>
      <c r="E1176" s="3017">
        <f t="shared" si="18"/>
        <v>95.47</v>
      </c>
    </row>
    <row r="1177" spans="1:5" ht="19.95" customHeight="1">
      <c r="A1177" s="3020"/>
      <c r="B1177" s="3015" t="str">
        <f>[2]分摊!B1179</f>
        <v>89#08工具间</v>
      </c>
      <c r="C1177" s="3017">
        <f>[2]分摊!C1179</f>
        <v>94.96</v>
      </c>
      <c r="D1177" s="3018">
        <f>[2]分摊!H1179</f>
        <v>0.51</v>
      </c>
      <c r="E1177" s="3017">
        <f t="shared" si="18"/>
        <v>95.47</v>
      </c>
    </row>
    <row r="1178" spans="1:5" ht="19.95" customHeight="1">
      <c r="A1178" s="3020"/>
      <c r="B1178" s="3015" t="str">
        <f>[2]分摊!B1180</f>
        <v>89#09工具间</v>
      </c>
      <c r="C1178" s="3017">
        <f>[2]分摊!C1180</f>
        <v>143.77000000000001</v>
      </c>
      <c r="D1178" s="3018">
        <f>[2]分摊!H1180</f>
        <v>0.77</v>
      </c>
      <c r="E1178" s="3017">
        <f t="shared" si="18"/>
        <v>144.54000000000002</v>
      </c>
    </row>
    <row r="1179" spans="1:5" ht="19.95" customHeight="1">
      <c r="A1179" s="3020"/>
      <c r="B1179" s="3015" t="str">
        <f>[2]分摊!B1181</f>
        <v>90#01工具间</v>
      </c>
      <c r="C1179" s="3017">
        <f>[2]分摊!C1181</f>
        <v>143.77000000000001</v>
      </c>
      <c r="D1179" s="3018">
        <f>[2]分摊!H1181</f>
        <v>0.77</v>
      </c>
      <c r="E1179" s="3017">
        <f t="shared" si="18"/>
        <v>144.54000000000002</v>
      </c>
    </row>
    <row r="1180" spans="1:5" ht="19.95" customHeight="1">
      <c r="A1180" s="3020"/>
      <c r="B1180" s="3015" t="str">
        <f>[2]分摊!B1182</f>
        <v>90#02工具间</v>
      </c>
      <c r="C1180" s="3017">
        <f>[2]分摊!C1182</f>
        <v>94.96</v>
      </c>
      <c r="D1180" s="3018">
        <f>[2]分摊!H1182</f>
        <v>0.51</v>
      </c>
      <c r="E1180" s="3017">
        <f t="shared" si="18"/>
        <v>95.47</v>
      </c>
    </row>
    <row r="1181" spans="1:5" ht="19.95" customHeight="1">
      <c r="A1181" s="3020"/>
      <c r="B1181" s="3015" t="str">
        <f>[2]分摊!B1183</f>
        <v>90#03工具间</v>
      </c>
      <c r="C1181" s="3017">
        <f>[2]分摊!C1183</f>
        <v>94.96</v>
      </c>
      <c r="D1181" s="3018">
        <f>[2]分摊!H1183</f>
        <v>0.51</v>
      </c>
      <c r="E1181" s="3017">
        <f t="shared" si="18"/>
        <v>95.47</v>
      </c>
    </row>
    <row r="1182" spans="1:5" ht="19.95" customHeight="1">
      <c r="A1182" s="3020"/>
      <c r="B1182" s="3015" t="str">
        <f>[2]分摊!B1184</f>
        <v>90#05工具间</v>
      </c>
      <c r="C1182" s="3017">
        <f>[2]分摊!C1184</f>
        <v>94.96</v>
      </c>
      <c r="D1182" s="3018">
        <f>[2]分摊!H1184</f>
        <v>0.51</v>
      </c>
      <c r="E1182" s="3017">
        <f t="shared" si="18"/>
        <v>95.47</v>
      </c>
    </row>
    <row r="1183" spans="1:5" ht="19.95" customHeight="1">
      <c r="A1183" s="3020"/>
      <c r="B1183" s="3015" t="str">
        <f>[2]分摊!B1185</f>
        <v>90#06工具间</v>
      </c>
      <c r="C1183" s="3017">
        <f>[2]分摊!C1185</f>
        <v>94.96</v>
      </c>
      <c r="D1183" s="3018">
        <f>[2]分摊!H1185</f>
        <v>0.51</v>
      </c>
      <c r="E1183" s="3017">
        <f t="shared" si="18"/>
        <v>95.47</v>
      </c>
    </row>
    <row r="1184" spans="1:5" ht="19.95" customHeight="1">
      <c r="A1184" s="3020"/>
      <c r="B1184" s="3015" t="str">
        <f>[2]分摊!B1186</f>
        <v>90#07工具间</v>
      </c>
      <c r="C1184" s="3017">
        <f>[2]分摊!C1186</f>
        <v>143.77000000000001</v>
      </c>
      <c r="D1184" s="3018">
        <f>[2]分摊!H1186</f>
        <v>0.77</v>
      </c>
      <c r="E1184" s="3017">
        <f t="shared" si="18"/>
        <v>144.54000000000002</v>
      </c>
    </row>
    <row r="1185" spans="1:5" ht="19.95" customHeight="1">
      <c r="A1185" s="3020"/>
      <c r="B1185" s="3015" t="str">
        <f>[2]分摊!B1187</f>
        <v>91#01工具间</v>
      </c>
      <c r="C1185" s="3017">
        <f>[2]分摊!C1187</f>
        <v>150.78</v>
      </c>
      <c r="D1185" s="3018">
        <f>[2]分摊!H1187</f>
        <v>0.81</v>
      </c>
      <c r="E1185" s="3017">
        <f t="shared" si="18"/>
        <v>151.59</v>
      </c>
    </row>
    <row r="1186" spans="1:5" ht="19.95" customHeight="1">
      <c r="A1186" s="3020"/>
      <c r="B1186" s="3015" t="str">
        <f>[2]分摊!B1188</f>
        <v>91#02工具间</v>
      </c>
      <c r="C1186" s="3017">
        <f>[2]分摊!C1188</f>
        <v>101.56</v>
      </c>
      <c r="D1186" s="3018">
        <f>[2]分摊!H1188</f>
        <v>0.54</v>
      </c>
      <c r="E1186" s="3017">
        <f t="shared" si="18"/>
        <v>102.10000000000001</v>
      </c>
    </row>
    <row r="1187" spans="1:5" ht="19.95" customHeight="1">
      <c r="A1187" s="3020"/>
      <c r="B1187" s="3015" t="str">
        <f>[2]分摊!B1189</f>
        <v>91#03工具间</v>
      </c>
      <c r="C1187" s="3017">
        <f>[2]分摊!C1189</f>
        <v>101.56</v>
      </c>
      <c r="D1187" s="3018">
        <f>[2]分摊!H1189</f>
        <v>0.54</v>
      </c>
      <c r="E1187" s="3017">
        <f t="shared" si="18"/>
        <v>102.10000000000001</v>
      </c>
    </row>
    <row r="1188" spans="1:5" ht="19.95" customHeight="1">
      <c r="A1188" s="3020"/>
      <c r="B1188" s="3015" t="str">
        <f>[2]分摊!B1190</f>
        <v>91#05工具间</v>
      </c>
      <c r="C1188" s="3017">
        <f>[2]分摊!C1190</f>
        <v>101.56</v>
      </c>
      <c r="D1188" s="3018">
        <f>[2]分摊!H1190</f>
        <v>0.54</v>
      </c>
      <c r="E1188" s="3017">
        <f t="shared" si="18"/>
        <v>102.10000000000001</v>
      </c>
    </row>
    <row r="1189" spans="1:5" ht="19.95" customHeight="1">
      <c r="A1189" s="3020"/>
      <c r="B1189" s="3015" t="str">
        <f>[2]分摊!B1191</f>
        <v>91#06工具间</v>
      </c>
      <c r="C1189" s="3017">
        <f>[2]分摊!C1191</f>
        <v>101.56</v>
      </c>
      <c r="D1189" s="3018">
        <f>[2]分摊!H1191</f>
        <v>0.54</v>
      </c>
      <c r="E1189" s="3017">
        <f t="shared" si="18"/>
        <v>102.10000000000001</v>
      </c>
    </row>
    <row r="1190" spans="1:5" ht="19.95" customHeight="1">
      <c r="A1190" s="3020"/>
      <c r="B1190" s="3015" t="str">
        <f>[2]分摊!B1192</f>
        <v>91#07工具间</v>
      </c>
      <c r="C1190" s="3017">
        <f>[2]分摊!C1192</f>
        <v>150.78</v>
      </c>
      <c r="D1190" s="3018">
        <f>[2]分摊!H1192</f>
        <v>0.81</v>
      </c>
      <c r="E1190" s="3017">
        <f t="shared" si="18"/>
        <v>151.59</v>
      </c>
    </row>
    <row r="1191" spans="1:5" ht="19.95" customHeight="1">
      <c r="A1191" s="3020"/>
      <c r="B1191" s="3015" t="str">
        <f>[2]分摊!B1193</f>
        <v>92#01工具间</v>
      </c>
      <c r="C1191" s="3017">
        <f>[2]分摊!C1193</f>
        <v>150.78</v>
      </c>
      <c r="D1191" s="3018">
        <f>[2]分摊!H1193</f>
        <v>0.81</v>
      </c>
      <c r="E1191" s="3017">
        <f t="shared" si="18"/>
        <v>151.59</v>
      </c>
    </row>
    <row r="1192" spans="1:5" ht="19.95" customHeight="1">
      <c r="A1192" s="3020"/>
      <c r="B1192" s="3015" t="str">
        <f>[2]分摊!B1194</f>
        <v>92#02工具间</v>
      </c>
      <c r="C1192" s="3017">
        <f>[2]分摊!C1194</f>
        <v>101.56</v>
      </c>
      <c r="D1192" s="3018">
        <f>[2]分摊!H1194</f>
        <v>0.54</v>
      </c>
      <c r="E1192" s="3017">
        <f t="shared" si="18"/>
        <v>102.10000000000001</v>
      </c>
    </row>
    <row r="1193" spans="1:5" ht="19.95" customHeight="1">
      <c r="A1193" s="3020"/>
      <c r="B1193" s="3015" t="str">
        <f>[2]分摊!B1195</f>
        <v>92#03工具间</v>
      </c>
      <c r="C1193" s="3017">
        <f>[2]分摊!C1195</f>
        <v>101.56</v>
      </c>
      <c r="D1193" s="3018">
        <f>[2]分摊!H1195</f>
        <v>0.54</v>
      </c>
      <c r="E1193" s="3017">
        <f t="shared" si="18"/>
        <v>102.10000000000001</v>
      </c>
    </row>
    <row r="1194" spans="1:5" ht="19.95" customHeight="1">
      <c r="A1194" s="3020"/>
      <c r="B1194" s="3015" t="str">
        <f>[2]分摊!B1196</f>
        <v>92#05工具间</v>
      </c>
      <c r="C1194" s="3017">
        <f>[2]分摊!C1196</f>
        <v>101.56</v>
      </c>
      <c r="D1194" s="3018">
        <f>[2]分摊!H1196</f>
        <v>0.54</v>
      </c>
      <c r="E1194" s="3017">
        <f t="shared" si="18"/>
        <v>102.10000000000001</v>
      </c>
    </row>
    <row r="1195" spans="1:5" ht="19.95" customHeight="1">
      <c r="A1195" s="3020"/>
      <c r="B1195" s="3015" t="str">
        <f>[2]分摊!B1197</f>
        <v>92#06工具间</v>
      </c>
      <c r="C1195" s="3017">
        <f>[2]分摊!C1197</f>
        <v>101.56</v>
      </c>
      <c r="D1195" s="3018">
        <f>[2]分摊!H1197</f>
        <v>0.54</v>
      </c>
      <c r="E1195" s="3017">
        <f t="shared" si="18"/>
        <v>102.10000000000001</v>
      </c>
    </row>
    <row r="1196" spans="1:5" ht="19.95" customHeight="1">
      <c r="A1196" s="3020"/>
      <c r="B1196" s="3015" t="str">
        <f>[2]分摊!B1198</f>
        <v>92#07工具间</v>
      </c>
      <c r="C1196" s="3017">
        <f>[2]分摊!C1198</f>
        <v>132.08000000000001</v>
      </c>
      <c r="D1196" s="3018">
        <f>[2]分摊!H1198</f>
        <v>0.71</v>
      </c>
      <c r="E1196" s="3017">
        <f t="shared" si="18"/>
        <v>132.79000000000002</v>
      </c>
    </row>
    <row r="1197" spans="1:5" ht="19.95" customHeight="1">
      <c r="A1197" s="3020"/>
      <c r="B1197" s="3015" t="str">
        <f>[2]分摊!B1199</f>
        <v>93#01工具间</v>
      </c>
      <c r="C1197" s="3017">
        <f>[2]分摊!C1199</f>
        <v>132.63</v>
      </c>
      <c r="D1197" s="3018">
        <f>[2]分摊!H1199</f>
        <v>0.71</v>
      </c>
      <c r="E1197" s="3017">
        <f t="shared" si="18"/>
        <v>133.34</v>
      </c>
    </row>
    <row r="1198" spans="1:5" ht="19.95" customHeight="1">
      <c r="A1198" s="3020"/>
      <c r="B1198" s="3015" t="str">
        <f>[2]分摊!B1200</f>
        <v>93#02工具间</v>
      </c>
      <c r="C1198" s="3017">
        <f>[2]分摊!C1200</f>
        <v>101.56</v>
      </c>
      <c r="D1198" s="3018">
        <f>[2]分摊!H1200</f>
        <v>0.54</v>
      </c>
      <c r="E1198" s="3017">
        <f t="shared" si="18"/>
        <v>102.10000000000001</v>
      </c>
    </row>
    <row r="1199" spans="1:5" ht="19.95" customHeight="1">
      <c r="A1199" s="3020"/>
      <c r="B1199" s="3015" t="str">
        <f>[2]分摊!B1201</f>
        <v>93#03工具间</v>
      </c>
      <c r="C1199" s="3017">
        <f>[2]分摊!C1201</f>
        <v>101.56</v>
      </c>
      <c r="D1199" s="3018">
        <f>[2]分摊!H1201</f>
        <v>0.54</v>
      </c>
      <c r="E1199" s="3017">
        <f t="shared" si="18"/>
        <v>102.10000000000001</v>
      </c>
    </row>
    <row r="1200" spans="1:5" ht="19.95" customHeight="1">
      <c r="A1200" s="3020"/>
      <c r="B1200" s="3015" t="str">
        <f>[2]分摊!B1202</f>
        <v>93#05工具间</v>
      </c>
      <c r="C1200" s="3017">
        <f>[2]分摊!C1202</f>
        <v>150.78</v>
      </c>
      <c r="D1200" s="3018">
        <f>[2]分摊!H1202</f>
        <v>0.81</v>
      </c>
      <c r="E1200" s="3017">
        <f t="shared" si="18"/>
        <v>151.59</v>
      </c>
    </row>
    <row r="1201" spans="1:5" ht="19.95" customHeight="1">
      <c r="A1201" s="3020"/>
      <c r="B1201" s="3015" t="str">
        <f>[2]分摊!B1203</f>
        <v>95#01工具间</v>
      </c>
      <c r="C1201" s="3017">
        <f>[2]分摊!C1203</f>
        <v>150.78</v>
      </c>
      <c r="D1201" s="3018">
        <f>[2]分摊!H1203</f>
        <v>0.81</v>
      </c>
      <c r="E1201" s="3017">
        <f t="shared" si="18"/>
        <v>151.59</v>
      </c>
    </row>
    <row r="1202" spans="1:5" ht="19.95" customHeight="1">
      <c r="A1202" s="3020"/>
      <c r="B1202" s="3015" t="str">
        <f>[2]分摊!B1204</f>
        <v>95#02工具间</v>
      </c>
      <c r="C1202" s="3017">
        <f>[2]分摊!C1204</f>
        <v>101.56</v>
      </c>
      <c r="D1202" s="3018">
        <f>[2]分摊!H1204</f>
        <v>0.54</v>
      </c>
      <c r="E1202" s="3017">
        <f t="shared" si="18"/>
        <v>102.10000000000001</v>
      </c>
    </row>
    <row r="1203" spans="1:5" ht="19.95" customHeight="1">
      <c r="A1203" s="3020"/>
      <c r="B1203" s="3015" t="str">
        <f>[2]分摊!B1205</f>
        <v>95#03工具间</v>
      </c>
      <c r="C1203" s="3017">
        <f>[2]分摊!C1205</f>
        <v>101.56</v>
      </c>
      <c r="D1203" s="3018">
        <f>[2]分摊!H1205</f>
        <v>0.54</v>
      </c>
      <c r="E1203" s="3017">
        <f t="shared" si="18"/>
        <v>102.10000000000001</v>
      </c>
    </row>
    <row r="1204" spans="1:5" ht="19.95" customHeight="1">
      <c r="A1204" s="3020"/>
      <c r="B1204" s="3015" t="str">
        <f>[2]分摊!B1206</f>
        <v>95#05工具间</v>
      </c>
      <c r="C1204" s="3017">
        <f>[2]分摊!C1206</f>
        <v>101.56</v>
      </c>
      <c r="D1204" s="3018">
        <f>[2]分摊!H1206</f>
        <v>0.54</v>
      </c>
      <c r="E1204" s="3017">
        <f t="shared" si="18"/>
        <v>102.10000000000001</v>
      </c>
    </row>
    <row r="1205" spans="1:5" ht="19.95" customHeight="1">
      <c r="A1205" s="3020"/>
      <c r="B1205" s="3015" t="str">
        <f>[2]分摊!B1207</f>
        <v>95#06工具间</v>
      </c>
      <c r="C1205" s="3017">
        <f>[2]分摊!C1207</f>
        <v>150.78</v>
      </c>
      <c r="D1205" s="3018">
        <f>[2]分摊!H1207</f>
        <v>0.81</v>
      </c>
      <c r="E1205" s="3017">
        <f t="shared" si="18"/>
        <v>151.59</v>
      </c>
    </row>
    <row r="1206" spans="1:5" ht="19.95" customHeight="1">
      <c r="A1206" s="3020"/>
      <c r="B1206" s="3015" t="str">
        <f>[2]分摊!B1208</f>
        <v>96#01工具间</v>
      </c>
      <c r="C1206" s="3017">
        <f>[2]分摊!C1208</f>
        <v>150.78</v>
      </c>
      <c r="D1206" s="3018">
        <f>[2]分摊!H1208</f>
        <v>0.81</v>
      </c>
      <c r="E1206" s="3017">
        <f t="shared" si="18"/>
        <v>151.59</v>
      </c>
    </row>
    <row r="1207" spans="1:5" ht="19.95" customHeight="1">
      <c r="A1207" s="3020"/>
      <c r="B1207" s="3015" t="str">
        <f>[2]分摊!B1209</f>
        <v>96#02工具间</v>
      </c>
      <c r="C1207" s="3017">
        <f>[2]分摊!C1209</f>
        <v>101.56</v>
      </c>
      <c r="D1207" s="3018">
        <f>[2]分摊!H1209</f>
        <v>0.54</v>
      </c>
      <c r="E1207" s="3017">
        <f t="shared" si="18"/>
        <v>102.10000000000001</v>
      </c>
    </row>
    <row r="1208" spans="1:5" ht="19.95" customHeight="1">
      <c r="A1208" s="3020"/>
      <c r="B1208" s="3015" t="str">
        <f>[2]分摊!B1210</f>
        <v>96#03工具间</v>
      </c>
      <c r="C1208" s="3017">
        <f>[2]分摊!C1210</f>
        <v>101.56</v>
      </c>
      <c r="D1208" s="3018">
        <f>[2]分摊!H1210</f>
        <v>0.54</v>
      </c>
      <c r="E1208" s="3017">
        <f t="shared" si="18"/>
        <v>102.10000000000001</v>
      </c>
    </row>
    <row r="1209" spans="1:5" ht="19.95" customHeight="1">
      <c r="A1209" s="3020"/>
      <c r="B1209" s="3015" t="str">
        <f>[2]分摊!B1211</f>
        <v>96#05工具间</v>
      </c>
      <c r="C1209" s="3017">
        <f>[2]分摊!C1211</f>
        <v>101.56</v>
      </c>
      <c r="D1209" s="3018">
        <f>[2]分摊!H1211</f>
        <v>0.54</v>
      </c>
      <c r="E1209" s="3017">
        <f t="shared" si="18"/>
        <v>102.10000000000001</v>
      </c>
    </row>
    <row r="1210" spans="1:5" ht="19.95" customHeight="1">
      <c r="A1210" s="3020"/>
      <c r="B1210" s="3015" t="str">
        <f>[2]分摊!B1212</f>
        <v>96#06工具间</v>
      </c>
      <c r="C1210" s="3017">
        <f>[2]分摊!C1212</f>
        <v>165.08</v>
      </c>
      <c r="D1210" s="3018">
        <f>[2]分摊!H1212</f>
        <v>0.88</v>
      </c>
      <c r="E1210" s="3017">
        <f t="shared" si="18"/>
        <v>165.96</v>
      </c>
    </row>
    <row r="1211" spans="1:5" ht="19.95" customHeight="1">
      <c r="A1211" s="3020"/>
      <c r="B1211" s="3015" t="str">
        <f>[2]分摊!B1213</f>
        <v>97#01工具间</v>
      </c>
      <c r="C1211" s="3017">
        <f>[2]分摊!C1213</f>
        <v>165.08</v>
      </c>
      <c r="D1211" s="3018">
        <f>[2]分摊!H1213</f>
        <v>0.88</v>
      </c>
      <c r="E1211" s="3017">
        <f t="shared" si="18"/>
        <v>165.96</v>
      </c>
    </row>
    <row r="1212" spans="1:5" ht="19.95" customHeight="1">
      <c r="A1212" s="3020"/>
      <c r="B1212" s="3015" t="str">
        <f>[2]分摊!B1214</f>
        <v>97#02工具间</v>
      </c>
      <c r="C1212" s="3017">
        <f>[2]分摊!C1214</f>
        <v>101.56</v>
      </c>
      <c r="D1212" s="3018">
        <f>[2]分摊!H1214</f>
        <v>0.54</v>
      </c>
      <c r="E1212" s="3017">
        <f t="shared" si="18"/>
        <v>102.10000000000001</v>
      </c>
    </row>
    <row r="1213" spans="1:5" ht="19.95" customHeight="1">
      <c r="A1213" s="3020"/>
      <c r="B1213" s="3015" t="str">
        <f>[2]分摊!B1215</f>
        <v>97#03工具间</v>
      </c>
      <c r="C1213" s="3017">
        <f>[2]分摊!C1215</f>
        <v>101.56</v>
      </c>
      <c r="D1213" s="3018">
        <f>[2]分摊!H1215</f>
        <v>0.54</v>
      </c>
      <c r="E1213" s="3017">
        <f t="shared" si="18"/>
        <v>102.10000000000001</v>
      </c>
    </row>
    <row r="1214" spans="1:5" ht="19.95" customHeight="1">
      <c r="A1214" s="3020"/>
      <c r="B1214" s="3015" t="str">
        <f>[2]分摊!B1216</f>
        <v>97#05工具间</v>
      </c>
      <c r="C1214" s="3017">
        <f>[2]分摊!C1216</f>
        <v>150.78</v>
      </c>
      <c r="D1214" s="3018">
        <f>[2]分摊!H1216</f>
        <v>0.81</v>
      </c>
      <c r="E1214" s="3017">
        <f t="shared" si="18"/>
        <v>151.59</v>
      </c>
    </row>
    <row r="1215" spans="1:5" ht="19.95" customHeight="1">
      <c r="A1215" s="3020"/>
      <c r="B1215" s="3015" t="str">
        <f>[2]分摊!B1217</f>
        <v>电信间1</v>
      </c>
      <c r="C1215" s="3017">
        <f>[2]分摊!C1217</f>
        <v>11.7</v>
      </c>
      <c r="D1215" s="3018">
        <f>[2]分摊!H1217</f>
        <v>22.68</v>
      </c>
      <c r="E1215" s="3017">
        <f t="shared" si="18"/>
        <v>34.379999999999995</v>
      </c>
    </row>
    <row r="1216" spans="1:5" ht="19.95" customHeight="1">
      <c r="A1216" s="3020"/>
      <c r="B1216" s="3015" t="str">
        <f>[2]分摊!B1218</f>
        <v>电信间2</v>
      </c>
      <c r="C1216" s="3017">
        <f>[2]分摊!C1218</f>
        <v>11.7</v>
      </c>
      <c r="D1216" s="3018">
        <f>[2]分摊!H1218</f>
        <v>22.68</v>
      </c>
      <c r="E1216" s="3017">
        <f t="shared" si="18"/>
        <v>34.379999999999995</v>
      </c>
    </row>
    <row r="1217" spans="1:5" ht="19.95" customHeight="1">
      <c r="A1217" s="3020"/>
      <c r="B1217" s="3015" t="str">
        <f>[2]分摊!B1219</f>
        <v>电信间3</v>
      </c>
      <c r="C1217" s="3017">
        <f>[2]分摊!C1219</f>
        <v>11.7</v>
      </c>
      <c r="D1217" s="3018">
        <f>[2]分摊!H1219</f>
        <v>22.68</v>
      </c>
      <c r="E1217" s="3017">
        <f t="shared" si="18"/>
        <v>34.379999999999995</v>
      </c>
    </row>
    <row r="1218" spans="1:5" ht="19.95" customHeight="1">
      <c r="A1218" s="3020"/>
      <c r="B1218" s="3015" t="str">
        <f>[2]分摊!B1220</f>
        <v>电信间4</v>
      </c>
      <c r="C1218" s="3017">
        <f>[2]分摊!C1220</f>
        <v>11.7</v>
      </c>
      <c r="D1218" s="3018">
        <f>[2]分摊!H1220</f>
        <v>22.68</v>
      </c>
      <c r="E1218" s="3017">
        <f t="shared" si="18"/>
        <v>34.379999999999995</v>
      </c>
    </row>
    <row r="1219" spans="1:5" ht="19.95" customHeight="1">
      <c r="A1219" s="3020"/>
      <c r="B1219" s="3015" t="str">
        <f>[2]分摊!B1221</f>
        <v>电信间5</v>
      </c>
      <c r="C1219" s="3017">
        <f>[2]分摊!C1221</f>
        <v>17.21</v>
      </c>
      <c r="D1219" s="3018">
        <f>[2]分摊!H1221</f>
        <v>33.369999999999997</v>
      </c>
      <c r="E1219" s="3017">
        <f t="shared" si="18"/>
        <v>50.58</v>
      </c>
    </row>
    <row r="1220" spans="1:5" ht="19.95" customHeight="1">
      <c r="A1220" s="3020"/>
      <c r="B1220" s="3015" t="str">
        <f>[2]分摊!B1222</f>
        <v>电信间6</v>
      </c>
      <c r="C1220" s="3017">
        <f>[2]分摊!C1222</f>
        <v>5.88</v>
      </c>
      <c r="D1220" s="3018">
        <f>[2]分摊!H1222</f>
        <v>11.4</v>
      </c>
      <c r="E1220" s="3017">
        <f t="shared" si="18"/>
        <v>17.28</v>
      </c>
    </row>
    <row r="1221" spans="1:5" ht="19.95" customHeight="1">
      <c r="A1221" s="3020"/>
      <c r="B1221" s="3015" t="str">
        <f>[2]分摊!B1223</f>
        <v>电信间7</v>
      </c>
      <c r="C1221" s="3017">
        <f>[2]分摊!C1223</f>
        <v>5.75</v>
      </c>
      <c r="D1221" s="3018">
        <f>[2]分摊!H1223</f>
        <v>11.15</v>
      </c>
      <c r="E1221" s="3017">
        <f t="shared" ref="E1221:E1226" si="19">SUM(C1221:D1221)</f>
        <v>16.899999999999999</v>
      </c>
    </row>
    <row r="1222" spans="1:5" ht="19.95" customHeight="1">
      <c r="A1222" s="3020"/>
      <c r="B1222" s="3015" t="str">
        <f>[2]分摊!B1224</f>
        <v>水泵房1</v>
      </c>
      <c r="C1222" s="3017">
        <f>[2]分摊!C1224</f>
        <v>31.2</v>
      </c>
      <c r="D1222" s="3018">
        <f>[2]分摊!H1224</f>
        <v>60.5</v>
      </c>
      <c r="E1222" s="3017">
        <f t="shared" si="19"/>
        <v>91.7</v>
      </c>
    </row>
    <row r="1223" spans="1:5" ht="19.95" customHeight="1">
      <c r="A1223" s="3020"/>
      <c r="B1223" s="3015" t="str">
        <f>[2]分摊!B1225</f>
        <v>水泵房2</v>
      </c>
      <c r="C1223" s="3017">
        <f>[2]分摊!C1225</f>
        <v>19.2</v>
      </c>
      <c r="D1223" s="3018">
        <f>[2]分摊!H1225</f>
        <v>37.229999999999997</v>
      </c>
      <c r="E1223" s="3017">
        <f t="shared" si="19"/>
        <v>56.429999999999993</v>
      </c>
    </row>
    <row r="1224" spans="1:5" ht="19.95" customHeight="1">
      <c r="A1224" s="3020"/>
      <c r="B1224" s="3015" t="str">
        <f>[2]分摊!B1226</f>
        <v>报警阀间</v>
      </c>
      <c r="C1224" s="3017">
        <f>[2]分摊!C1226</f>
        <v>11.48</v>
      </c>
      <c r="D1224" s="3018">
        <f>[2]分摊!H1226</f>
        <v>22.26</v>
      </c>
      <c r="E1224" s="3017">
        <f t="shared" si="19"/>
        <v>33.74</v>
      </c>
    </row>
    <row r="1225" spans="1:5" ht="19.95" customHeight="1">
      <c r="A1225" s="3020"/>
      <c r="B1225" s="3015" t="str">
        <f>[2]分摊!B1227</f>
        <v>斜坡道1</v>
      </c>
      <c r="C1225" s="3017">
        <f>[2]分摊!C1227</f>
        <v>144.63</v>
      </c>
      <c r="D1225" s="3018">
        <f>[2]分摊!H1227</f>
        <v>0.77</v>
      </c>
      <c r="E1225" s="3017">
        <f t="shared" si="19"/>
        <v>145.4</v>
      </c>
    </row>
    <row r="1226" spans="1:5" ht="19.95" customHeight="1">
      <c r="A1226" s="3020"/>
      <c r="B1226" s="3015" t="str">
        <f>[2]分摊!B1228</f>
        <v>斜坡道2</v>
      </c>
      <c r="C1226" s="3017">
        <f>[2]分摊!C1228</f>
        <v>80.55</v>
      </c>
      <c r="D1226" s="3018">
        <f>[2]分摊!H1228</f>
        <v>0.43</v>
      </c>
      <c r="E1226" s="3017">
        <f t="shared" si="19"/>
        <v>80.98</v>
      </c>
    </row>
    <row r="1227" spans="1:5" ht="19.95" customHeight="1">
      <c r="A1227" s="3016"/>
      <c r="B1227" s="3178" t="s">
        <v>3160</v>
      </c>
      <c r="C1227" s="3017">
        <f>SUM(C4:C1226)</f>
        <v>55662.489999999736</v>
      </c>
      <c r="D1227" s="3017">
        <f>SUM(D4:D1226)</f>
        <v>24268.959999999519</v>
      </c>
      <c r="E1227" s="3017">
        <f>SUM(E4:E1226)</f>
        <v>79931.449999999691</v>
      </c>
    </row>
    <row r="1228" spans="1:5" ht="19.95" customHeight="1">
      <c r="A1228" s="3020"/>
      <c r="B1228" s="3179"/>
      <c r="C1228" s="3017"/>
      <c r="D1228" s="3018"/>
      <c r="E1228" s="3017"/>
    </row>
  </sheetData>
  <mergeCells count="3">
    <mergeCell ref="A1:E1"/>
    <mergeCell ref="A2:E2"/>
    <mergeCell ref="B1227:B1228"/>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1933</v>
      </c>
      <c r="B1" s="1389"/>
      <c r="C1" s="1389"/>
      <c r="D1" s="1389"/>
      <c r="E1" s="1389"/>
      <c r="F1" s="1389"/>
      <c r="G1" s="1389"/>
      <c r="H1" s="1389"/>
      <c r="I1" s="1389"/>
      <c r="J1" s="1389"/>
      <c r="K1" s="1389"/>
      <c r="L1" s="1389"/>
      <c r="M1" s="1389"/>
      <c r="N1" s="1389"/>
      <c r="O1" s="1389"/>
      <c r="P1" s="1389"/>
    </row>
    <row r="2" spans="1:16" ht="14.4">
      <c r="A2" s="3189" t="s">
        <v>1934</v>
      </c>
      <c r="B2" s="3189"/>
      <c r="C2" s="3189"/>
      <c r="D2" s="964" t="s">
        <v>1910</v>
      </c>
      <c r="E2" s="2218" t="s">
        <v>1911</v>
      </c>
      <c r="F2" s="1389"/>
      <c r="G2" s="2219"/>
      <c r="H2" s="2220"/>
      <c r="I2" s="2221" t="s">
        <v>1935</v>
      </c>
      <c r="J2" s="1389"/>
      <c r="K2" s="1389"/>
      <c r="L2" s="1389"/>
      <c r="M2" s="1389"/>
      <c r="N2" s="1424"/>
      <c r="O2" s="1389"/>
      <c r="P2" s="1389"/>
    </row>
    <row r="3" spans="1:16" ht="15" thickBot="1">
      <c r="A3" s="3190" t="s">
        <v>1908</v>
      </c>
      <c r="B3" s="3190"/>
      <c r="C3" s="3190"/>
      <c r="D3" s="46">
        <f>'数据-基础表'!AY6</f>
        <v>37123.449999999997</v>
      </c>
      <c r="E3" s="46">
        <f>'数据-基础表'!AZ5</f>
        <v>83517</v>
      </c>
      <c r="F3" s="1389"/>
      <c r="G3" s="1396"/>
      <c r="H3" s="1244" t="s">
        <v>1909</v>
      </c>
      <c r="I3" s="55">
        <f>ROUND('数据-基础表'!B3/'数据-基础表'!A3,2)</f>
        <v>2.25</v>
      </c>
      <c r="J3" s="1389"/>
      <c r="K3" s="1389"/>
      <c r="L3" s="1389"/>
      <c r="M3" s="1389"/>
      <c r="N3" s="1424"/>
      <c r="O3" s="1389"/>
      <c r="P3" s="1389"/>
    </row>
    <row r="4" spans="1:16" ht="14.4">
      <c r="A4" s="3191"/>
      <c r="B4" s="3192"/>
      <c r="C4" s="3193"/>
      <c r="D4" s="2222" t="s">
        <v>1910</v>
      </c>
      <c r="E4" s="2223" t="s">
        <v>1911</v>
      </c>
      <c r="F4" s="1389"/>
      <c r="G4" s="2224" t="s">
        <v>1936</v>
      </c>
      <c r="H4" s="1244" t="s">
        <v>1916</v>
      </c>
      <c r="I4" s="55">
        <f>ROUND(SUMIF('数据-基础表'!I9:AS9,"地上",'数据-基础表'!I5:AS5)/'数据-基础表'!A3,2)</f>
        <v>1.6</v>
      </c>
      <c r="J4" s="1389"/>
      <c r="K4" s="1389"/>
      <c r="L4" s="1389"/>
      <c r="M4" s="1389"/>
      <c r="N4" s="1424"/>
      <c r="O4" s="1389"/>
      <c r="P4" s="1389"/>
    </row>
    <row r="5" spans="1:16" ht="14.4">
      <c r="A5" s="47" t="s">
        <v>1912</v>
      </c>
      <c r="B5" s="3194" t="s">
        <v>1913</v>
      </c>
      <c r="C5" s="3194"/>
      <c r="D5" s="48">
        <f>ROUND($D$3*E5/$E$3,2)</f>
        <v>12375.41</v>
      </c>
      <c r="E5" s="49">
        <f>SUMIF('数据-基础表'!$11:$11,"住宅",'数据-基础表'!$5:$5)</f>
        <v>27841.09</v>
      </c>
      <c r="F5" s="1389"/>
      <c r="G5" s="1396"/>
      <c r="H5" s="1244" t="s">
        <v>1909</v>
      </c>
      <c r="I5" s="55">
        <f>ROUND(E31/D31,2)</f>
        <v>2.25</v>
      </c>
      <c r="J5" s="1389"/>
      <c r="K5" s="1389"/>
      <c r="L5" s="1389"/>
      <c r="M5" s="1389"/>
      <c r="N5" s="1389"/>
      <c r="O5" s="1389"/>
      <c r="P5" s="1389"/>
    </row>
    <row r="6" spans="1:16" ht="15" thickBot="1">
      <c r="A6" s="2225"/>
      <c r="B6" s="3194" t="s">
        <v>1914</v>
      </c>
      <c r="C6" s="3194"/>
      <c r="D6" s="48">
        <f>ROUND($D$3*E6/$E$3,2)</f>
        <v>24748.04</v>
      </c>
      <c r="E6" s="49">
        <f>E3-E5</f>
        <v>55675.91</v>
      </c>
      <c r="F6" s="1389"/>
      <c r="G6" s="2226" t="s">
        <v>1915</v>
      </c>
      <c r="H6" s="1396" t="s">
        <v>1916</v>
      </c>
      <c r="I6" s="936">
        <f>ROUND(F31/D31,2)</f>
        <v>0.85</v>
      </c>
      <c r="J6" s="1389"/>
      <c r="K6" s="1389"/>
      <c r="L6" s="1389"/>
      <c r="M6" s="1389"/>
      <c r="N6" s="1389"/>
      <c r="O6" s="1389"/>
      <c r="P6" s="1389"/>
    </row>
    <row r="7" spans="1:16" ht="14.4">
      <c r="A7" s="3186"/>
      <c r="B7" s="3187"/>
      <c r="C7" s="3188"/>
      <c r="D7" s="2222" t="s">
        <v>1910</v>
      </c>
      <c r="E7" s="2227" t="s">
        <v>1917</v>
      </c>
      <c r="F7" s="1389"/>
      <c r="G7" s="2219" t="s">
        <v>1918</v>
      </c>
      <c r="H7" s="64"/>
      <c r="I7" s="420">
        <v>1.6</v>
      </c>
      <c r="J7" s="1389"/>
      <c r="K7" s="1389"/>
      <c r="L7" s="1389"/>
      <c r="M7" s="1389"/>
      <c r="N7" s="1389"/>
      <c r="O7" s="1389"/>
      <c r="P7" s="1389"/>
    </row>
    <row r="8" spans="1:16" ht="14.4">
      <c r="A8" s="47" t="s">
        <v>1919</v>
      </c>
      <c r="B8" s="50" t="s">
        <v>1920</v>
      </c>
      <c r="C8" s="48" t="s">
        <v>1921</v>
      </c>
      <c r="D8" s="48">
        <f t="shared" ref="D8:D15" si="0">ROUND($D$3*E8/$E$3,2)</f>
        <v>13695.32</v>
      </c>
      <c r="E8" s="51">
        <f>SUMIF('数据-基础表'!BB10:BK10,"地上",'数据-基础表'!BB5:BK5)</f>
        <v>30810.510000000002</v>
      </c>
      <c r="F8" s="1389"/>
      <c r="G8" s="2228"/>
      <c r="H8" s="2228"/>
      <c r="I8" s="1389"/>
      <c r="J8" s="1389"/>
      <c r="K8" s="1389"/>
      <c r="L8" s="1389"/>
      <c r="M8" s="1389"/>
      <c r="N8" s="1389"/>
      <c r="O8" s="1389"/>
      <c r="P8" s="1389"/>
    </row>
    <row r="9" spans="1:16" ht="14.4">
      <c r="A9" s="2229"/>
      <c r="B9" s="2230"/>
      <c r="C9" s="48" t="s">
        <v>1922</v>
      </c>
      <c r="D9" s="48">
        <f t="shared" si="0"/>
        <v>0</v>
      </c>
      <c r="E9" s="52">
        <v>0</v>
      </c>
      <c r="F9" s="1389"/>
      <c r="G9" s="2228"/>
      <c r="H9" s="2228"/>
      <c r="I9" s="1389"/>
      <c r="J9" s="1389"/>
      <c r="K9" s="1389"/>
      <c r="L9" s="1389"/>
      <c r="M9" s="1389"/>
      <c r="N9" s="1389"/>
      <c r="O9" s="1389"/>
      <c r="P9" s="1389"/>
    </row>
    <row r="10" spans="1:16" ht="14.4">
      <c r="A10" s="2229"/>
      <c r="B10" s="2230"/>
      <c r="C10" s="48" t="s">
        <v>1931</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ht="14.4">
      <c r="A11" s="2229"/>
      <c r="B11" s="2230"/>
      <c r="C11" s="48" t="s">
        <v>1923</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ht="14.4">
      <c r="A12" s="2229"/>
      <c r="B12" s="2230"/>
      <c r="C12" s="48" t="s">
        <v>1924</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ht="14.4">
      <c r="A13" s="2229"/>
      <c r="B13" s="2230"/>
      <c r="C13" s="48" t="s">
        <v>1925</v>
      </c>
      <c r="D13" s="48">
        <f t="shared" si="0"/>
        <v>16014.05</v>
      </c>
      <c r="E13" s="51">
        <f>SUMPRODUCT(('数据-基础表'!BB10:BK10="地下")*('数据-基础表'!BB11:BK11="车库")*('数据-基础表'!BB5:BK5))</f>
        <v>36026.980000000003</v>
      </c>
      <c r="F13" s="1389"/>
      <c r="G13" s="2228"/>
      <c r="H13" s="2228"/>
      <c r="I13" s="1389"/>
      <c r="J13" s="1389"/>
      <c r="K13" s="1389"/>
      <c r="L13" s="1389"/>
      <c r="M13" s="1389"/>
      <c r="N13" s="1389"/>
      <c r="O13" s="1389"/>
      <c r="P13" s="1389"/>
    </row>
    <row r="14" spans="1:16" ht="14.4">
      <c r="A14" s="2229"/>
      <c r="B14" s="2230"/>
      <c r="C14" s="48" t="s">
        <v>1937</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1932</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 thickBot="1">
      <c r="A16" s="2225"/>
      <c r="B16" s="2230"/>
      <c r="C16" s="50" t="s">
        <v>1926</v>
      </c>
      <c r="D16" s="50">
        <f>SUM(D8:D15)</f>
        <v>29709.37</v>
      </c>
      <c r="E16" s="53">
        <f>SUM(E8:E15)</f>
        <v>66837.490000000005</v>
      </c>
      <c r="F16" s="1389"/>
      <c r="G16" s="2228"/>
      <c r="H16" s="2231" t="s">
        <v>1938</v>
      </c>
      <c r="I16" s="2232"/>
      <c r="J16" s="1389"/>
      <c r="K16" s="3183" t="s">
        <v>1938</v>
      </c>
      <c r="L16" s="3184"/>
      <c r="M16" s="3184"/>
      <c r="N16" s="3184"/>
      <c r="O16" s="3184"/>
      <c r="P16" s="3185"/>
    </row>
    <row r="17" spans="1:19" ht="14.4">
      <c r="A17" s="2233" t="s">
        <v>1939</v>
      </c>
      <c r="B17" s="2234" t="s">
        <v>1940</v>
      </c>
      <c r="C17" s="2235" t="s">
        <v>1941</v>
      </c>
      <c r="D17" s="2236" t="s">
        <v>1929</v>
      </c>
      <c r="E17" s="2237" t="s">
        <v>1930</v>
      </c>
      <c r="F17" s="2238"/>
      <c r="G17" s="2239"/>
      <c r="H17" s="2240" t="s">
        <v>1942</v>
      </c>
      <c r="I17" s="2241" t="s">
        <v>1927</v>
      </c>
      <c r="J17" s="1389"/>
      <c r="K17" s="3180" t="s">
        <v>1943</v>
      </c>
      <c r="L17" s="3181"/>
      <c r="M17" s="3182"/>
      <c r="N17" s="3180" t="s">
        <v>1944</v>
      </c>
      <c r="O17" s="3181"/>
      <c r="P17" s="3182"/>
      <c r="R17" s="2219" t="s">
        <v>1945</v>
      </c>
      <c r="S17" s="64"/>
    </row>
    <row r="18" spans="1:19" ht="14.4">
      <c r="A18" s="2229"/>
      <c r="B18" s="2242"/>
      <c r="C18" s="2243"/>
      <c r="D18" s="2244"/>
      <c r="E18" s="2245" t="s">
        <v>1946</v>
      </c>
      <c r="F18" s="2246" t="s">
        <v>1947</v>
      </c>
      <c r="G18" s="2247" t="s">
        <v>1948</v>
      </c>
      <c r="H18" s="1259" t="s">
        <v>1949</v>
      </c>
      <c r="I18" s="2248" t="s">
        <v>1950</v>
      </c>
      <c r="J18" s="1389"/>
      <c r="K18" s="1259" t="s">
        <v>1951</v>
      </c>
      <c r="L18" s="2249" t="s">
        <v>1952</v>
      </c>
      <c r="M18" s="1043" t="s">
        <v>1953</v>
      </c>
      <c r="N18" s="1259" t="s">
        <v>1951</v>
      </c>
      <c r="O18" s="2249" t="s">
        <v>1952</v>
      </c>
      <c r="P18" s="1043" t="s">
        <v>1953</v>
      </c>
      <c r="R18" s="1244" t="s">
        <v>1954</v>
      </c>
      <c r="S18" s="1244" t="s">
        <v>1955</v>
      </c>
    </row>
    <row r="19" spans="1:19" ht="14.4">
      <c r="A19" s="2250"/>
      <c r="B19" s="50" t="s">
        <v>1928</v>
      </c>
      <c r="C19" s="3044" t="s">
        <v>3170</v>
      </c>
      <c r="D19" s="48">
        <f>ROUND($D$3*E19/$E$3,2)</f>
        <v>6900.15</v>
      </c>
      <c r="E19" s="56">
        <f t="shared" ref="E19:E26" si="1">SUM(F19:G19)</f>
        <v>15523.33</v>
      </c>
      <c r="F19" s="57">
        <f>'数据-基础表'!I13+'数据-基础表'!I14</f>
        <v>15523.33</v>
      </c>
      <c r="G19" s="58"/>
      <c r="H19" s="723">
        <f>ROUND($D$3*I19/$E$3,2)</f>
        <v>1721.96</v>
      </c>
      <c r="I19" s="51">
        <f t="shared" ref="I19:I26" si="2">IF($I$17="自定义",P19,M19)</f>
        <v>3873.9</v>
      </c>
      <c r="J19" s="1389"/>
      <c r="K19" s="1388">
        <f t="shared" ref="K19:K26" si="3">ROUND(E$28*E19/E$27,2)</f>
        <v>3873.9</v>
      </c>
      <c r="L19" s="1244">
        <f t="shared" ref="L19:L26" si="4">ROUND(IF(COUNTIF(C19,"*住宅*")&gt;0,E$29*E19/E$32,0),2)</f>
        <v>0</v>
      </c>
      <c r="M19" s="1400">
        <f>K19+L19</f>
        <v>3873.9</v>
      </c>
      <c r="N19" s="2251"/>
      <c r="O19" s="2252"/>
      <c r="P19" s="1400">
        <f>N19+O19</f>
        <v>0</v>
      </c>
      <c r="R19" s="1244">
        <f t="shared" ref="R19:S26" si="5">D19+H19</f>
        <v>8622.11</v>
      </c>
      <c r="S19" s="1245">
        <f t="shared" si="5"/>
        <v>19397.23</v>
      </c>
    </row>
    <row r="20" spans="1:19" ht="14.4">
      <c r="A20" s="2253"/>
      <c r="B20" s="50" t="s">
        <v>1956</v>
      </c>
      <c r="C20" s="3044" t="s">
        <v>3172</v>
      </c>
      <c r="D20" s="48">
        <f t="shared" ref="D20:D26" si="6">ROUND($D$3*E20/$E$3,2)</f>
        <v>5475.27</v>
      </c>
      <c r="E20" s="56">
        <f t="shared" si="1"/>
        <v>12317.76</v>
      </c>
      <c r="F20" s="57">
        <f>'数据-基础表'!K13+'数据-基础表'!K14</f>
        <v>12317.76</v>
      </c>
      <c r="G20" s="58"/>
      <c r="H20" s="723">
        <f t="shared" ref="H20:H26" si="7">ROUND($D$3*I20/$E$3,2)</f>
        <v>1366.37</v>
      </c>
      <c r="I20" s="51">
        <f t="shared" si="2"/>
        <v>3073.94</v>
      </c>
      <c r="J20" s="1389"/>
      <c r="K20" s="1388">
        <f t="shared" si="3"/>
        <v>3073.94</v>
      </c>
      <c r="L20" s="1244">
        <f t="shared" si="4"/>
        <v>0</v>
      </c>
      <c r="M20" s="1400">
        <f t="shared" ref="M20:M26" si="8">K20+L20</f>
        <v>3073.94</v>
      </c>
      <c r="N20" s="2251"/>
      <c r="O20" s="2252"/>
      <c r="P20" s="1400">
        <f t="shared" ref="P20:P26" si="9">N20+O20</f>
        <v>0</v>
      </c>
      <c r="R20" s="1244">
        <f t="shared" si="5"/>
        <v>6841.64</v>
      </c>
      <c r="S20" s="1245">
        <f t="shared" si="5"/>
        <v>15391.7</v>
      </c>
    </row>
    <row r="21" spans="1:19" ht="14.4">
      <c r="A21" s="2253"/>
      <c r="B21" s="50" t="s">
        <v>1956</v>
      </c>
      <c r="C21" s="3044" t="s">
        <v>3173</v>
      </c>
      <c r="D21" s="48">
        <f t="shared" si="6"/>
        <v>1319.91</v>
      </c>
      <c r="E21" s="56">
        <f t="shared" si="1"/>
        <v>2969.42</v>
      </c>
      <c r="F21" s="57">
        <f>'数据-基础表'!M14</f>
        <v>2969.42</v>
      </c>
      <c r="G21" s="58"/>
      <c r="H21" s="723">
        <f t="shared" si="7"/>
        <v>329.39</v>
      </c>
      <c r="I21" s="51">
        <f t="shared" si="2"/>
        <v>741.03</v>
      </c>
      <c r="J21" s="1389"/>
      <c r="K21" s="1388">
        <f t="shared" si="3"/>
        <v>741.03</v>
      </c>
      <c r="L21" s="1244">
        <f t="shared" si="4"/>
        <v>0</v>
      </c>
      <c r="M21" s="1400">
        <f t="shared" si="8"/>
        <v>741.03</v>
      </c>
      <c r="N21" s="2251"/>
      <c r="O21" s="2252"/>
      <c r="P21" s="1400">
        <f t="shared" si="9"/>
        <v>0</v>
      </c>
      <c r="R21" s="1244">
        <f t="shared" si="5"/>
        <v>1649.3000000000002</v>
      </c>
      <c r="S21" s="1245">
        <f t="shared" si="5"/>
        <v>3710.45</v>
      </c>
    </row>
    <row r="22" spans="1:19" ht="14.4">
      <c r="A22" s="2253"/>
      <c r="B22" s="50" t="s">
        <v>1956</v>
      </c>
      <c r="C22" s="3045" t="s">
        <v>3174</v>
      </c>
      <c r="D22" s="48">
        <f t="shared" si="6"/>
        <v>16014.05</v>
      </c>
      <c r="E22" s="56">
        <f t="shared" si="1"/>
        <v>36026.980000000003</v>
      </c>
      <c r="F22" s="61"/>
      <c r="G22" s="62">
        <f>'数据-基础表'!O13</f>
        <v>36026.980000000003</v>
      </c>
      <c r="H22" s="723">
        <f t="shared" si="7"/>
        <v>3996.36</v>
      </c>
      <c r="I22" s="51">
        <f t="shared" si="2"/>
        <v>8990.65</v>
      </c>
      <c r="J22" s="1389"/>
      <c r="K22" s="1388">
        <f t="shared" si="3"/>
        <v>8990.65</v>
      </c>
      <c r="L22" s="1244">
        <f t="shared" si="4"/>
        <v>0</v>
      </c>
      <c r="M22" s="1400">
        <f t="shared" si="8"/>
        <v>8990.65</v>
      </c>
      <c r="N22" s="2251"/>
      <c r="O22" s="2252"/>
      <c r="P22" s="1400">
        <f t="shared" si="9"/>
        <v>0</v>
      </c>
      <c r="R22" s="1244">
        <f t="shared" si="5"/>
        <v>20010.41</v>
      </c>
      <c r="S22" s="1245">
        <f t="shared" si="5"/>
        <v>45017.630000000005</v>
      </c>
    </row>
    <row r="23" spans="1:19" ht="14.4">
      <c r="A23" s="2253"/>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ht="14.4">
      <c r="A24" s="2253"/>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ht="14.4">
      <c r="A25" s="2253"/>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ht="14.4">
      <c r="A26" s="2253"/>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28.2" thickBot="1">
      <c r="A27" s="2253"/>
      <c r="B27" s="48"/>
      <c r="C27" s="2256" t="s">
        <v>1957</v>
      </c>
      <c r="D27" s="1390">
        <f>SUM(D19:D26)</f>
        <v>29709.379999999997</v>
      </c>
      <c r="E27" s="1391">
        <f>IF(SUM(E19:E26)='数据-基础表'!BA5,SUM(E19:E26),IF(F27="地上面积有误","面积有误","地下面积有误"))</f>
        <v>66837.490000000005</v>
      </c>
      <c r="F27" s="1390">
        <f>IF(SUM(F19:F26)=E8,SUM(F19:F26),"地上面积有误")</f>
        <v>30810.510000000002</v>
      </c>
      <c r="G27" s="1392">
        <f>SUM(G19:G26)</f>
        <v>36026.980000000003</v>
      </c>
      <c r="H27" s="1393">
        <f>SUM(H19:H26)</f>
        <v>7414.08</v>
      </c>
      <c r="I27" s="1394">
        <f>SUM(I19:I26)</f>
        <v>16679.52</v>
      </c>
      <c r="J27" s="1389"/>
      <c r="K27" s="1397">
        <f>SUM(K19:K26)</f>
        <v>16679.52</v>
      </c>
      <c r="L27" s="1398">
        <f>SUM(L19:L26)</f>
        <v>0</v>
      </c>
      <c r="M27" s="1401">
        <f>SUM(M19:M26)</f>
        <v>16679.52</v>
      </c>
      <c r="N27" s="1397">
        <f t="shared" ref="N27:O27" si="10">SUM(N19:N26)</f>
        <v>0</v>
      </c>
      <c r="O27" s="1398">
        <f t="shared" si="10"/>
        <v>0</v>
      </c>
      <c r="P27" s="1399">
        <f>SUM(P19:P26)</f>
        <v>0</v>
      </c>
      <c r="R27" s="1246" t="str">
        <f>IF(SUM(R19:R26)=$D$3,SUM(R19:R26),SUM(R19:R26)&amp;"误差"&amp;ROUND(SUM(R19:R26)-$D$3,2))</f>
        <v>37123.46误差0.01</v>
      </c>
      <c r="S27" s="1244" t="str">
        <f>IF(SUM(S19:S26)=$E$3,SUM(S19:S26),SUM(S19:S26)&amp;"误差"&amp;ROUND(SUM(S19:S26)-E3,2))</f>
        <v>83517.01误差0.01</v>
      </c>
    </row>
    <row r="28" spans="1:19" ht="14.4">
      <c r="A28" s="2253"/>
      <c r="B28" s="50" t="s">
        <v>1958</v>
      </c>
      <c r="C28" s="1256" t="s">
        <v>1959</v>
      </c>
      <c r="D28" s="48">
        <f>ROUND($D$3*E28/$E$3,2)</f>
        <v>7414.07</v>
      </c>
      <c r="E28" s="56">
        <f>SUM(F28:G28)</f>
        <v>16679.510000000002</v>
      </c>
      <c r="F28" s="64">
        <f>'数据-基础表'!BQ5+'数据-基础表'!BS5</f>
        <v>779.58</v>
      </c>
      <c r="G28" s="65">
        <f>'数据-基础表'!BR5+'数据-基础表'!BT5</f>
        <v>15899.93</v>
      </c>
      <c r="H28" s="1389"/>
      <c r="I28" s="1389"/>
      <c r="J28" s="1389"/>
      <c r="K28" s="1389"/>
      <c r="L28" s="1389"/>
      <c r="M28" s="1389"/>
      <c r="N28" s="1389"/>
      <c r="O28" s="1389"/>
      <c r="P28" s="1389"/>
    </row>
    <row r="29" spans="1:19" ht="14.4">
      <c r="A29" s="2253"/>
      <c r="B29" s="50" t="s">
        <v>1958</v>
      </c>
      <c r="C29" s="2257"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3"/>
      <c r="B30" s="50"/>
      <c r="C30" s="2258" t="s">
        <v>1957</v>
      </c>
      <c r="D30" s="1390">
        <f>SUM(D28:D29)</f>
        <v>7414.07</v>
      </c>
      <c r="E30" s="1390">
        <f>SUM(E28:E29)</f>
        <v>16679.510000000002</v>
      </c>
      <c r="F30" s="1390">
        <f>SUM(F28:F29)</f>
        <v>779.58</v>
      </c>
      <c r="G30" s="1392">
        <f>SUM(G28:G29)</f>
        <v>15899.93</v>
      </c>
      <c r="H30" s="1389"/>
      <c r="I30" s="1389"/>
      <c r="J30" s="1389"/>
      <c r="K30" s="1389"/>
      <c r="L30" s="1389"/>
      <c r="M30" s="1389"/>
      <c r="N30" s="1389"/>
      <c r="O30" s="1389"/>
      <c r="P30" s="1389"/>
    </row>
    <row r="31" spans="1:19" ht="15" thickBot="1">
      <c r="A31" s="2259"/>
      <c r="B31" s="2260"/>
      <c r="C31" s="1004" t="s">
        <v>1961</v>
      </c>
      <c r="D31" s="729">
        <f>D27+D30</f>
        <v>37123.449999999997</v>
      </c>
      <c r="E31" s="729">
        <f>E27+E30</f>
        <v>83517</v>
      </c>
      <c r="F31" s="730">
        <f>F27+F30</f>
        <v>31590.090000000004</v>
      </c>
      <c r="G31" s="731">
        <f>G27+G30</f>
        <v>51926.91</v>
      </c>
      <c r="H31" s="1389"/>
      <c r="I31" s="1389"/>
      <c r="J31" s="1389"/>
      <c r="K31" s="1389"/>
      <c r="L31" s="1389"/>
      <c r="M31" s="1389"/>
      <c r="N31" s="1389"/>
      <c r="O31" s="1389"/>
      <c r="P31" s="1389"/>
    </row>
    <row r="32" spans="1:19" ht="14.4">
      <c r="A32" s="2224"/>
      <c r="B32" s="2224" t="s">
        <v>1962</v>
      </c>
      <c r="C32" s="2224"/>
      <c r="D32" s="2224"/>
      <c r="E32" s="1271">
        <f>SUMIF(C19:C26,"*住宅*",E19:E26)</f>
        <v>27841.09</v>
      </c>
      <c r="F32" s="2224"/>
      <c r="G32" s="2224"/>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O16" sqref="O16"/>
    </sheetView>
  </sheetViews>
  <sheetFormatPr defaultColWidth="13.77734375"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80"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13.77734375" style="2264"/>
    <col min="68" max="16384" width="13.77734375" style="2265"/>
  </cols>
  <sheetData>
    <row r="1" spans="1:67" ht="18" thickBot="1">
      <c r="A1" s="2262" t="s">
        <v>1963</v>
      </c>
      <c r="B1" s="732"/>
      <c r="C1" s="1577"/>
      <c r="D1" s="2263"/>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6" t="s">
        <v>1964</v>
      </c>
      <c r="B2" s="1263">
        <f>项目基本情况!D3</f>
        <v>43629</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4.4" thickBot="1">
      <c r="A3" s="2025"/>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57.6">
      <c r="A5" s="2279" t="s">
        <v>1971</v>
      </c>
      <c r="B5" s="2280" t="s">
        <v>1972</v>
      </c>
      <c r="C5" s="2281" t="s">
        <v>1973</v>
      </c>
      <c r="D5" s="2282" t="s">
        <v>1974</v>
      </c>
      <c r="E5" s="1265" t="s">
        <v>1975</v>
      </c>
      <c r="F5" s="2283" t="s">
        <v>1976</v>
      </c>
      <c r="G5" s="1265" t="s">
        <v>1977</v>
      </c>
      <c r="H5" s="1265" t="s">
        <v>1978</v>
      </c>
      <c r="I5" s="1265" t="s">
        <v>1979</v>
      </c>
      <c r="J5" s="2284" t="s">
        <v>1980</v>
      </c>
      <c r="K5" s="2285" t="s">
        <v>1981</v>
      </c>
      <c r="L5" s="2286" t="s">
        <v>1982</v>
      </c>
      <c r="M5" s="2287" t="s">
        <v>1983</v>
      </c>
      <c r="N5" s="2288" t="s">
        <v>3474</v>
      </c>
      <c r="O5" s="2286" t="s">
        <v>1984</v>
      </c>
      <c r="P5" s="2289" t="s">
        <v>1985</v>
      </c>
      <c r="Q5" s="69" t="s">
        <v>1986</v>
      </c>
      <c r="R5" s="2290" t="s">
        <v>1987</v>
      </c>
      <c r="S5" s="2291" t="s">
        <v>1988</v>
      </c>
      <c r="T5" s="2292" t="s">
        <v>1989</v>
      </c>
      <c r="U5" s="1264" t="s">
        <v>1990</v>
      </c>
      <c r="V5" s="1265" t="s">
        <v>1991</v>
      </c>
      <c r="W5" s="1265" t="s">
        <v>1992</v>
      </c>
      <c r="X5" s="71"/>
      <c r="Y5" s="70" t="s">
        <v>1993</v>
      </c>
      <c r="Z5" s="2293" t="s">
        <v>1990</v>
      </c>
      <c r="AA5" s="1265" t="s">
        <v>1991</v>
      </c>
      <c r="AB5" s="1265" t="s">
        <v>1992</v>
      </c>
      <c r="AC5" s="71"/>
      <c r="AD5" s="71" t="s">
        <v>1993</v>
      </c>
      <c r="AE5" s="1264" t="s">
        <v>1994</v>
      </c>
      <c r="AF5" s="1265" t="s">
        <v>1995</v>
      </c>
      <c r="AG5" s="70" t="s">
        <v>1996</v>
      </c>
      <c r="AH5" s="1264" t="s">
        <v>1997</v>
      </c>
      <c r="AI5" s="2293" t="s">
        <v>1998</v>
      </c>
      <c r="AJ5" s="2293" t="s">
        <v>1999</v>
      </c>
      <c r="AK5" s="1265" t="s">
        <v>2000</v>
      </c>
      <c r="AL5" s="1265" t="s">
        <v>2001</v>
      </c>
      <c r="AM5" s="70" t="s">
        <v>2002</v>
      </c>
      <c r="AN5" s="2294" t="s">
        <v>2003</v>
      </c>
      <c r="AO5" s="2065" t="s">
        <v>2004</v>
      </c>
      <c r="AP5" s="1246"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3.8">
      <c r="A6" s="2296" t="str">
        <f>'数据-汇总表'!C19</f>
        <v>住宅（联排）</v>
      </c>
      <c r="B6" s="2297" t="str">
        <f>IF(A6=0,"","经营性")</f>
        <v>经营性</v>
      </c>
      <c r="C6" s="2298" t="s">
        <v>3089</v>
      </c>
      <c r="D6" s="1048">
        <f>SUMIF(项目基本情况!D$12:I$12,C6,项目基本情况!D$14:I$14)</f>
        <v>70</v>
      </c>
      <c r="E6" s="1045">
        <f>IF(B6="","",SUMIF(项目基本情况!D$12:I$12,C6,项目基本情况!D$13:I$13))</f>
        <v>65652</v>
      </c>
      <c r="F6" s="72">
        <f>SUMIF(项目基本情况!D$12:I$12,C6,项目基本情况!D$15:I$15)</f>
        <v>60.33</v>
      </c>
      <c r="G6" s="73">
        <f>IF(ISERROR(ROUND(POWER(1+H6,D6-F6)*(POWER(1+H6,F6)-1)/(POWER(1+H6,D6)-1),3)),0,ROUND(POWER(1+H6,D6-F6)*(POWER(1+H6,F6)-1)/(POWER(1+H6,D6)-1),3))</f>
        <v>0.97399999999999998</v>
      </c>
      <c r="H6" s="802">
        <v>4.4999999999999998E-2</v>
      </c>
      <c r="I6" s="802">
        <v>0.05</v>
      </c>
      <c r="J6" s="74">
        <v>8.5000000000000006E-2</v>
      </c>
      <c r="K6" s="1248">
        <f>SUMIF('数据-汇总表'!C$19:C$33,A6,'数据-汇总表'!E$19:E$33)</f>
        <v>15523.33</v>
      </c>
      <c r="L6" s="803">
        <v>3000</v>
      </c>
      <c r="M6" s="75">
        <f t="shared" ref="M6:M14" si="0">ROUND(K6*L6/10000,0)</f>
        <v>4657</v>
      </c>
      <c r="N6" s="801">
        <v>0.03</v>
      </c>
      <c r="O6" s="75">
        <f>IF($N$5="成新度","——",ROUND(M6*N6,0))</f>
        <v>140</v>
      </c>
      <c r="P6" s="76">
        <f>IF($N$5="成新度","——",M6-O6)</f>
        <v>4517</v>
      </c>
      <c r="Q6" s="804">
        <v>0.2</v>
      </c>
      <c r="R6" s="77">
        <f ca="1">SUMIF('数据-汇总表'!C$19:C$33,A6,'数据-汇总表'!R$19:R$27)</f>
        <v>8622.11</v>
      </c>
      <c r="S6" s="54">
        <f>IF('数据-汇总表'!$I$17="按面积比例",SUMIF('数据-汇总表'!C$19:C$33,A6,'数据-汇总表'!K$19:K$33),SUMIF('数据-汇总表'!C$19:C$33,A6,'数据-汇总表'!N$19:N$33))</f>
        <v>3873.9</v>
      </c>
      <c r="T6" s="1440">
        <f>ROUND($L$14*S6/10000,0)</f>
        <v>775</v>
      </c>
      <c r="U6" s="78"/>
      <c r="V6" s="79"/>
      <c r="W6" s="79"/>
      <c r="X6" s="1258"/>
      <c r="Y6" s="80"/>
      <c r="Z6" s="81"/>
      <c r="AA6" s="74"/>
      <c r="AB6" s="74"/>
      <c r="AC6" s="1258"/>
      <c r="AD6" s="82"/>
      <c r="AE6" s="1259">
        <f ca="1">IF(AN6="",0,SUMIF(INDIRECT("'"&amp;AN6&amp;"'"&amp;"!E:E"),$AE$5,INDIRECT("'"&amp;AN6&amp;"'"&amp;"!F:F")))</f>
        <v>0</v>
      </c>
      <c r="AF6" s="1800"/>
      <c r="AG6" s="147">
        <f>IF(AF6="",0,AE6-AF6)</f>
        <v>0</v>
      </c>
      <c r="AH6" s="83"/>
      <c r="AI6" s="85"/>
      <c r="AJ6" s="86"/>
      <c r="AK6" s="87"/>
      <c r="AL6" s="88"/>
      <c r="AM6" s="89"/>
      <c r="AN6" s="2299"/>
      <c r="AO6" s="55" t="e">
        <f ca="1">SUMIF(INDIRECT("'"&amp;AN6&amp;"'"&amp;"!A:A"),"总价",INDIRECT("'"&amp;AN6&amp;"'"&amp;"!B:B"))</f>
        <v>#REF!</v>
      </c>
      <c r="AP6" s="2300">
        <f>IF(C6="住宅",K6*L6,0)</f>
        <v>46569990</v>
      </c>
      <c r="AQ6" s="55">
        <f>ROUND($L$14*$N$14*S6/10000,0)</f>
        <v>116</v>
      </c>
      <c r="AR6" s="55">
        <f>ROUND($L$14*(1-$N$14)*S6/10000,0)</f>
        <v>659</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3.8">
      <c r="A7" s="2296" t="str">
        <f>'数据-汇总表'!C20</f>
        <v>住宅（双拼）</v>
      </c>
      <c r="B7" s="2297" t="str">
        <f t="shared" ref="B7:B13" si="1">IF(A7=0,"","经营性")</f>
        <v>经营性</v>
      </c>
      <c r="C7" s="2298" t="s">
        <v>3089</v>
      </c>
      <c r="D7" s="1048">
        <f>SUMIF(项目基本情况!D$12:I$12,C7,项目基本情况!D$14:I$14)</f>
        <v>70</v>
      </c>
      <c r="E7" s="1045">
        <f>IF(B7="","",SUMIF(项目基本情况!D$12:I$12,C7,项目基本情况!D$13:I$13))</f>
        <v>65652</v>
      </c>
      <c r="F7" s="72">
        <f>SUMIF(项目基本情况!D$12:I$12,C7,项目基本情况!D$15:I$15)</f>
        <v>60.33</v>
      </c>
      <c r="G7" s="73">
        <f t="shared" ref="G7:G11" si="2">IF(ISERROR(ROUND(POWER(1+H7,D7-F7)*(POWER(1+H7,F7)-1)/(POWER(1+H7,D7)-1),3)),0,ROUND(POWER(1+H7,D7-F7)*(POWER(1+H7,F7)-1)/(POWER(1+H7,D7)-1),3))</f>
        <v>0.97399999999999998</v>
      </c>
      <c r="H7" s="802">
        <v>4.4999999999999998E-2</v>
      </c>
      <c r="I7" s="802">
        <v>0.05</v>
      </c>
      <c r="J7" s="74">
        <v>8.5000000000000006E-2</v>
      </c>
      <c r="K7" s="1248">
        <f>SUMIF('数据-汇总表'!C$19:C$33,A7,'数据-汇总表'!E$19:E$33)</f>
        <v>12317.76</v>
      </c>
      <c r="L7" s="803">
        <v>3000</v>
      </c>
      <c r="M7" s="75">
        <f t="shared" si="0"/>
        <v>3695</v>
      </c>
      <c r="N7" s="801">
        <v>0.03</v>
      </c>
      <c r="O7" s="75">
        <f t="shared" ref="O7:O14" si="3">IF($N$5="成新度","——",ROUND(M7*N7,0))</f>
        <v>111</v>
      </c>
      <c r="P7" s="76">
        <f t="shared" ref="P7:P14" si="4">IF($N$5="成新度","——",M7-O7)</f>
        <v>3584</v>
      </c>
      <c r="Q7" s="804">
        <v>0.2</v>
      </c>
      <c r="R7" s="77">
        <f ca="1">SUMIF('数据-汇总表'!C$19:C$33,A7,'数据-汇总表'!R$19:R$27)</f>
        <v>6841.64</v>
      </c>
      <c r="S7" s="54">
        <f>IF('数据-汇总表'!$I$17="按面积比例",SUMIF('数据-汇总表'!C$19:C$33,A7,'数据-汇总表'!K$19:K$33),SUMIF('数据-汇总表'!C$19:C$33,A7,'数据-汇总表'!N$19:N$33))</f>
        <v>3073.94</v>
      </c>
      <c r="T7" s="1440">
        <f t="shared" ref="T7:T13" si="5">ROUND($L$14*S7/10000,0)</f>
        <v>615</v>
      </c>
      <c r="U7" s="78"/>
      <c r="V7" s="79"/>
      <c r="W7" s="79"/>
      <c r="X7" s="1258"/>
      <c r="Y7" s="80"/>
      <c r="Z7" s="81"/>
      <c r="AA7" s="74"/>
      <c r="AB7" s="74"/>
      <c r="AC7" s="1258"/>
      <c r="AD7" s="82"/>
      <c r="AE7" s="1259">
        <f t="shared" ref="AE7:AE13" ca="1" si="6">IF(AN7="",0,SUMIF(INDIRECT("'"&amp;AN7&amp;"'"&amp;"!E:E"),$AE$5,INDIRECT("'"&amp;AN7&amp;"'"&amp;"!F:F")))</f>
        <v>0</v>
      </c>
      <c r="AF7" s="1800"/>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36953280</v>
      </c>
      <c r="AQ7" s="55">
        <f t="shared" ref="AQ7:AQ13" si="10">ROUND($L$14*$N$14*S7/10000,0)</f>
        <v>92</v>
      </c>
      <c r="AR7" s="55">
        <f t="shared" ref="AR7:AR13" si="11">ROUND($L$14*(1-$N$14)*S7/10000,0)</f>
        <v>523</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3.8">
      <c r="A8" s="2296" t="str">
        <f>'数据-汇总表'!C21</f>
        <v>商业</v>
      </c>
      <c r="B8" s="2297" t="str">
        <f t="shared" si="1"/>
        <v>经营性</v>
      </c>
      <c r="C8" s="2298" t="s">
        <v>1373</v>
      </c>
      <c r="D8" s="1048">
        <f>SUMIF(项目基本情况!D$12:I$12,C8,项目基本情况!D$14:I$14)</f>
        <v>40</v>
      </c>
      <c r="E8" s="1045">
        <f>IF(B8="","",SUMIF(项目基本情况!D$12:I$12,C8,项目基本情况!D$13:I$13))</f>
        <v>54695</v>
      </c>
      <c r="F8" s="72">
        <f>SUMIF(项目基本情况!D$12:I$12,C8,项目基本情况!D$15:I$15)</f>
        <v>30.31</v>
      </c>
      <c r="G8" s="73">
        <f t="shared" si="2"/>
        <v>0.9</v>
      </c>
      <c r="H8" s="802">
        <v>0.05</v>
      </c>
      <c r="I8" s="802">
        <v>5.5E-2</v>
      </c>
      <c r="J8" s="74">
        <v>8.5000000000000006E-2</v>
      </c>
      <c r="K8" s="1248">
        <f>SUMIF('数据-汇总表'!C$19:C$33,A8,'数据-汇总表'!E$19:E$33)</f>
        <v>2969.42</v>
      </c>
      <c r="L8" s="3088">
        <v>2000</v>
      </c>
      <c r="M8" s="75">
        <f>ROUND(K8*L8/10000,0)</f>
        <v>594</v>
      </c>
      <c r="N8" s="801">
        <v>0</v>
      </c>
      <c r="O8" s="75">
        <f>IF($N$5="成新度","——",ROUND(M8*N8,0))</f>
        <v>0</v>
      </c>
      <c r="P8" s="76">
        <f t="shared" si="4"/>
        <v>594</v>
      </c>
      <c r="Q8" s="804">
        <v>0.25</v>
      </c>
      <c r="R8" s="77">
        <f ca="1">SUMIF('数据-汇总表'!C$19:C$33,A8,'数据-汇总表'!R$19:R$27)</f>
        <v>1649.3000000000002</v>
      </c>
      <c r="S8" s="54">
        <f>IF('数据-汇总表'!$I$17="按面积比例",SUMIF('数据-汇总表'!C$19:C$33,A8,'数据-汇总表'!K$19:K$33),SUMIF('数据-汇总表'!C$19:C$33,A8,'数据-汇总表'!N$19:N$33))</f>
        <v>741.03</v>
      </c>
      <c r="T8" s="1440">
        <f t="shared" si="5"/>
        <v>148</v>
      </c>
      <c r="U8" s="805">
        <v>4</v>
      </c>
      <c r="V8" s="806">
        <v>0.03</v>
      </c>
      <c r="W8" s="806">
        <v>0.1</v>
      </c>
      <c r="X8" s="1258"/>
      <c r="Y8" s="807">
        <v>1</v>
      </c>
      <c r="Z8" s="81"/>
      <c r="AA8" s="74"/>
      <c r="AB8" s="74"/>
      <c r="AC8" s="1258"/>
      <c r="AD8" s="82"/>
      <c r="AE8" s="1259">
        <f t="shared" ca="1" si="6"/>
        <v>28.61</v>
      </c>
      <c r="AF8" s="1800"/>
      <c r="AG8" s="147">
        <f t="shared" si="7"/>
        <v>0</v>
      </c>
      <c r="AH8" s="808"/>
      <c r="AI8" s="85">
        <v>365</v>
      </c>
      <c r="AJ8" s="86"/>
      <c r="AK8" s="87">
        <v>1.4999999999999999E-2</v>
      </c>
      <c r="AL8" s="88">
        <v>1.5E-3</v>
      </c>
      <c r="AM8" s="89">
        <v>0.01</v>
      </c>
      <c r="AN8" s="2299" t="s">
        <v>3189</v>
      </c>
      <c r="AO8" s="55">
        <f t="shared" ca="1" si="8"/>
        <v>5898</v>
      </c>
      <c r="AP8" s="2300">
        <f t="shared" si="9"/>
        <v>0</v>
      </c>
      <c r="AQ8" s="55">
        <f t="shared" si="10"/>
        <v>22</v>
      </c>
      <c r="AR8" s="55">
        <f t="shared" si="11"/>
        <v>126</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3.8">
      <c r="A9" s="2296" t="str">
        <f>'数据-汇总表'!C22</f>
        <v>地下车库</v>
      </c>
      <c r="B9" s="2297" t="str">
        <f t="shared" si="1"/>
        <v>经营性</v>
      </c>
      <c r="C9" s="2298" t="s">
        <v>3165</v>
      </c>
      <c r="D9" s="1048">
        <f>SUMIF(项目基本情况!D$12:I$12,C9,项目基本情况!D$14:I$14)</f>
        <v>50</v>
      </c>
      <c r="E9" s="1045">
        <f>IF(B9="","",SUMIF(项目基本情况!D$12:I$12,C9,项目基本情况!D$13:I$13))</f>
        <v>58347</v>
      </c>
      <c r="F9" s="72">
        <f>SUMIF(项目基本情况!D$12:I$12,C9,项目基本情况!D$15:I$15)</f>
        <v>40.32</v>
      </c>
      <c r="G9" s="73">
        <f t="shared" si="2"/>
        <v>0.92400000000000004</v>
      </c>
      <c r="H9" s="802">
        <v>0.04</v>
      </c>
      <c r="I9" s="802">
        <v>4.4999999999999998E-2</v>
      </c>
      <c r="J9" s="74">
        <v>8.5000000000000006E-2</v>
      </c>
      <c r="K9" s="1248">
        <f>SUMIF('数据-汇总表'!C$19:C$33,A9,'数据-汇总表'!E$19:E$33)</f>
        <v>36026.980000000003</v>
      </c>
      <c r="L9" s="3088">
        <v>2000</v>
      </c>
      <c r="M9" s="75">
        <f t="shared" si="0"/>
        <v>7205</v>
      </c>
      <c r="N9" s="801">
        <v>0.15</v>
      </c>
      <c r="O9" s="75">
        <f t="shared" si="3"/>
        <v>1081</v>
      </c>
      <c r="P9" s="76">
        <f t="shared" si="4"/>
        <v>6124</v>
      </c>
      <c r="Q9" s="90">
        <v>0.03</v>
      </c>
      <c r="R9" s="77">
        <f ca="1">SUMIF('数据-汇总表'!C$19:C$33,A9,'数据-汇总表'!R$19:R$27)</f>
        <v>20010.41</v>
      </c>
      <c r="S9" s="54">
        <f>IF('数据-汇总表'!$I$17="按面积比例",SUMIF('数据-汇总表'!C$19:C$33,A9,'数据-汇总表'!K$19:K$33),SUMIF('数据-汇总表'!C$19:C$33,A9,'数据-汇总表'!N$19:N$33))</f>
        <v>8990.65</v>
      </c>
      <c r="T9" s="1440">
        <f t="shared" si="5"/>
        <v>1798</v>
      </c>
      <c r="U9" s="78">
        <v>0.6</v>
      </c>
      <c r="V9" s="79">
        <v>0.03</v>
      </c>
      <c r="W9" s="79">
        <v>0.1</v>
      </c>
      <c r="X9" s="1258"/>
      <c r="Y9" s="80">
        <v>1</v>
      </c>
      <c r="Z9" s="81"/>
      <c r="AA9" s="74"/>
      <c r="AB9" s="74"/>
      <c r="AC9" s="1258"/>
      <c r="AD9" s="82"/>
      <c r="AE9" s="1259">
        <f t="shared" ca="1" si="6"/>
        <v>38.619999999999997</v>
      </c>
      <c r="AF9" s="1800"/>
      <c r="AG9" s="147">
        <f t="shared" si="7"/>
        <v>0</v>
      </c>
      <c r="AH9" s="83"/>
      <c r="AI9" s="85">
        <v>365</v>
      </c>
      <c r="AJ9" s="86"/>
      <c r="AK9" s="87">
        <v>1.4999999999999999E-2</v>
      </c>
      <c r="AL9" s="88">
        <v>1.5E-3</v>
      </c>
      <c r="AM9" s="89">
        <v>0.01</v>
      </c>
      <c r="AN9" s="2299" t="s">
        <v>3191</v>
      </c>
      <c r="AO9" s="55">
        <f t="shared" ca="1" si="8"/>
        <v>10240</v>
      </c>
      <c r="AP9" s="2300">
        <f t="shared" si="9"/>
        <v>0</v>
      </c>
      <c r="AQ9" s="55">
        <f t="shared" si="10"/>
        <v>270</v>
      </c>
      <c r="AR9" s="55">
        <f t="shared" si="11"/>
        <v>1528</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3.8">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802"/>
      <c r="I10" s="802"/>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3.8">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3.8">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3.8">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4">
      <c r="A14" s="2301" t="s">
        <v>2008</v>
      </c>
      <c r="B14" s="2297" t="s">
        <v>2009</v>
      </c>
      <c r="C14" s="2302" t="s">
        <v>2008</v>
      </c>
      <c r="D14" s="1048"/>
      <c r="E14" s="1045"/>
      <c r="F14" s="72"/>
      <c r="G14" s="73"/>
      <c r="H14" s="1247"/>
      <c r="I14" s="1247"/>
      <c r="J14" s="1247"/>
      <c r="K14" s="1248">
        <f>SUMIF('数据-汇总表'!C$19:C$33,A14,'数据-汇总表'!E$19:E$33)</f>
        <v>16679.510000000002</v>
      </c>
      <c r="L14" s="3089">
        <v>2000</v>
      </c>
      <c r="M14" s="75">
        <f t="shared" si="0"/>
        <v>3336</v>
      </c>
      <c r="N14" s="92">
        <v>0.15</v>
      </c>
      <c r="O14" s="75">
        <f t="shared" si="3"/>
        <v>500</v>
      </c>
      <c r="P14" s="76">
        <f t="shared" si="4"/>
        <v>2836</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8.8">
      <c r="A15" s="2301" t="s">
        <v>2010</v>
      </c>
      <c r="B15" s="2297" t="s">
        <v>2009</v>
      </c>
      <c r="C15" s="2302"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 thickBot="1">
      <c r="A16" s="2303" t="s">
        <v>2012</v>
      </c>
      <c r="B16" s="97"/>
      <c r="C16" s="1002"/>
      <c r="D16" s="2304"/>
      <c r="E16" s="97"/>
      <c r="F16" s="97"/>
      <c r="G16" s="98">
        <f>ROUND(SUMPRODUCT(G6:G13,K6:K13)/SUMPRODUCT((G6:G13&gt;0)*(K6:K13)),3)</f>
        <v>0.94399999999999995</v>
      </c>
      <c r="H16" s="99">
        <f>ROUND(SUMPRODUCT(H6:H13,K6:K13)/SUMPRODUCT((H6:H13&gt;0)*(K6:K13)),3)</f>
        <v>4.2999999999999997E-2</v>
      </c>
      <c r="I16" s="100"/>
      <c r="J16" s="100"/>
      <c r="K16" s="101">
        <f>SUM(K6:K15)</f>
        <v>83517</v>
      </c>
      <c r="L16" s="102">
        <f>ROUND(M16*10000/SUM(K6:K14),0)</f>
        <v>2333</v>
      </c>
      <c r="M16" s="102">
        <f>SUM(M6:M14)</f>
        <v>19487</v>
      </c>
      <c r="N16" s="103">
        <f>ROUND(SUMPRODUCT(M6:M14,N6:N14)/M16,3)</f>
        <v>9.4E-2</v>
      </c>
      <c r="O16" s="102">
        <f>SUM(O6:O14)</f>
        <v>1832</v>
      </c>
      <c r="P16" s="102">
        <f>SUM(P6:P14)</f>
        <v>17655</v>
      </c>
      <c r="Q16" s="104">
        <f>ROUND(SUMPRODUCT(Q6:Q13,K6:K13)/SUMPRODUCT((Q6:Q13&gt;0)*(K6:K13)),2)</f>
        <v>0.11</v>
      </c>
      <c r="R16" s="1252">
        <f ca="1">SUM(R6:R13)</f>
        <v>37123.46</v>
      </c>
      <c r="S16" s="105">
        <f>SUM(S6:S13)</f>
        <v>16679.52</v>
      </c>
      <c r="T16" s="106">
        <f>IF(SUMIF(T6:T13,"&lt;9E307")=M14,SUMIF(T6:T13,"&lt;9E307"),"有误，请检查")</f>
        <v>3336</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7"/>
      <c r="D17" s="2263"/>
      <c r="E17" s="2263"/>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70"/>
      <c r="C18" s="2267"/>
      <c r="D18" s="2268"/>
      <c r="E18" s="2267"/>
      <c r="F18" s="2267"/>
      <c r="G18" s="2267"/>
      <c r="H18" s="2267"/>
      <c r="I18" s="2267"/>
      <c r="J18" s="2267"/>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6" t="s">
        <v>2014</v>
      </c>
      <c r="B19" s="112"/>
      <c r="C19" s="2267" t="s">
        <v>2015</v>
      </c>
      <c r="D19" s="2268"/>
      <c r="E19" s="2267"/>
      <c r="F19" s="2267"/>
      <c r="G19" s="2267"/>
      <c r="H19" s="2267"/>
      <c r="I19" s="2267"/>
      <c r="J19" s="2267"/>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7" t="s">
        <v>2016</v>
      </c>
      <c r="B20" s="113">
        <v>2</v>
      </c>
      <c r="C20" s="2267" t="s">
        <v>2017</v>
      </c>
      <c r="D20" s="2268"/>
      <c r="E20" s="2267"/>
      <c r="F20" s="2267"/>
      <c r="G20" s="2267"/>
      <c r="H20" s="2267"/>
      <c r="I20" s="2267"/>
      <c r="J20" s="2267"/>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8" t="s">
        <v>2018</v>
      </c>
      <c r="B21" s="113">
        <v>0.3</v>
      </c>
      <c r="C21" s="2267"/>
      <c r="D21" s="2268"/>
      <c r="E21" s="2267"/>
      <c r="F21" s="2267"/>
      <c r="G21" s="2267"/>
      <c r="H21" s="2267"/>
      <c r="I21" s="2267"/>
      <c r="J21" s="2267"/>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7" t="s">
        <v>2019</v>
      </c>
      <c r="B22" s="114">
        <f>B19+B20</f>
        <v>2</v>
      </c>
      <c r="C22" s="2267"/>
      <c r="D22" s="2268"/>
      <c r="E22" s="2267"/>
      <c r="F22" s="2267"/>
      <c r="G22" s="2267"/>
      <c r="H22" s="2267"/>
      <c r="I22" s="2267"/>
      <c r="J22" s="2267"/>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8" t="s">
        <v>2020</v>
      </c>
      <c r="B23" s="114">
        <f>B19+B21</f>
        <v>0.3</v>
      </c>
      <c r="C23" s="2267"/>
      <c r="D23" s="2268"/>
      <c r="E23" s="2267"/>
      <c r="F23" s="2267"/>
      <c r="G23" s="2267"/>
      <c r="H23" s="2267"/>
      <c r="I23" s="2267"/>
      <c r="J23" s="2267"/>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2021</v>
      </c>
      <c r="B24" s="115">
        <f>B20-B21</f>
        <v>1.7</v>
      </c>
      <c r="C24" s="2267"/>
      <c r="D24" s="2268"/>
      <c r="E24" s="2267"/>
      <c r="F24" s="2267"/>
      <c r="G24" s="2267"/>
      <c r="H24" s="2267"/>
      <c r="I24" s="2267"/>
      <c r="J24" s="2267"/>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0"/>
      <c r="C25" s="2267"/>
      <c r="D25" s="2268"/>
      <c r="E25" s="2267"/>
      <c r="F25" s="2267"/>
      <c r="G25" s="2267"/>
      <c r="H25" s="2267"/>
      <c r="I25" s="2267"/>
      <c r="J25" s="2267"/>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2022</v>
      </c>
      <c r="B26" s="2310" t="s">
        <v>2023</v>
      </c>
      <c r="C26" s="2311" t="s">
        <v>2024</v>
      </c>
      <c r="D26" s="2268"/>
      <c r="E26" s="2267"/>
      <c r="F26" s="2267"/>
      <c r="G26" s="2267"/>
      <c r="H26" s="2267"/>
      <c r="I26" s="2267"/>
      <c r="J26" s="2267"/>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8.8">
      <c r="A27" s="2312" t="s">
        <v>2025</v>
      </c>
      <c r="B27" s="116">
        <v>80</v>
      </c>
      <c r="C27" s="1760" t="s">
        <v>2026</v>
      </c>
      <c r="D27" s="2313"/>
      <c r="E27" s="1424"/>
      <c r="F27" s="1424"/>
      <c r="G27" s="2267"/>
      <c r="H27" s="2267"/>
      <c r="I27" s="2267"/>
      <c r="J27" s="2267"/>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8.8">
      <c r="A28" s="2315" t="s">
        <v>2027</v>
      </c>
      <c r="B28" s="119">
        <v>110</v>
      </c>
      <c r="C28" s="2316"/>
      <c r="D28" s="2313"/>
      <c r="E28" s="1424"/>
      <c r="F28" s="1424"/>
      <c r="G28" s="2267"/>
      <c r="H28" s="2267"/>
      <c r="I28" s="2267"/>
      <c r="J28" s="2267"/>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9.4" thickBot="1">
      <c r="A29" s="2317" t="s">
        <v>2028</v>
      </c>
      <c r="B29" s="121"/>
      <c r="C29" s="1760" t="s">
        <v>2029</v>
      </c>
      <c r="D29" s="2313"/>
      <c r="E29" s="1424"/>
      <c r="F29" s="1424"/>
      <c r="G29" s="2267"/>
      <c r="H29" s="2267"/>
      <c r="I29" s="2267"/>
      <c r="J29" s="2267"/>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8.8">
      <c r="A30" s="2318" t="s">
        <v>2030</v>
      </c>
      <c r="B30" s="724">
        <v>200</v>
      </c>
      <c r="C30" s="2316"/>
      <c r="D30" s="2313"/>
      <c r="E30" s="1424"/>
      <c r="F30" s="1424"/>
      <c r="G30" s="2267"/>
      <c r="H30" s="2267"/>
      <c r="I30" s="2267"/>
      <c r="J30" s="2267"/>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8.8">
      <c r="A31" s="2315" t="s">
        <v>2031</v>
      </c>
      <c r="B31" s="120">
        <f>B30-B32</f>
        <v>200</v>
      </c>
      <c r="C31" s="1760"/>
      <c r="D31" s="2313"/>
      <c r="E31" s="1424"/>
      <c r="F31" s="1424"/>
      <c r="G31" s="2267"/>
      <c r="H31" s="2267"/>
      <c r="I31" s="2267"/>
      <c r="J31" s="2267"/>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9.4" thickBot="1">
      <c r="A32" s="2319" t="s">
        <v>2032</v>
      </c>
      <c r="B32" s="725">
        <v>0</v>
      </c>
      <c r="C32" s="2316"/>
      <c r="D32" s="2268"/>
      <c r="E32" s="2267"/>
      <c r="F32" s="2267"/>
      <c r="G32" s="2267"/>
      <c r="H32" s="2267"/>
      <c r="I32" s="2267"/>
      <c r="J32" s="2267"/>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4">
      <c r="A33" s="2312" t="s">
        <v>2033</v>
      </c>
      <c r="B33" s="726">
        <v>0.03</v>
      </c>
      <c r="C33" s="1759" t="s">
        <v>2034</v>
      </c>
      <c r="D33" s="2268"/>
      <c r="E33" s="2267"/>
      <c r="F33" s="2267"/>
      <c r="G33" s="2267"/>
      <c r="H33" s="2267"/>
      <c r="I33" s="2267"/>
      <c r="J33" s="2267"/>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4">
      <c r="A34" s="2315" t="s">
        <v>2035</v>
      </c>
      <c r="B34" s="122">
        <v>0.05</v>
      </c>
      <c r="C34" s="1759" t="s">
        <v>2036</v>
      </c>
      <c r="D34" s="2268" t="s">
        <v>2037</v>
      </c>
      <c r="E34" s="732"/>
      <c r="F34" s="2267"/>
      <c r="G34" s="2267"/>
      <c r="H34" s="2267"/>
      <c r="I34" s="2267"/>
      <c r="J34" s="2267"/>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4">
      <c r="A35" s="2315" t="s">
        <v>2038</v>
      </c>
      <c r="B35" s="119">
        <v>200</v>
      </c>
      <c r="C35" s="1759" t="s">
        <v>2039</v>
      </c>
      <c r="D35" s="2313"/>
      <c r="E35" s="1424"/>
      <c r="F35" s="1424"/>
      <c r="G35" s="2267"/>
      <c r="H35" s="2267"/>
      <c r="I35" s="2267"/>
      <c r="J35" s="2267"/>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2040</v>
      </c>
      <c r="B36" s="123">
        <v>1.4999999999999999E-2</v>
      </c>
      <c r="C36" s="1759" t="s">
        <v>2041</v>
      </c>
      <c r="D36" s="2268"/>
      <c r="E36" s="2267"/>
      <c r="F36" s="2267"/>
      <c r="G36" s="2267"/>
      <c r="H36" s="2267"/>
      <c r="I36" s="2267"/>
      <c r="J36" s="2267"/>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8" t="s">
        <v>2042</v>
      </c>
      <c r="B37" s="124">
        <v>0.02</v>
      </c>
      <c r="C37" s="1759" t="s">
        <v>2043</v>
      </c>
      <c r="D37" s="2268"/>
      <c r="E37" s="2267"/>
      <c r="F37" s="2267"/>
      <c r="G37" s="2267"/>
      <c r="H37" s="2267"/>
      <c r="I37" s="2267"/>
      <c r="J37" s="2267"/>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5" t="s">
        <v>2044</v>
      </c>
      <c r="B38" s="122">
        <v>0.03</v>
      </c>
      <c r="C38" s="1759" t="s">
        <v>2043</v>
      </c>
      <c r="D38" s="2268"/>
      <c r="E38" s="2267"/>
      <c r="F38" s="2267"/>
      <c r="G38" s="2267"/>
      <c r="H38" s="2267"/>
      <c r="I38" s="2267"/>
      <c r="J38" s="2267"/>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19" t="s">
        <v>2045</v>
      </c>
      <c r="B39" s="362">
        <f ca="1">存贷款利率!I1</f>
        <v>1.4999999999999999E-2</v>
      </c>
      <c r="C39" s="1759"/>
      <c r="D39" s="2268"/>
      <c r="E39" s="2267"/>
      <c r="F39" s="2267"/>
      <c r="G39" s="2267"/>
      <c r="H39" s="2267"/>
      <c r="I39" s="2267"/>
      <c r="J39" s="2267"/>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2046</v>
      </c>
      <c r="B40" s="1297">
        <f ca="1">存贷款利率!G1</f>
        <v>4.7500000000000001E-2</v>
      </c>
      <c r="C40" s="1759" t="s">
        <v>2047</v>
      </c>
      <c r="D40" s="1577"/>
      <c r="E40" s="2268"/>
      <c r="F40" s="2267"/>
      <c r="G40" s="2267"/>
      <c r="H40" s="2267"/>
      <c r="I40" s="2267"/>
      <c r="J40" s="2267"/>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2" t="s">
        <v>2048</v>
      </c>
      <c r="B41" s="125">
        <f>B42+B43</f>
        <v>5.6000000000000001E-2</v>
      </c>
      <c r="C41" s="1760"/>
      <c r="D41" s="1577"/>
      <c r="E41" s="2268"/>
      <c r="F41" s="2267"/>
      <c r="G41" s="2267"/>
      <c r="H41" s="2267"/>
      <c r="I41" s="2267"/>
      <c r="J41" s="2267"/>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0" t="s">
        <v>2049</v>
      </c>
      <c r="B42" s="126">
        <v>0.05</v>
      </c>
      <c r="C42" s="2321">
        <f>IF(B2&lt;DATE(2016,5,1),0,B42)</f>
        <v>0.05</v>
      </c>
      <c r="D42" s="2268"/>
      <c r="E42" s="2267"/>
      <c r="F42" s="2267"/>
      <c r="G42" s="2267"/>
      <c r="H42" s="2267"/>
      <c r="I42" s="2267"/>
      <c r="J42" s="2267"/>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0" t="s">
        <v>2050</v>
      </c>
      <c r="B43" s="127">
        <f>B42*(B44+B45+B46)+B47</f>
        <v>6.000000000000001E-3</v>
      </c>
      <c r="C43" s="1760"/>
      <c r="D43" s="2268"/>
      <c r="E43" s="2267"/>
      <c r="F43" s="2267"/>
      <c r="G43" s="2267"/>
      <c r="H43" s="2267"/>
      <c r="I43" s="2267"/>
      <c r="J43" s="2267"/>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2" t="s">
        <v>2051</v>
      </c>
      <c r="B44" s="128">
        <v>7.0000000000000007E-2</v>
      </c>
      <c r="C44" s="1759" t="s">
        <v>2052</v>
      </c>
      <c r="D44" s="2268"/>
      <c r="E44" s="2267"/>
      <c r="F44" s="2267"/>
      <c r="G44" s="2267"/>
      <c r="H44" s="2267"/>
      <c r="I44" s="2267"/>
      <c r="J44" s="2267"/>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2" t="s">
        <v>2053</v>
      </c>
      <c r="B45" s="126">
        <v>0.03</v>
      </c>
      <c r="C45" s="1760" t="s">
        <v>2054</v>
      </c>
      <c r="D45" s="2268"/>
      <c r="E45" s="2267"/>
      <c r="F45" s="2267"/>
      <c r="G45" s="2267"/>
      <c r="H45" s="2267"/>
      <c r="I45" s="2267"/>
      <c r="J45" s="2267"/>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2" t="s">
        <v>2055</v>
      </c>
      <c r="B46" s="126">
        <v>0.02</v>
      </c>
      <c r="C46" s="1760" t="s">
        <v>2056</v>
      </c>
      <c r="D46" s="2268"/>
      <c r="E46" s="2267"/>
      <c r="F46" s="2267"/>
      <c r="G46" s="2267"/>
      <c r="H46" s="2267"/>
      <c r="I46" s="2267"/>
      <c r="J46" s="2267"/>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2057</v>
      </c>
      <c r="B47" s="129"/>
      <c r="C47" s="1760" t="s">
        <v>2058</v>
      </c>
      <c r="D47" s="2268"/>
      <c r="E47" s="2267"/>
      <c r="F47" s="2267"/>
      <c r="G47" s="2267"/>
      <c r="H47" s="2267"/>
      <c r="I47" s="2267"/>
      <c r="J47" s="2267"/>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4" t="s">
        <v>2059</v>
      </c>
      <c r="B48" s="130">
        <v>0.03</v>
      </c>
      <c r="C48" s="1767" t="s">
        <v>2060</v>
      </c>
      <c r="D48" s="2268"/>
      <c r="E48" s="2267"/>
      <c r="F48" s="2267"/>
      <c r="G48" s="2267"/>
      <c r="H48" s="2267"/>
      <c r="I48" s="2267"/>
      <c r="J48" s="2267"/>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2061</v>
      </c>
      <c r="B49" s="126">
        <v>5.0000000000000001E-4</v>
      </c>
      <c r="C49" s="1767" t="s">
        <v>2062</v>
      </c>
      <c r="D49" s="2268"/>
      <c r="E49" s="2267"/>
      <c r="F49" s="2267"/>
      <c r="G49" s="2267"/>
      <c r="H49" s="2267"/>
      <c r="I49" s="2267"/>
      <c r="J49" s="2267"/>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5" t="s">
        <v>2063</v>
      </c>
      <c r="B50" s="131">
        <v>1.2E-2</v>
      </c>
      <c r="C50" s="1424"/>
      <c r="D50" s="2268"/>
      <c r="E50" s="2267"/>
      <c r="F50" s="2267"/>
      <c r="G50" s="2267"/>
      <c r="H50" s="2267"/>
      <c r="I50" s="2267"/>
      <c r="J50" s="2267"/>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2064</v>
      </c>
      <c r="B51" s="132">
        <v>0.12</v>
      </c>
      <c r="C51" s="1424"/>
      <c r="D51" s="2268"/>
      <c r="E51" s="2267"/>
      <c r="F51" s="2267"/>
      <c r="G51" s="2267"/>
      <c r="H51" s="2267"/>
      <c r="I51" s="2267"/>
      <c r="J51" s="2267"/>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5" t="s">
        <v>2065</v>
      </c>
      <c r="B52" s="133">
        <f>SUMIF(A54:A63,B53,B54:B63)</f>
        <v>8</v>
      </c>
      <c r="C52" s="1424"/>
      <c r="D52" s="2268"/>
      <c r="E52" s="2267"/>
      <c r="F52" s="2267"/>
      <c r="G52" s="2267"/>
      <c r="H52" s="2267"/>
      <c r="I52" s="2267"/>
      <c r="J52" s="2267"/>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5" t="s">
        <v>2066</v>
      </c>
      <c r="B53" s="2326" t="s">
        <v>212</v>
      </c>
      <c r="C53" s="1424" t="s">
        <v>2067</v>
      </c>
      <c r="D53" s="2327" t="s">
        <v>2068</v>
      </c>
      <c r="E53" s="2267"/>
      <c r="F53" s="2267"/>
      <c r="G53" s="2267"/>
      <c r="H53" s="2267"/>
      <c r="I53" s="2267"/>
      <c r="J53" s="2267"/>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8" t="s">
        <v>2069</v>
      </c>
      <c r="B54" s="84">
        <v>8</v>
      </c>
      <c r="C54" s="1424">
        <v>30</v>
      </c>
      <c r="D54" s="2268"/>
      <c r="E54" s="2267"/>
      <c r="F54" s="2267"/>
      <c r="G54" s="2267"/>
      <c r="H54" s="2267"/>
      <c r="I54" s="2267"/>
      <c r="J54" s="2267"/>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8" t="s">
        <v>2070</v>
      </c>
      <c r="B55" s="84"/>
      <c r="C55" s="1424">
        <v>24</v>
      </c>
      <c r="D55" s="2268"/>
      <c r="E55" s="2267"/>
      <c r="F55" s="2267"/>
      <c r="G55" s="2267"/>
      <c r="H55" s="2267"/>
      <c r="I55" s="2329"/>
      <c r="J55" s="2267"/>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8" t="s">
        <v>2071</v>
      </c>
      <c r="B56" s="84"/>
      <c r="C56" s="1424">
        <v>18</v>
      </c>
      <c r="D56" s="2268"/>
      <c r="E56" s="2267"/>
      <c r="F56" s="2267"/>
      <c r="G56" s="2267"/>
      <c r="H56" s="2267"/>
      <c r="I56" s="2267"/>
      <c r="J56" s="2267"/>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8" t="s">
        <v>2072</v>
      </c>
      <c r="B57" s="84"/>
      <c r="C57" s="1424">
        <v>12</v>
      </c>
      <c r="D57" s="2268"/>
      <c r="E57" s="2267"/>
      <c r="F57" s="2267"/>
      <c r="G57" s="2267"/>
      <c r="H57" s="2267"/>
      <c r="I57" s="2267"/>
      <c r="J57" s="2267"/>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8" t="s">
        <v>2073</v>
      </c>
      <c r="B58" s="84"/>
      <c r="C58" s="1424">
        <v>3</v>
      </c>
      <c r="D58" s="2268"/>
      <c r="E58" s="2267"/>
      <c r="F58" s="2267"/>
      <c r="G58" s="2267"/>
      <c r="H58" s="2267"/>
      <c r="I58" s="2267"/>
      <c r="J58" s="2267"/>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8" t="s">
        <v>2074</v>
      </c>
      <c r="B59" s="84"/>
      <c r="C59" s="1424">
        <v>1.5</v>
      </c>
      <c r="D59" s="2268"/>
      <c r="E59" s="2267"/>
      <c r="F59" s="2267"/>
      <c r="G59" s="2267"/>
      <c r="H59" s="2267"/>
      <c r="I59" s="2267"/>
      <c r="J59" s="2267"/>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8" t="s">
        <v>2075</v>
      </c>
      <c r="B60" s="84"/>
      <c r="C60" s="2267"/>
      <c r="D60" s="2268"/>
      <c r="E60" s="2267"/>
      <c r="F60" s="2267"/>
      <c r="G60" s="2267"/>
      <c r="H60" s="2267"/>
      <c r="I60" s="2267"/>
      <c r="J60" s="2267"/>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8" t="s">
        <v>2076</v>
      </c>
      <c r="B61" s="84"/>
      <c r="C61" s="2267"/>
      <c r="D61" s="2268"/>
      <c r="E61" s="2267"/>
      <c r="F61" s="2267"/>
      <c r="G61" s="2267"/>
      <c r="H61" s="2267"/>
      <c r="I61" s="2267"/>
      <c r="J61" s="2267"/>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8" t="s">
        <v>2077</v>
      </c>
      <c r="B62" s="84"/>
      <c r="C62" s="2267"/>
      <c r="D62" s="2268"/>
      <c r="E62" s="2267"/>
      <c r="F62" s="2267"/>
      <c r="G62" s="2267"/>
      <c r="H62" s="2267"/>
      <c r="I62" s="2267"/>
      <c r="J62" s="2267"/>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2078</v>
      </c>
      <c r="B63" s="134"/>
      <c r="C63" s="2267"/>
      <c r="D63" s="2268"/>
      <c r="E63" s="2267"/>
      <c r="F63" s="2267"/>
      <c r="G63" s="2267"/>
      <c r="H63" s="2267"/>
      <c r="I63" s="2267"/>
      <c r="J63" s="2267"/>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195" t="s">
        <v>2079</v>
      </c>
      <c r="B1" s="3196"/>
      <c r="C1" s="3196"/>
      <c r="D1" s="3196"/>
      <c r="E1" s="3196"/>
      <c r="F1" s="3196"/>
      <c r="G1" s="319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2080</v>
      </c>
      <c r="D2" s="2356"/>
      <c r="E2" s="2357"/>
      <c r="F2" s="2276"/>
      <c r="G2" s="2355" t="s">
        <v>2081</v>
      </c>
      <c r="H2" s="2358"/>
      <c r="I2" s="2358"/>
      <c r="J2" s="2358"/>
      <c r="K2" s="2358"/>
      <c r="L2" s="2358"/>
      <c r="M2" s="2358"/>
      <c r="N2" s="2358"/>
      <c r="O2" s="2358"/>
      <c r="P2" s="2358"/>
      <c r="Q2" s="2358"/>
      <c r="R2" s="2358"/>
    </row>
    <row r="3" spans="1:29" ht="57.6">
      <c r="A3" s="415" t="s">
        <v>2082</v>
      </c>
      <c r="B3" s="1265" t="s">
        <v>2083</v>
      </c>
      <c r="C3" s="2360" t="s">
        <v>2084</v>
      </c>
      <c r="D3" s="2361"/>
      <c r="E3" s="431" t="s">
        <v>2082</v>
      </c>
      <c r="F3" s="2362" t="s">
        <v>2085</v>
      </c>
      <c r="G3" s="2363" t="s">
        <v>2086</v>
      </c>
      <c r="H3" s="2358"/>
      <c r="I3" s="2358"/>
      <c r="J3" s="2358"/>
      <c r="K3" s="2358"/>
      <c r="L3" s="2358"/>
      <c r="M3" s="2358"/>
      <c r="N3" s="2358"/>
      <c r="O3" s="2358"/>
      <c r="P3" s="2358"/>
      <c r="Q3" s="2358"/>
      <c r="R3" s="2358"/>
    </row>
    <row r="4" spans="1:29" ht="43.2">
      <c r="A4" s="431"/>
      <c r="B4" s="1791" t="s">
        <v>2087</v>
      </c>
      <c r="C4" s="2364" t="s">
        <v>2088</v>
      </c>
      <c r="D4" s="2361"/>
      <c r="E4" s="2365"/>
      <c r="F4" s="42" t="s">
        <v>2089</v>
      </c>
      <c r="G4" s="2366" t="s">
        <v>2090</v>
      </c>
      <c r="H4" s="2358"/>
      <c r="I4" s="2358"/>
      <c r="J4" s="2358"/>
      <c r="K4" s="2358"/>
      <c r="L4" s="2358"/>
      <c r="M4" s="2358"/>
      <c r="N4" s="2358"/>
      <c r="O4" s="2358"/>
      <c r="P4" s="2358"/>
      <c r="Q4" s="2358"/>
      <c r="R4" s="2358"/>
    </row>
    <row r="5" spans="1:29" ht="43.2">
      <c r="A5" s="431"/>
      <c r="B5" s="1791" t="s">
        <v>2091</v>
      </c>
      <c r="C5" s="2364" t="s">
        <v>2092</v>
      </c>
      <c r="D5" s="2361"/>
      <c r="E5" s="2365"/>
      <c r="F5" s="1791" t="s">
        <v>2093</v>
      </c>
      <c r="G5" s="2366" t="s">
        <v>2094</v>
      </c>
      <c r="H5" s="2358"/>
      <c r="I5" s="2358"/>
      <c r="J5" s="2358"/>
      <c r="K5" s="2358"/>
      <c r="L5" s="2358"/>
      <c r="M5" s="2358"/>
      <c r="N5" s="2358"/>
      <c r="O5" s="2358"/>
      <c r="P5" s="2358"/>
      <c r="Q5" s="2358"/>
      <c r="R5" s="2358"/>
    </row>
    <row r="6" spans="1:29" ht="57.6">
      <c r="A6" s="431"/>
      <c r="B6" s="1791" t="s">
        <v>2095</v>
      </c>
      <c r="C6" s="2366" t="s">
        <v>2090</v>
      </c>
      <c r="D6" s="2361"/>
      <c r="E6" s="2365"/>
      <c r="F6" s="1791" t="s">
        <v>2096</v>
      </c>
      <c r="G6" s="2366" t="s">
        <v>2097</v>
      </c>
      <c r="H6" s="2358"/>
      <c r="I6" s="2358"/>
      <c r="J6" s="2358"/>
      <c r="K6" s="2358"/>
      <c r="L6" s="2358"/>
      <c r="M6" s="2358"/>
      <c r="N6" s="2358"/>
      <c r="O6" s="2358"/>
      <c r="P6" s="2358"/>
      <c r="Q6" s="2358"/>
      <c r="R6" s="2358"/>
    </row>
    <row r="7" spans="1:29" ht="43.8" thickBot="1">
      <c r="A7" s="431"/>
      <c r="B7" s="1791" t="s">
        <v>2093</v>
      </c>
      <c r="C7" s="2366" t="s">
        <v>2094</v>
      </c>
      <c r="D7" s="2367"/>
      <c r="E7" s="2368"/>
      <c r="F7" s="2369" t="s">
        <v>2098</v>
      </c>
      <c r="G7" s="2370" t="s">
        <v>2099</v>
      </c>
      <c r="H7" s="2358"/>
      <c r="I7" s="2358"/>
      <c r="J7" s="2358"/>
      <c r="K7" s="2358"/>
      <c r="L7" s="2358"/>
      <c r="M7" s="2358"/>
      <c r="N7" s="2358"/>
      <c r="O7" s="2358"/>
      <c r="P7" s="2358"/>
      <c r="Q7" s="2358"/>
      <c r="R7" s="2358"/>
    </row>
    <row r="8" spans="1:29" ht="28.8">
      <c r="A8" s="431"/>
      <c r="B8" s="1791" t="s">
        <v>2096</v>
      </c>
      <c r="C8" s="2366" t="s">
        <v>2097</v>
      </c>
      <c r="D8" s="2367"/>
      <c r="E8" s="2367"/>
      <c r="F8" s="1130"/>
      <c r="G8" s="1130"/>
      <c r="H8" s="2358"/>
      <c r="I8" s="2358"/>
      <c r="J8" s="2358"/>
      <c r="K8" s="2358"/>
      <c r="L8" s="2358"/>
      <c r="M8" s="2358"/>
      <c r="N8" s="2358"/>
      <c r="O8" s="2358"/>
      <c r="P8" s="2358"/>
      <c r="Q8" s="2358"/>
      <c r="R8" s="2358"/>
    </row>
    <row r="9" spans="1:29" ht="43.2">
      <c r="A9" s="431"/>
      <c r="B9" s="1791" t="s">
        <v>2100</v>
      </c>
      <c r="C9" s="2364" t="s">
        <v>2101</v>
      </c>
      <c r="D9" s="2361"/>
      <c r="E9" s="2367"/>
      <c r="F9" s="1130"/>
      <c r="G9" s="1130"/>
      <c r="H9" s="2358"/>
      <c r="I9" s="2358"/>
      <c r="J9" s="2358"/>
      <c r="K9" s="2358"/>
      <c r="L9" s="2358"/>
      <c r="M9" s="2358"/>
      <c r="N9" s="2358"/>
      <c r="O9" s="2358"/>
      <c r="P9" s="2358"/>
      <c r="Q9" s="2358"/>
      <c r="R9" s="2358"/>
    </row>
    <row r="10" spans="1:29" s="117" customFormat="1" ht="15" thickBot="1">
      <c r="A10" s="2371"/>
      <c r="B10" s="2372" t="s">
        <v>2102</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2103</v>
      </c>
      <c r="B13" s="2378"/>
      <c r="C13" s="2378"/>
      <c r="D13" s="2385"/>
      <c r="E13" s="2378"/>
      <c r="F13" s="2378"/>
      <c r="G13" s="2378"/>
    </row>
    <row r="14" spans="1:29" ht="15" thickBot="1">
      <c r="A14" s="2389"/>
      <c r="B14" s="2390"/>
      <c r="C14" s="2391" t="s">
        <v>2104</v>
      </c>
      <c r="D14" s="2361"/>
      <c r="E14" s="2392"/>
      <c r="F14" s="2392"/>
      <c r="G14" s="2355" t="s">
        <v>2105</v>
      </c>
    </row>
    <row r="15" spans="1:29" ht="55.2">
      <c r="A15" s="68" t="s">
        <v>2106</v>
      </c>
      <c r="B15" s="1264" t="s">
        <v>2083</v>
      </c>
      <c r="C15" s="2393" t="str">
        <f>C3</f>
        <v>估价对象周边居住用地比例、居住小区规模和社区发展完善程度，综合评价居住社区成熟度一般</v>
      </c>
      <c r="D15" s="2361"/>
      <c r="E15" s="2394" t="s">
        <v>2107</v>
      </c>
      <c r="F15" s="1264" t="s">
        <v>2108</v>
      </c>
      <c r="G15" s="135" t="str">
        <f>G3</f>
        <v>估价对象位于XX开发区，园区建设成熟度XX，产业集聚程度XX</v>
      </c>
    </row>
    <row r="16" spans="1:29" ht="41.4">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1.4">
      <c r="A17" s="645"/>
      <c r="B17" s="2395" t="s">
        <v>2091</v>
      </c>
      <c r="C17" s="2396" t="str">
        <f>C5</f>
        <v>估价对象位于XX商圈，周边办公楼项目较多，入驻率高，办公集聚程度较好</v>
      </c>
      <c r="D17" s="2367"/>
      <c r="E17" s="2397"/>
      <c r="F17" s="2398" t="s">
        <v>2109</v>
      </c>
      <c r="G17" s="1565"/>
    </row>
    <row r="18" spans="1:18" ht="55.2">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7.6">
      <c r="A19" s="645"/>
      <c r="B19" s="2398" t="s">
        <v>2110</v>
      </c>
      <c r="C19" s="1565"/>
      <c r="D19" s="2361"/>
      <c r="E19" s="2397"/>
      <c r="F19" s="1791" t="s">
        <v>2093</v>
      </c>
      <c r="G19" s="136" t="str">
        <f>G5</f>
        <v>估价对象所在区域公共配套设施齐备情况</v>
      </c>
    </row>
    <row r="20" spans="1:18" ht="41.4">
      <c r="A20" s="645"/>
      <c r="B20" s="2398" t="s">
        <v>2111</v>
      </c>
      <c r="C20" s="2396" t="str">
        <f>C9</f>
        <v>区域自然环境：；人文环境；综合评价环境状况一般</v>
      </c>
      <c r="D20" s="2367"/>
      <c r="E20" s="2397"/>
      <c r="F20" s="1791" t="s">
        <v>2112</v>
      </c>
      <c r="G20" s="136" t="str">
        <f>G6</f>
        <v>估价对象所在区域基础设施水平</v>
      </c>
    </row>
    <row r="21" spans="1:18" ht="27.6">
      <c r="A21" s="645"/>
      <c r="B21" s="1791" t="s">
        <v>2093</v>
      </c>
      <c r="C21" s="136" t="str">
        <f>C7</f>
        <v>估价对象所在区域公共配套设施齐备情况</v>
      </c>
      <c r="D21" s="2361"/>
      <c r="E21" s="2397"/>
      <c r="F21" s="2398" t="s">
        <v>2113</v>
      </c>
      <c r="G21" s="2399"/>
    </row>
    <row r="22" spans="1:18" ht="13.5" customHeight="1">
      <c r="A22" s="645"/>
      <c r="B22" s="1791" t="s">
        <v>2096</v>
      </c>
      <c r="C22" s="136" t="str">
        <f>C8</f>
        <v>估价对象所在区域基础设施水平</v>
      </c>
      <c r="D22" s="2361"/>
      <c r="E22" s="2397"/>
      <c r="F22" s="2398" t="s">
        <v>2102</v>
      </c>
      <c r="G22" s="1565"/>
    </row>
    <row r="23" spans="1:18" s="2358" customFormat="1" ht="1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91" t="str">
        <f>项目基本情况!B1</f>
        <v>福建省福州市闽侯县南屿镇晓岐村、元峰村“南屿滨江城”项目出让国有建设用地使用权及在建建筑物房地产抵押价值预评估</v>
      </c>
      <c r="C37" s="3091"/>
      <c r="D37" s="3091"/>
      <c r="E37" s="3091"/>
      <c r="F37" s="3091"/>
      <c r="G37" s="3091"/>
      <c r="H37" s="3091"/>
      <c r="I37" s="3091"/>
    </row>
    <row r="38" spans="1:9">
      <c r="A38" s="1013"/>
      <c r="B38" s="1013"/>
    </row>
    <row r="39" spans="1:9">
      <c r="A39" s="1011" t="s">
        <v>818</v>
      </c>
      <c r="B39" s="1011" t="s">
        <v>820</v>
      </c>
    </row>
    <row r="40" spans="1:9">
      <c r="A40" s="1011"/>
      <c r="B40" s="1938" t="str">
        <f>项目基本情况!B5</f>
        <v>浙商金汇信托股份有限公司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7" sqref="G27"/>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83517</v>
      </c>
      <c r="C1" s="1738"/>
      <c r="D1" s="1738"/>
      <c r="E1" s="1738"/>
      <c r="F1" s="1738"/>
      <c r="G1" s="1736"/>
    </row>
    <row r="2" spans="1:10" ht="16.2">
      <c r="A2" s="1739" t="s">
        <v>1349</v>
      </c>
      <c r="B2" s="1739">
        <f>SUM(C14:C23)</f>
        <v>37123.449999999997</v>
      </c>
      <c r="C2" s="1738"/>
      <c r="D2" s="1738"/>
      <c r="E2" s="1738"/>
      <c r="F2" s="1738"/>
      <c r="G2" s="1736"/>
    </row>
    <row r="3" spans="1:10" ht="15.6">
      <c r="A3" s="1739" t="s">
        <v>1358</v>
      </c>
      <c r="B3" s="1740">
        <f>项目基本情况!D3</f>
        <v>43629</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40101</v>
      </c>
      <c r="C5" s="1739">
        <f ca="1">ROUND(B5*10000/$B$1,0)</f>
        <v>4802</v>
      </c>
      <c r="D5" s="1739">
        <f ca="1">ROUND(B5*10000/$B$2,0)</f>
        <v>10802</v>
      </c>
      <c r="E5" s="1738"/>
      <c r="F5" s="1736"/>
      <c r="G5" s="1736"/>
    </row>
    <row r="6" spans="1:10" ht="15.6">
      <c r="A6" s="1739" t="s">
        <v>1352</v>
      </c>
      <c r="B6" s="1739">
        <f ca="1">SUM(G14:G23)</f>
        <v>40101</v>
      </c>
      <c r="C6" s="1739">
        <f ca="1">ROUND(B6*10000/$B$1,0)</f>
        <v>4802</v>
      </c>
      <c r="D6" s="1739">
        <f ca="1">ROUND(B6*10000/$B$2,0)</f>
        <v>10802</v>
      </c>
      <c r="E6" s="1738"/>
      <c r="F6" s="1736"/>
      <c r="G6" s="1736"/>
    </row>
    <row r="7" spans="1:10" ht="15.6">
      <c r="A7" s="1739" t="s">
        <v>1360</v>
      </c>
      <c r="B7" s="1739">
        <f>SUM(H14:H23)</f>
        <v>0</v>
      </c>
      <c r="C7" s="1739">
        <f>ROUND(B7*10000/$B$1,0)</f>
        <v>0</v>
      </c>
      <c r="D7" s="1739">
        <f>ROUND(B7*10000/$B$2,0)</f>
        <v>0</v>
      </c>
      <c r="E7" s="1738"/>
      <c r="F7" s="1736"/>
      <c r="G7" s="1736"/>
    </row>
    <row r="8" spans="1:10" ht="15.6">
      <c r="A8" s="1739" t="s">
        <v>1281</v>
      </c>
      <c r="B8" s="1739">
        <f ca="1">SUM(I14:I23)</f>
        <v>27369</v>
      </c>
      <c r="C8" s="1739">
        <f ca="1">ROUND(B8*10000/$B$1,0)</f>
        <v>3277</v>
      </c>
      <c r="D8" s="1739">
        <f ca="1">ROUND(B8*10000/$B$2,0)</f>
        <v>7372</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83517</v>
      </c>
      <c r="C14" s="1737">
        <f>结果表!C118</f>
        <v>37123.449999999997</v>
      </c>
      <c r="D14" s="1737">
        <f ca="1">结果表!H118</f>
        <v>40101</v>
      </c>
      <c r="E14" s="1737">
        <f ca="1">ROUND(D14*10000/B14,0)</f>
        <v>4802</v>
      </c>
      <c r="F14" s="1737">
        <f ca="1">ROUND(D14*10000/C14,0)</f>
        <v>10802</v>
      </c>
      <c r="G14" s="1737">
        <f ca="1">结果表!D122</f>
        <v>40101</v>
      </c>
      <c r="H14" s="1737" t="str">
        <f>结果表!D124</f>
        <v>——</v>
      </c>
      <c r="I14" s="1737">
        <f ca="1">结果表!D126</f>
        <v>27369</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G29" zoomScale="80" zoomScaleNormal="100" zoomScaleSheetLayoutView="80" zoomScalePageLayoutView="80" workbookViewId="0">
      <selection activeCell="D96" sqref="D96"/>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2116</v>
      </c>
      <c r="B1" s="2409"/>
      <c r="C1" s="2410"/>
      <c r="D1" s="2409"/>
      <c r="E1" s="2409"/>
      <c r="F1" s="2411" t="s">
        <v>2117</v>
      </c>
      <c r="G1" s="2062" t="s">
        <v>2118</v>
      </c>
      <c r="H1" s="2412" t="str">
        <f>IF(G1="现房","——","估价对象范围")</f>
        <v>估价对象范围</v>
      </c>
      <c r="I1" s="2413"/>
    </row>
    <row r="2" spans="1:12" ht="21.75" customHeight="1" thickBot="1">
      <c r="A2" s="3269" t="str">
        <f>项目基本情况!S2</f>
        <v>福建省福州市闽侯县南屿镇晓岐村、元峰村“南屿滨江城”项目出让国有建设用地使用权及在建建筑物房地产</v>
      </c>
      <c r="B2" s="3270"/>
      <c r="C2" s="3270"/>
      <c r="D2" s="3270"/>
      <c r="E2" s="3270"/>
      <c r="F2" s="3270"/>
      <c r="G2" s="3270"/>
      <c r="H2" s="3270"/>
      <c r="I2" s="3271"/>
    </row>
    <row r="3" spans="1:12" ht="13.2">
      <c r="A3" s="3272" t="s">
        <v>2119</v>
      </c>
      <c r="B3" s="3273"/>
      <c r="C3" s="3273"/>
      <c r="D3" s="3273"/>
      <c r="E3" s="3273"/>
      <c r="F3" s="3273"/>
      <c r="G3" s="3273"/>
      <c r="H3" s="3273"/>
      <c r="I3" s="3273"/>
    </row>
    <row r="4" spans="1:12" ht="14.4">
      <c r="A4" s="2416" t="s">
        <v>2120</v>
      </c>
      <c r="B4" s="2417" t="s">
        <v>2121</v>
      </c>
      <c r="C4" s="2418" t="s">
        <v>3373</v>
      </c>
      <c r="D4" s="2418" t="s">
        <v>3374</v>
      </c>
      <c r="E4" s="3253" t="s">
        <v>2122</v>
      </c>
      <c r="F4" s="3266"/>
      <c r="G4" s="3266"/>
      <c r="H4" s="3266"/>
      <c r="I4" s="3254"/>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2">
      <c r="A5" s="3244" t="s">
        <v>2123</v>
      </c>
      <c r="B5" s="3157">
        <v>25</v>
      </c>
      <c r="C5" s="3274"/>
      <c r="D5" s="3262"/>
      <c r="E5" s="140" t="s">
        <v>2124</v>
      </c>
      <c r="F5" s="2420"/>
      <c r="G5" s="2420"/>
      <c r="H5" s="2420"/>
      <c r="I5" s="1827"/>
    </row>
    <row r="6" spans="1:12" ht="13.2">
      <c r="A6" s="3244"/>
      <c r="B6" s="3157"/>
      <c r="C6" s="3276"/>
      <c r="D6" s="3262"/>
      <c r="E6" s="140" t="s">
        <v>2125</v>
      </c>
      <c r="F6" s="2420"/>
      <c r="G6" s="2420"/>
      <c r="H6" s="2420"/>
      <c r="I6" s="1827"/>
    </row>
    <row r="7" spans="1:12" ht="13.2">
      <c r="A7" s="3244"/>
      <c r="B7" s="3157"/>
      <c r="C7" s="3275"/>
      <c r="D7" s="3262"/>
      <c r="E7" s="140" t="s">
        <v>2126</v>
      </c>
      <c r="F7" s="2420"/>
      <c r="G7" s="2420"/>
      <c r="H7" s="2420"/>
      <c r="I7" s="1827"/>
    </row>
    <row r="8" spans="1:12" ht="13.2">
      <c r="A8" s="3244" t="s">
        <v>2127</v>
      </c>
      <c r="B8" s="3157">
        <v>15</v>
      </c>
      <c r="C8" s="3274"/>
      <c r="D8" s="3262"/>
      <c r="E8" s="140" t="s">
        <v>2128</v>
      </c>
      <c r="F8" s="2420"/>
      <c r="G8" s="2420"/>
      <c r="H8" s="2420"/>
      <c r="I8" s="1827"/>
    </row>
    <row r="9" spans="1:12" ht="13.2">
      <c r="A9" s="3244"/>
      <c r="B9" s="3157"/>
      <c r="C9" s="3275"/>
      <c r="D9" s="3262"/>
      <c r="E9" s="140" t="s">
        <v>2129</v>
      </c>
      <c r="F9" s="2420"/>
      <c r="G9" s="2420"/>
      <c r="H9" s="2420"/>
      <c r="I9" s="1827"/>
    </row>
    <row r="10" spans="1:12" ht="13.2">
      <c r="A10" s="3244" t="s">
        <v>2130</v>
      </c>
      <c r="B10" s="3157">
        <v>15</v>
      </c>
      <c r="C10" s="3274"/>
      <c r="D10" s="3262"/>
      <c r="E10" s="140" t="s">
        <v>2131</v>
      </c>
      <c r="F10" s="2420"/>
      <c r="G10" s="2420"/>
      <c r="H10" s="2420"/>
      <c r="I10" s="1827"/>
    </row>
    <row r="11" spans="1:12" ht="13.2">
      <c r="A11" s="3244"/>
      <c r="B11" s="3157"/>
      <c r="C11" s="3275"/>
      <c r="D11" s="3262"/>
      <c r="E11" s="140" t="s">
        <v>2132</v>
      </c>
      <c r="F11" s="2420"/>
      <c r="G11" s="2420"/>
      <c r="H11" s="2420"/>
      <c r="I11" s="1827"/>
    </row>
    <row r="12" spans="1:12" ht="13.2">
      <c r="A12" s="3244" t="s">
        <v>2133</v>
      </c>
      <c r="B12" s="3157">
        <v>15</v>
      </c>
      <c r="C12" s="3274"/>
      <c r="D12" s="3262"/>
      <c r="E12" s="140" t="s">
        <v>2134</v>
      </c>
      <c r="F12" s="2420"/>
      <c r="G12" s="2420"/>
      <c r="H12" s="2420"/>
      <c r="I12" s="1827"/>
    </row>
    <row r="13" spans="1:12" ht="13.2">
      <c r="A13" s="3244"/>
      <c r="B13" s="3157"/>
      <c r="C13" s="3275"/>
      <c r="D13" s="3262"/>
      <c r="E13" s="140" t="s">
        <v>2135</v>
      </c>
      <c r="F13" s="2420"/>
      <c r="G13" s="2420"/>
      <c r="H13" s="2420"/>
      <c r="I13" s="1827"/>
    </row>
    <row r="14" spans="1:12" ht="13.2">
      <c r="A14" s="3244" t="s">
        <v>2136</v>
      </c>
      <c r="B14" s="3157">
        <v>30</v>
      </c>
      <c r="C14" s="3274">
        <v>5</v>
      </c>
      <c r="D14" s="3262">
        <f>10-C14</f>
        <v>5</v>
      </c>
      <c r="E14" s="140" t="s">
        <v>2137</v>
      </c>
      <c r="F14" s="2420"/>
      <c r="G14" s="2420"/>
      <c r="H14" s="2420"/>
      <c r="I14" s="1827"/>
    </row>
    <row r="15" spans="1:12" ht="13.2">
      <c r="A15" s="3244"/>
      <c r="B15" s="3157"/>
      <c r="C15" s="3276"/>
      <c r="D15" s="3262"/>
      <c r="E15" s="140" t="s">
        <v>2138</v>
      </c>
      <c r="F15" s="2420"/>
      <c r="G15" s="2420"/>
      <c r="H15" s="2420"/>
      <c r="I15" s="1827"/>
    </row>
    <row r="16" spans="1:12" ht="13.2">
      <c r="A16" s="3244"/>
      <c r="B16" s="3157"/>
      <c r="C16" s="3275"/>
      <c r="D16" s="3262"/>
      <c r="E16" s="140" t="s">
        <v>2139</v>
      </c>
      <c r="F16" s="2420"/>
      <c r="G16" s="2420"/>
      <c r="H16" s="2420"/>
      <c r="I16" s="1827"/>
    </row>
    <row r="17" spans="1:35" ht="14.4">
      <c r="A17" s="2421" t="s">
        <v>2140</v>
      </c>
      <c r="B17" s="64"/>
      <c r="C17" s="141">
        <f>SUM(C5:C16)</f>
        <v>5</v>
      </c>
      <c r="D17" s="141">
        <f>SUM(D5:D16)</f>
        <v>5</v>
      </c>
      <c r="E17" s="138"/>
      <c r="F17" s="138"/>
      <c r="G17" s="138"/>
      <c r="H17" s="138"/>
      <c r="I17" s="138"/>
      <c r="K17" s="2419"/>
      <c r="L17" s="2422" t="s">
        <v>2141</v>
      </c>
      <c r="M17" s="2422" t="s">
        <v>2142</v>
      </c>
    </row>
    <row r="18" spans="1:35" ht="1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83517</v>
      </c>
      <c r="M18" s="2419">
        <f>IF(C1="",'数据-汇总表'!E3,SUMIF(项目类型,C1,'数据-汇总表'!E17:E26))</f>
        <v>83517</v>
      </c>
    </row>
    <row r="19" spans="1:35" ht="14.4">
      <c r="A19" s="2425" t="s">
        <v>2145</v>
      </c>
      <c r="B19" s="2426" t="s">
        <v>2146</v>
      </c>
      <c r="C19" s="143">
        <f ca="1">SUMIF(INDIRECT("'"&amp;C4&amp;"'"&amp;"!A:A"),结果表!B19,INDIRECT("'"&amp;C4&amp;"'"&amp;"!B:B"))</f>
        <v>43664</v>
      </c>
      <c r="D19" s="144">
        <f ca="1">SUMIF(INDIRECT("'"&amp;D4&amp;"'"&amp;"!A:A"),结果表!B19,INDIRECT("'"&amp;D4&amp;"'"&amp;"!B:B"))</f>
        <v>36537</v>
      </c>
      <c r="E19" s="2425" t="s">
        <v>2147</v>
      </c>
      <c r="F19" s="2426" t="s">
        <v>2146</v>
      </c>
      <c r="G19" s="145">
        <f ca="1">ROUND(C19*$C$18+D19*$D$18,0)</f>
        <v>40101</v>
      </c>
      <c r="H19" s="2427" t="s">
        <v>2148</v>
      </c>
      <c r="I19" s="138"/>
      <c r="K19" s="2419" t="s">
        <v>2149</v>
      </c>
      <c r="L19" s="2419">
        <f>IF(C1="",'数据-汇总表'!D3,SUMIF(项目类型,C1,'数据-汇总表'!D17:D26)+SUMIF(项目类型,C1,'数据-汇总表'!H17:H27))</f>
        <v>37123.449999999997</v>
      </c>
      <c r="M19" s="2419">
        <f>IF(C1="",'数据-汇总表'!D3,SUMIF(项目类型,C1,'数据-汇总表'!D17:D26))</f>
        <v>37123.449999999997</v>
      </c>
    </row>
    <row r="20" spans="1:35" ht="14.4">
      <c r="A20" s="2428"/>
      <c r="B20" s="1244" t="s">
        <v>2150</v>
      </c>
      <c r="C20" s="146">
        <f ca="1">SUMIF(INDIRECT("'"&amp;C4&amp;"'"&amp;"!A:A"),结果表!B20,INDIRECT("'"&amp;C4&amp;"'"&amp;"!B:B"))</f>
        <v>5228</v>
      </c>
      <c r="D20" s="147">
        <f ca="1">SUMIF(INDIRECT("'"&amp;D4&amp;"'"&amp;"!A:A"),结果表!B20,INDIRECT("'"&amp;D4&amp;"'"&amp;"!B:B"))</f>
        <v>4375</v>
      </c>
      <c r="E20" s="2428"/>
      <c r="F20" s="1244" t="s">
        <v>2150</v>
      </c>
      <c r="G20" s="148">
        <f ca="1">ROUND(C20*$C$18+D20*$D$18,0)</f>
        <v>4802</v>
      </c>
      <c r="H20" s="977" t="s">
        <v>2151</v>
      </c>
      <c r="I20" s="138"/>
    </row>
    <row r="21" spans="1:35" ht="15" customHeight="1" thickBot="1">
      <c r="A21" s="997"/>
      <c r="B21" s="2429" t="s">
        <v>2152</v>
      </c>
      <c r="C21" s="789">
        <f ca="1">ROUND(C19*10000/L19,0)</f>
        <v>11762</v>
      </c>
      <c r="D21" s="790">
        <f ca="1">ROUND(D19*10000/L19,0)</f>
        <v>9842</v>
      </c>
      <c r="E21" s="997"/>
      <c r="F21" s="2429" t="s">
        <v>2152</v>
      </c>
      <c r="G21" s="149">
        <f ca="1">ROUND(G19*10000/L19,0)</f>
        <v>10802</v>
      </c>
      <c r="H21" s="2430" t="s">
        <v>2151</v>
      </c>
      <c r="I21" s="138"/>
    </row>
    <row r="22" spans="1:35" ht="15" thickBot="1">
      <c r="A22" s="2271" t="s">
        <v>2153</v>
      </c>
      <c r="B22" s="2431"/>
      <c r="C22" s="2432"/>
      <c r="D22" s="791">
        <f ca="1">IF(C19&lt;D19,D19/C19-1,C19/D19-1)</f>
        <v>0.19506253934367912</v>
      </c>
      <c r="E22" s="138"/>
      <c r="F22" s="138"/>
      <c r="G22" s="138"/>
      <c r="H22" s="138"/>
      <c r="I22" s="138"/>
    </row>
    <row r="23" spans="1:35" ht="13.8" thickBot="1">
      <c r="A23" s="2409"/>
      <c r="B23" s="2409"/>
      <c r="C23" s="2409"/>
      <c r="D23" s="2409"/>
      <c r="E23" s="138"/>
      <c r="F23" s="138"/>
      <c r="G23" s="138"/>
      <c r="H23" s="138"/>
      <c r="I23" s="138"/>
    </row>
    <row r="24" spans="1:35" ht="14.4">
      <c r="A24" s="3283" t="s">
        <v>2154</v>
      </c>
      <c r="B24" s="2426" t="s">
        <v>2146</v>
      </c>
      <c r="C24" s="145">
        <f>IF(B30=0,0,D30)</f>
        <v>0</v>
      </c>
      <c r="D24" s="2433"/>
      <c r="E24" s="138"/>
      <c r="F24" s="138"/>
      <c r="G24" s="138"/>
      <c r="H24" s="138"/>
      <c r="I24" s="138"/>
    </row>
    <row r="25" spans="1:35" ht="14.4">
      <c r="A25" s="3284"/>
      <c r="B25" s="1244"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3.8">
      <c r="A27" s="2435"/>
      <c r="B27" s="151">
        <v>0</v>
      </c>
      <c r="C27" s="151">
        <v>0</v>
      </c>
      <c r="D27" s="152">
        <f>ROUND(C27*B27/10000,0)</f>
        <v>0</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2159</v>
      </c>
      <c r="B30" s="151"/>
      <c r="C30" s="151"/>
      <c r="D30" s="151"/>
      <c r="E30" s="2906" t="s">
        <v>3033</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2160</v>
      </c>
      <c r="B32" s="2439"/>
      <c r="C32" s="153">
        <f ca="1">IF(D32="总价",G19-C24,G20-C25)</f>
        <v>40101</v>
      </c>
      <c r="D32" s="2440" t="s">
        <v>2161</v>
      </c>
      <c r="E32" s="138"/>
      <c r="F32" s="138"/>
      <c r="G32" s="138"/>
      <c r="H32" s="138"/>
      <c r="I32" s="138"/>
    </row>
    <row r="33" spans="1:15" ht="14.4">
      <c r="A33" s="954" t="s">
        <v>2162</v>
      </c>
      <c r="B33" s="2441"/>
      <c r="C33" s="2442"/>
      <c r="D33" s="2443"/>
      <c r="E33" s="2444" t="s">
        <v>2163</v>
      </c>
      <c r="F33" s="2445" t="str">
        <f>IF(D32="楼面单价","取值（单价）","取值（总价）")</f>
        <v>取值（总价）</v>
      </c>
      <c r="G33" s="138"/>
      <c r="H33" s="138"/>
      <c r="I33" s="138"/>
    </row>
    <row r="34" spans="1:15" ht="14.4">
      <c r="A34" s="2446"/>
      <c r="B34" s="2447" t="s">
        <v>2164</v>
      </c>
      <c r="C34" s="157" t="e">
        <f ca="1">IF(C33="自定义",F34,C32-C35)</f>
        <v>#REF!</v>
      </c>
      <c r="D34" s="1052" t="e">
        <f ca="1">IF(C33="自定义",ROUND(C34/C32,3),IF(C33="收益比率",SUMIF(INDIRECT("'"&amp;D33&amp;"'"&amp;"!b:b"),"土地收益比率",INDIRECT("'"&amp;D33&amp;"'"&amp;"!c:c")),SUMIF(INDIRECT("'"&amp;D33&amp;"'"&amp;"!b:b"),"土地成本比率",INDIRECT("'"&amp;D33&amp;"'"&amp;"!c:c"))))</f>
        <v>#REF!</v>
      </c>
      <c r="E34" s="2448" t="s">
        <v>2165</v>
      </c>
      <c r="F34" s="1732"/>
      <c r="G34" s="138"/>
      <c r="H34" s="138"/>
      <c r="I34" s="138"/>
    </row>
    <row r="35" spans="1:15" ht="15" thickBot="1">
      <c r="A35" s="2449"/>
      <c r="B35" s="2450" t="s">
        <v>2166</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 thickBot="1">
      <c r="A36" s="3263" t="s">
        <v>2168</v>
      </c>
      <c r="B36" s="2452" t="s">
        <v>2169</v>
      </c>
      <c r="C36" s="154"/>
      <c r="D36" s="2453"/>
      <c r="E36" s="2454"/>
      <c r="F36" s="2455"/>
      <c r="G36" s="138"/>
      <c r="H36" s="138"/>
      <c r="I36" s="138"/>
    </row>
    <row r="37" spans="1:15" ht="15" thickBot="1">
      <c r="A37" s="3264"/>
      <c r="B37" s="2257" t="s">
        <v>2170</v>
      </c>
      <c r="C37" s="156"/>
      <c r="D37" s="1389"/>
      <c r="E37" s="1389"/>
      <c r="F37" s="2455"/>
      <c r="G37" s="138"/>
      <c r="H37" s="138"/>
      <c r="I37" s="138"/>
    </row>
    <row r="38" spans="1:15" ht="15" thickBot="1">
      <c r="A38" s="3265"/>
      <c r="B38" s="2456" t="s">
        <v>2171</v>
      </c>
      <c r="C38" s="727"/>
      <c r="D38" s="2457" t="s">
        <v>2172</v>
      </c>
      <c r="E38" s="1389"/>
      <c r="F38" s="2455"/>
      <c r="G38" s="138"/>
      <c r="H38" s="138"/>
      <c r="I38" s="138"/>
    </row>
    <row r="39" spans="1:15" ht="14.4">
      <c r="A39" s="2428" t="s">
        <v>2173</v>
      </c>
      <c r="B39" s="2458" t="s">
        <v>2174</v>
      </c>
      <c r="C39" s="2459" t="s">
        <v>2175</v>
      </c>
      <c r="D39" s="2459" t="s">
        <v>2176</v>
      </c>
      <c r="E39" s="2460" t="s">
        <v>2177</v>
      </c>
      <c r="F39" s="2455"/>
      <c r="G39" s="138"/>
      <c r="H39" s="138"/>
      <c r="I39" s="138"/>
    </row>
    <row r="40" spans="1:15" ht="13.8">
      <c r="A40" s="2461" t="s">
        <v>2178</v>
      </c>
      <c r="B40" s="158"/>
      <c r="C40" s="159"/>
      <c r="D40" s="159"/>
      <c r="E40" s="160"/>
      <c r="F40" s="2455"/>
      <c r="G40" s="138"/>
      <c r="H40" s="138"/>
      <c r="I40" s="138"/>
    </row>
    <row r="41" spans="1:15" ht="13.8">
      <c r="A41" s="2461" t="s">
        <v>2179</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280" t="s">
        <v>2182</v>
      </c>
      <c r="B45" s="3281"/>
      <c r="C45" s="3282"/>
      <c r="D45" s="164">
        <f ca="1">ROUND(H101*F45,0)</f>
        <v>40101</v>
      </c>
      <c r="E45" s="165" t="s">
        <v>2183</v>
      </c>
      <c r="F45" s="166">
        <v>1</v>
      </c>
      <c r="G45" s="167" t="s">
        <v>2184</v>
      </c>
      <c r="H45" s="138"/>
      <c r="I45" s="138"/>
      <c r="J45" s="3199" t="s">
        <v>2185</v>
      </c>
      <c r="K45" s="3199"/>
      <c r="L45" s="3199"/>
      <c r="M45" s="3199"/>
      <c r="N45" s="3199"/>
      <c r="O45" s="3199"/>
    </row>
    <row r="46" spans="1:15" ht="14.25" customHeight="1">
      <c r="A46" s="3277" t="s">
        <v>2186</v>
      </c>
      <c r="B46" s="3278"/>
      <c r="C46" s="3278"/>
      <c r="D46" s="3278"/>
      <c r="E46" s="3278"/>
      <c r="F46" s="3278"/>
      <c r="G46" s="3279"/>
      <c r="H46" s="2471"/>
      <c r="I46" s="168"/>
      <c r="J46" s="1805">
        <v>1</v>
      </c>
      <c r="K46" s="3199" t="s">
        <v>2187</v>
      </c>
      <c r="L46" s="3199"/>
      <c r="M46" s="3200"/>
      <c r="N46" s="3200"/>
      <c r="O46" s="3200"/>
    </row>
    <row r="47" spans="1:15" ht="12" customHeight="1">
      <c r="A47" s="169" t="s">
        <v>2188</v>
      </c>
      <c r="B47" s="170"/>
      <c r="C47" s="171"/>
      <c r="D47" s="172" t="s">
        <v>2189</v>
      </c>
      <c r="E47" s="24" t="s">
        <v>2190</v>
      </c>
      <c r="F47" s="173" t="s">
        <v>2191</v>
      </c>
      <c r="G47" s="174" t="s">
        <v>2192</v>
      </c>
      <c r="H47" s="2471"/>
      <c r="I47" s="168"/>
      <c r="J47" s="1805">
        <v>2</v>
      </c>
      <c r="K47" s="3199" t="s">
        <v>2193</v>
      </c>
      <c r="L47" s="3199"/>
      <c r="M47" s="3201">
        <f>'数据-取费表'!B2</f>
        <v>43629</v>
      </c>
      <c r="N47" s="3201"/>
      <c r="O47" s="3201"/>
    </row>
    <row r="48" spans="1:15" ht="26.4">
      <c r="A48" s="3267" t="s">
        <v>2194</v>
      </c>
      <c r="B48" s="3268"/>
      <c r="C48" s="3268"/>
      <c r="D48" s="140">
        <f ca="1">IF(H48="情况1",0,IF(H48="情况2",D52,IF(H48="情况3",D53,IF(H48="情况4",D54))))</f>
        <v>2139</v>
      </c>
      <c r="E48" s="1794" t="str">
        <f>IF(H48="情况4","(销售额-原购置价)×税（费）率","销售额×税（费）率")</f>
        <v>销售额×税（费）率</v>
      </c>
      <c r="F48" s="175">
        <f>IF(H48="情况1","免征",'数据-取费表'!B41)</f>
        <v>5.6000000000000001E-2</v>
      </c>
      <c r="G48" s="2472" t="s">
        <v>2195</v>
      </c>
      <c r="H48" s="2473" t="s">
        <v>3478</v>
      </c>
      <c r="I48" s="2471"/>
      <c r="J48" s="1805">
        <v>3</v>
      </c>
      <c r="K48" s="3199" t="s">
        <v>2196</v>
      </c>
      <c r="L48" s="3199"/>
      <c r="M48" s="3202">
        <f ca="1">H101</f>
        <v>40101</v>
      </c>
      <c r="N48" s="3202"/>
      <c r="O48" s="3202"/>
    </row>
    <row r="49" spans="1:35" ht="25.5" customHeight="1">
      <c r="A49" s="176" t="s">
        <v>2197</v>
      </c>
      <c r="B49" s="3247" t="s">
        <v>2198</v>
      </c>
      <c r="C49" s="3247"/>
      <c r="D49" s="177">
        <v>0</v>
      </c>
      <c r="E49" s="23" t="s">
        <v>2199</v>
      </c>
      <c r="F49" s="28" t="s">
        <v>34</v>
      </c>
      <c r="G49" s="3228"/>
      <c r="H49" s="138"/>
      <c r="I49" s="2474"/>
      <c r="J49" s="1805">
        <v>4</v>
      </c>
      <c r="K49" s="3199" t="str">
        <f>IF(项目基本情况!E8="房地产抵押价值","房地产抵押价值","抵押担保权已注销时的房地产抵押价值")</f>
        <v>房地产抵押价值</v>
      </c>
      <c r="L49" s="3199"/>
      <c r="M49" s="3202">
        <f ca="1">IF(项目基本情况!E8="房地产抵押价值",H107,H109)</f>
        <v>40101</v>
      </c>
      <c r="N49" s="3202"/>
      <c r="O49" s="3202"/>
    </row>
    <row r="50" spans="1:35" ht="25.5" customHeight="1">
      <c r="A50" s="178"/>
      <c r="B50" s="3247" t="s">
        <v>2200</v>
      </c>
      <c r="C50" s="3247"/>
      <c r="D50" s="179"/>
      <c r="E50" s="31"/>
      <c r="F50" s="180"/>
      <c r="G50" s="3229"/>
      <c r="H50" s="138"/>
      <c r="I50" s="2474"/>
      <c r="J50" s="3199" t="s">
        <v>2201</v>
      </c>
      <c r="K50" s="3199"/>
      <c r="L50" s="3199"/>
      <c r="M50" s="3199"/>
      <c r="N50" s="3199"/>
      <c r="O50" s="3199"/>
    </row>
    <row r="51" spans="1:35" ht="12" customHeight="1">
      <c r="A51" s="181"/>
      <c r="B51" s="3247" t="s">
        <v>2202</v>
      </c>
      <c r="C51" s="3247"/>
      <c r="D51" s="182"/>
      <c r="E51" s="30"/>
      <c r="F51" s="180"/>
      <c r="G51" s="3230"/>
      <c r="H51" s="138"/>
      <c r="I51" s="2474"/>
      <c r="J51" s="2475" t="s">
        <v>2203</v>
      </c>
      <c r="K51" s="3199" t="s">
        <v>2204</v>
      </c>
      <c r="L51" s="3199"/>
      <c r="M51" s="2475" t="s">
        <v>2205</v>
      </c>
      <c r="N51" s="2475" t="s">
        <v>2206</v>
      </c>
      <c r="O51" s="2475" t="s">
        <v>2207</v>
      </c>
    </row>
    <row r="52" spans="1:35" ht="24" customHeight="1">
      <c r="A52" s="183" t="s">
        <v>2208</v>
      </c>
      <c r="B52" s="3247" t="s">
        <v>2209</v>
      </c>
      <c r="C52" s="3247"/>
      <c r="D52" s="182">
        <f ca="1">ROUND(D45*'数据-取费表'!B41/(1+'数据-取费表'!C42),0)</f>
        <v>2139</v>
      </c>
      <c r="E52" s="11" t="s">
        <v>2210</v>
      </c>
      <c r="F52" s="184">
        <f>'数据-取费表'!B41</f>
        <v>5.6000000000000001E-2</v>
      </c>
      <c r="G52" s="2476"/>
      <c r="H52" s="138"/>
      <c r="I52" s="2474"/>
      <c r="J52" s="1805">
        <v>1</v>
      </c>
      <c r="K52" s="3222" t="s">
        <v>2211</v>
      </c>
      <c r="L52" s="3222"/>
      <c r="M52" s="1747">
        <f ca="1">D48</f>
        <v>2139</v>
      </c>
      <c r="N52" s="1805" t="str">
        <f>E48</f>
        <v>销售额×税（费）率</v>
      </c>
      <c r="O52" s="1748">
        <f>F48</f>
        <v>5.6000000000000001E-2</v>
      </c>
    </row>
    <row r="53" spans="1:35" ht="12" customHeight="1">
      <c r="A53" s="183" t="s">
        <v>2212</v>
      </c>
      <c r="B53" s="3248" t="s">
        <v>2213</v>
      </c>
      <c r="C53" s="3249"/>
      <c r="D53" s="182">
        <f ca="1">ROUND(D45*'数据-取费表'!B41/(1+'数据-取费表'!C42),0)</f>
        <v>2139</v>
      </c>
      <c r="E53" s="11" t="s">
        <v>2210</v>
      </c>
      <c r="F53" s="184">
        <f>'数据-取费表'!B41</f>
        <v>5.6000000000000001E-2</v>
      </c>
      <c r="G53" s="2476"/>
      <c r="H53" s="138"/>
      <c r="I53" s="2474"/>
      <c r="J53" s="1805">
        <v>2</v>
      </c>
      <c r="K53" s="3222" t="s">
        <v>2214</v>
      </c>
      <c r="L53" s="3222"/>
      <c r="M53" s="1747">
        <f t="shared" ref="M53:O54" ca="1" si="0">D55</f>
        <v>20</v>
      </c>
      <c r="N53" s="1805" t="str">
        <f t="shared" si="0"/>
        <v>销售额×税（费）率</v>
      </c>
      <c r="O53" s="1748">
        <f t="shared" si="0"/>
        <v>5.0000000000000001E-4</v>
      </c>
    </row>
    <row r="54" spans="1:35" ht="12" customHeight="1">
      <c r="A54" s="183" t="s">
        <v>2215</v>
      </c>
      <c r="B54" s="3248" t="s">
        <v>2216</v>
      </c>
      <c r="C54" s="3249"/>
      <c r="D54" s="182">
        <f ca="1">C68</f>
        <v>2139</v>
      </c>
      <c r="E54" s="30" t="s">
        <v>2217</v>
      </c>
      <c r="F54" s="184">
        <f>'数据-取费表'!B41</f>
        <v>5.6000000000000001E-2</v>
      </c>
      <c r="G54" s="2476"/>
      <c r="H54" s="2477"/>
      <c r="I54" s="2474"/>
      <c r="J54" s="1805">
        <v>3</v>
      </c>
      <c r="K54" s="3222" t="s">
        <v>2218</v>
      </c>
      <c r="L54" s="3222"/>
      <c r="M54" s="1747">
        <f t="shared" ca="1" si="0"/>
        <v>10573</v>
      </c>
      <c r="N54" s="1805" t="str">
        <f t="shared" si="0"/>
        <v>增值额×税（费）率</v>
      </c>
      <c r="O54" s="1749" t="str">
        <f t="shared" si="0"/>
        <v>——</v>
      </c>
    </row>
    <row r="55" spans="1:35" ht="24" customHeight="1">
      <c r="A55" s="3286" t="s">
        <v>2219</v>
      </c>
      <c r="B55" s="3268"/>
      <c r="C55" s="3268"/>
      <c r="D55" s="185">
        <f ca="1">IF(H55="个人住宅",0,ROUND(D45*I55,0))</f>
        <v>20</v>
      </c>
      <c r="E55" s="11" t="s">
        <v>2220</v>
      </c>
      <c r="F55" s="184">
        <f>IF(H55="正常",I55,"免征")</f>
        <v>5.0000000000000001E-4</v>
      </c>
      <c r="G55" s="2476"/>
      <c r="H55" s="2473" t="s">
        <v>2221</v>
      </c>
      <c r="I55" s="186">
        <f>'数据-取费表'!B49</f>
        <v>5.0000000000000001E-4</v>
      </c>
      <c r="J55" s="1805" t="str">
        <f>IF(H59="非个人房产","",4)</f>
        <v/>
      </c>
      <c r="K55" s="3222" t="str">
        <f>IF(H59="非个人房产","——","个人所得税")</f>
        <v>——</v>
      </c>
      <c r="L55" s="3222"/>
      <c r="M55" s="1750" t="str">
        <f>D59</f>
        <v>——</v>
      </c>
      <c r="N55" s="1803" t="str">
        <f>E59</f>
        <v>——</v>
      </c>
      <c r="O55" s="1751" t="str">
        <f>F59</f>
        <v>——</v>
      </c>
    </row>
    <row r="56" spans="1:35" ht="25.2">
      <c r="A56" s="3286" t="s">
        <v>2222</v>
      </c>
      <c r="B56" s="3268"/>
      <c r="C56" s="3268"/>
      <c r="D56" s="185">
        <f ca="1">IF(H56="个人住宅",D57,D58)</f>
        <v>10573</v>
      </c>
      <c r="E56" s="11" t="s">
        <v>2223</v>
      </c>
      <c r="F56" s="184" t="str">
        <f>IF(H56="正常",F58,"免征")</f>
        <v>——</v>
      </c>
      <c r="G56" s="2478" t="s">
        <v>2224</v>
      </c>
      <c r="H56" s="2479" t="s">
        <v>2221</v>
      </c>
      <c r="I56" s="2480"/>
      <c r="J56" s="1805" t="str">
        <f>IF(项目基本情况!K6="上海银行",IF(J55="",4,J55+1),"")</f>
        <v/>
      </c>
      <c r="K56" s="3205" t="str">
        <f>IF(项目基本情况!K6="上海银行","其他处置费用","")</f>
        <v/>
      </c>
      <c r="L56" s="3206"/>
      <c r="M56" s="1747" t="str">
        <f>IF(项目基本情况!K6="上海银行",M69,"")</f>
        <v/>
      </c>
      <c r="N56" s="3208" t="str">
        <f>IF(项目基本情况!K6="上海银行","包含处置中涉及的律师、诉讼、拍卖、评估等费用","")</f>
        <v/>
      </c>
      <c r="O56" s="3209"/>
    </row>
    <row r="57" spans="1:35" ht="13.2">
      <c r="A57" s="183" t="s">
        <v>2197</v>
      </c>
      <c r="B57" s="3253" t="s">
        <v>2225</v>
      </c>
      <c r="C57" s="3254"/>
      <c r="D57" s="187">
        <v>0</v>
      </c>
      <c r="E57" s="23" t="s">
        <v>2199</v>
      </c>
      <c r="F57" s="155"/>
      <c r="G57" s="2476"/>
      <c r="H57" s="2480"/>
      <c r="I57" s="2480"/>
      <c r="J57" s="3222">
        <f>IF(AND(J55="",J56=""),4,IF(项目基本情况!K6="上海银行",结果表!J56+1,结果表!J55+1))</f>
        <v>4</v>
      </c>
      <c r="K57" s="3222" t="s">
        <v>2226</v>
      </c>
      <c r="L57" s="2481" t="s">
        <v>2227</v>
      </c>
      <c r="M57" s="1752"/>
      <c r="N57" s="1753">
        <f ca="1">SUMIF(M52:M56,"&lt;9e307")</f>
        <v>12732</v>
      </c>
      <c r="O57" s="2482"/>
      <c r="P57" s="1746">
        <f ca="1">N57/M49</f>
        <v>0.31749831675020573</v>
      </c>
    </row>
    <row r="58" spans="1:35" ht="25.2">
      <c r="A58" s="183" t="s">
        <v>2208</v>
      </c>
      <c r="B58" s="3253" t="s">
        <v>2228</v>
      </c>
      <c r="C58" s="3266"/>
      <c r="D58" s="185">
        <f ca="1">IF(H58="转让取得",C81,C97)</f>
        <v>10573</v>
      </c>
      <c r="E58" s="11" t="s">
        <v>2223</v>
      </c>
      <c r="F58" s="24" t="s">
        <v>34</v>
      </c>
      <c r="G58" s="2476"/>
      <c r="H58" s="2479" t="s">
        <v>2229</v>
      </c>
      <c r="I58" s="2480"/>
      <c r="J58" s="3222"/>
      <c r="K58" s="3222"/>
      <c r="L58" s="2481" t="s">
        <v>2230</v>
      </c>
      <c r="M58" s="1754"/>
      <c r="N58" s="2483" t="str">
        <f ca="1">NUMBERSTRING(INT(N57*10000),2)&amp;"元整"</f>
        <v>壹亿贰仟柒佰叁拾贰万元整</v>
      </c>
      <c r="O58" s="2484"/>
    </row>
    <row r="59" spans="1:35" ht="24.6" thickBot="1">
      <c r="A59" s="3226" t="s">
        <v>2231</v>
      </c>
      <c r="B59" s="3227"/>
      <c r="C59" s="3227"/>
      <c r="D59" s="188" t="str">
        <f>IF(H59="非个人房产","——",IF(H59="个人住宅",0,ROUND(D45*I59,0)))</f>
        <v>——</v>
      </c>
      <c r="E59" s="189" t="str">
        <f>IF(H59="非个人房产","——","销售额×税（费）率")</f>
        <v>——</v>
      </c>
      <c r="F59" s="190" t="str">
        <f>IF(H59="非个人房产","——",IF(H59="个人住宅","免征",I59))</f>
        <v>——</v>
      </c>
      <c r="G59" s="2485" t="s">
        <v>2224</v>
      </c>
      <c r="H59" s="2479" t="s">
        <v>2232</v>
      </c>
      <c r="I59" s="191">
        <v>0.01</v>
      </c>
      <c r="J59" s="3224">
        <f>J57+1</f>
        <v>5</v>
      </c>
      <c r="K59" s="3222" t="s">
        <v>2233</v>
      </c>
      <c r="L59" s="1805" t="s">
        <v>2227</v>
      </c>
      <c r="M59" s="1755"/>
      <c r="N59" s="1756">
        <f ca="1">M49-N57</f>
        <v>27369</v>
      </c>
      <c r="O59" s="2486"/>
    </row>
    <row r="60" spans="1:35" ht="12" customHeight="1">
      <c r="A60" s="2487"/>
      <c r="B60" s="2409"/>
      <c r="C60" s="2409"/>
      <c r="D60" s="2409"/>
      <c r="E60" s="2157"/>
      <c r="F60" s="2480"/>
      <c r="G60" s="2480"/>
      <c r="H60" s="2488"/>
      <c r="I60" s="138"/>
      <c r="J60" s="3225"/>
      <c r="K60" s="3222"/>
      <c r="L60" s="2481" t="s">
        <v>2230</v>
      </c>
      <c r="M60" s="1754"/>
      <c r="N60" s="2483" t="str">
        <f ca="1">NUMBERSTRING(INT(N59*10000),2)&amp;"元整"</f>
        <v>贰亿柒仟叁佰陆拾玖万元整</v>
      </c>
      <c r="O60" s="2484"/>
    </row>
    <row r="61" spans="1:35" ht="13.8" thickBot="1">
      <c r="A61" s="3285" t="s">
        <v>2234</v>
      </c>
      <c r="B61" s="3285"/>
      <c r="C61" s="3285"/>
      <c r="D61" s="3285"/>
      <c r="E61" s="3285"/>
      <c r="F61" s="2480"/>
      <c r="G61" s="2480"/>
      <c r="H61" s="2488"/>
      <c r="I61" s="138"/>
      <c r="J61" s="1805">
        <f>J59+1</f>
        <v>6</v>
      </c>
      <c r="K61" s="3222" t="s">
        <v>2235</v>
      </c>
      <c r="L61" s="3222"/>
      <c r="M61" s="1757"/>
      <c r="N61" s="1758">
        <f ca="1">ROUND(N59*10000/'数据-汇总表'!E3,0)</f>
        <v>3277</v>
      </c>
      <c r="O61" s="2489"/>
    </row>
    <row r="62" spans="1:35" ht="13.2">
      <c r="A62" s="3242" t="s">
        <v>2236</v>
      </c>
      <c r="B62" s="3243"/>
      <c r="C62" s="1797"/>
      <c r="D62" s="1797" t="s">
        <v>2237</v>
      </c>
      <c r="E62" s="192" t="s">
        <v>2238</v>
      </c>
      <c r="F62" s="2480"/>
      <c r="G62" s="2480"/>
      <c r="H62" s="2488"/>
      <c r="I62" s="138"/>
    </row>
    <row r="63" spans="1:35" ht="13.2">
      <c r="A63" s="203" t="s">
        <v>775</v>
      </c>
      <c r="B63" s="193" t="s">
        <v>2239</v>
      </c>
      <c r="C63" s="194">
        <f ca="1">ROUND((C64+C65)/(1+'数据-取费表'!C42),0)</f>
        <v>38191</v>
      </c>
      <c r="D63" s="195"/>
      <c r="E63" s="196"/>
      <c r="F63" s="2480"/>
      <c r="G63" s="2480"/>
      <c r="H63" s="2488"/>
      <c r="I63" s="138"/>
      <c r="J63" s="3207" t="s">
        <v>2240</v>
      </c>
      <c r="K63" s="2490" t="s">
        <v>2241</v>
      </c>
      <c r="L63" s="1745">
        <f ca="1">IF(M49&gt;10000,M49*0.5%,IF(AND(M49&gt;1000,M49&lt;=10000),M49*1%,IF(AND(M49&gt;100,M49&lt;=1000),M49*3%,IF(AND(M49&gt;10,M49&lt;=100),M49*5%,M49*8%))))</f>
        <v>200.505</v>
      </c>
      <c r="M63" s="24">
        <f ca="1">ROUND(L63,1)</f>
        <v>200.5</v>
      </c>
      <c r="Z63" s="2414"/>
      <c r="AI63" s="2415"/>
    </row>
    <row r="64" spans="1:35" ht="14.25" customHeight="1">
      <c r="A64" s="197" t="s">
        <v>770</v>
      </c>
      <c r="B64" s="198" t="s">
        <v>2242</v>
      </c>
      <c r="C64" s="199">
        <f ca="1">D45</f>
        <v>40101</v>
      </c>
      <c r="D64" s="200" t="s">
        <v>32</v>
      </c>
      <c r="E64" s="201"/>
      <c r="F64" s="2480"/>
      <c r="G64" s="2480"/>
      <c r="H64" s="2488"/>
      <c r="I64" s="138"/>
      <c r="J64" s="3207"/>
      <c r="K64" s="2490" t="s">
        <v>2243</v>
      </c>
      <c r="L64" s="1745">
        <f ca="1">IF(M49&gt;2000,M49*0.5%,IF(AND(M49&gt;1000,M49&lt;=2000),M49*0.6%,IF(AND(M49&gt;500,M49&lt;=1000),M49*0.7%,IF(AND(M49&gt;200,M49&lt;=500),M49*0.8%,IF(AND(M49&gt;100,M49&lt;=200),M49*0.9%,IF(AND(M49&gt;50,M49&lt;=100),M49*1%,IF(AND(M49&gt;20,M49&lt;=50),M49*1.5%,IF(AND(M49&gt;10,M49&lt;=20),M49*2%,IF(AND(M49&gt;1,M49&lt;=10),M49*2.5%)))))))))</f>
        <v>200.505</v>
      </c>
      <c r="M64" s="24">
        <f t="shared" ref="M64:M65" ca="1" si="1">ROUND(L64,1)</f>
        <v>200.5</v>
      </c>
      <c r="N64" s="138" t="s">
        <v>2244</v>
      </c>
      <c r="Z64" s="2414"/>
      <c r="AI64" s="2415"/>
    </row>
    <row r="65" spans="1:35" ht="14.25" customHeight="1">
      <c r="A65" s="197" t="s">
        <v>771</v>
      </c>
      <c r="B65" s="198" t="s">
        <v>2245</v>
      </c>
      <c r="C65" s="202"/>
      <c r="D65" s="200"/>
      <c r="E65" s="201"/>
      <c r="F65" s="2480"/>
      <c r="G65" s="2480"/>
      <c r="H65" s="2488"/>
      <c r="I65" s="138"/>
      <c r="J65" s="3207"/>
      <c r="K65" s="2490" t="s">
        <v>2246</v>
      </c>
      <c r="L65" s="1745">
        <f ca="1">IF(M49&gt;1000,M49*0.1%,IF(AND(M49&gt;500,M49&lt;=1000),M49*0.5%,IF(AND(M49&gt;50,M49&lt;=500),M49*1%,IF(AND(M49&gt;1,M49&lt;=50),M49*1.5%))))</f>
        <v>40.100999999999999</v>
      </c>
      <c r="M65" s="24">
        <f t="shared" ca="1" si="1"/>
        <v>40.1</v>
      </c>
      <c r="N65" s="138" t="s">
        <v>2244</v>
      </c>
      <c r="Z65" s="2414"/>
      <c r="AI65" s="2415"/>
    </row>
    <row r="66" spans="1:35" ht="14.25" customHeight="1">
      <c r="A66" s="203" t="s">
        <v>772</v>
      </c>
      <c r="B66" s="204" t="s">
        <v>2247</v>
      </c>
      <c r="C66" s="205"/>
      <c r="D66" s="206" t="s">
        <v>32</v>
      </c>
      <c r="E66" s="1769" t="s">
        <v>1367</v>
      </c>
      <c r="F66" s="2480"/>
      <c r="G66" s="2480"/>
      <c r="H66" s="2488"/>
      <c r="I66" s="138"/>
      <c r="J66" s="3207"/>
      <c r="K66" s="2490" t="s">
        <v>2248</v>
      </c>
      <c r="L66" s="1745">
        <f ca="1">M49*0.5%</f>
        <v>200.505</v>
      </c>
      <c r="M66" s="24">
        <f ca="1">IF(L66&gt;0.5,0.5,ROUND(L66,0))</f>
        <v>0.5</v>
      </c>
      <c r="N66" s="138" t="s">
        <v>2249</v>
      </c>
      <c r="Z66" s="2414"/>
      <c r="AI66" s="2415"/>
    </row>
    <row r="67" spans="1:35" ht="14.25" customHeight="1">
      <c r="A67" s="203" t="s">
        <v>773</v>
      </c>
      <c r="B67" s="204" t="s">
        <v>2250</v>
      </c>
      <c r="C67" s="207">
        <f ca="1">C63-C66</f>
        <v>38191</v>
      </c>
      <c r="D67" s="200" t="s">
        <v>32</v>
      </c>
      <c r="E67" s="201"/>
      <c r="F67" s="2480"/>
      <c r="G67" s="2480"/>
      <c r="H67" s="2488"/>
      <c r="I67" s="138"/>
      <c r="J67" s="3207"/>
      <c r="K67" s="2490" t="s">
        <v>2251</v>
      </c>
      <c r="L67" s="1745">
        <f ca="1">IF(M49&gt;=10000,(8.25+(M49-10000)*0.01%),IF(AND(M49&gt;=8000,M49&lt;10000),(7.85+(M49-8000)*0.02%),IF(AND(M49&gt;=5000,M49&lt;8000),(6.65+(M49-5000)*0.04%),IF(AND(M49&gt;=2000,M49&lt;5000),(4.25+(PM49-2000)*0.08%),IF(AND(M49&gt;=1000,M49&lt;2000),(2.75+(M49-1000)*0.15%),IF(AND(M49&gt;=100,M49&lt;1000),(0.5+(M49-100)*0.25%),IF(AND(M49&gt;0,M49&lt;100),M49*0.5%)))))))</f>
        <v>11.2601</v>
      </c>
      <c r="M67" s="24">
        <f ca="1">ROUND(L67*0.9,1)</f>
        <v>10.1</v>
      </c>
      <c r="Z67" s="2414"/>
      <c r="AI67" s="2415"/>
    </row>
    <row r="68" spans="1:35" ht="14.25" customHeight="1" thickBot="1">
      <c r="A68" s="208" t="s">
        <v>774</v>
      </c>
      <c r="B68" s="209" t="s">
        <v>2252</v>
      </c>
      <c r="C68" s="210">
        <f ca="1">IF(C67&lt;=0,0,ROUND(C67*D68,0))</f>
        <v>2139</v>
      </c>
      <c r="D68" s="211">
        <f>'数据-取费表'!B41</f>
        <v>5.6000000000000001E-2</v>
      </c>
      <c r="E68" s="212"/>
      <c r="F68" s="2480"/>
      <c r="G68" s="2480"/>
      <c r="H68" s="2488"/>
      <c r="I68" s="138"/>
      <c r="J68" s="3207"/>
      <c r="K68" s="2490" t="s">
        <v>2253</v>
      </c>
      <c r="L68" s="1745">
        <f ca="1">IF(M49&gt;10000,M49*0.5%,IF(AND(M49&gt;5000,M49&lt;=10000),M49*1%,IF(AND(M49&gt;1000,M49&lt;=5000),M49*2%,IF(AND(M49&gt;200,M49&lt;=1000),M49*3%,M49*5%))))</f>
        <v>200.505</v>
      </c>
      <c r="M68" s="24">
        <f ca="1">ROUND(L68,1)</f>
        <v>200.5</v>
      </c>
      <c r="Z68" s="2414"/>
      <c r="AI68" s="2415"/>
    </row>
    <row r="69" spans="1:35" s="2437" customFormat="1" ht="16.5" customHeight="1">
      <c r="A69" s="2491"/>
      <c r="B69" s="2492"/>
      <c r="C69" s="2493"/>
      <c r="D69" s="2494"/>
      <c r="E69" s="2495"/>
      <c r="F69" s="2157"/>
      <c r="G69" s="2157"/>
      <c r="H69" s="2156"/>
      <c r="I69" s="2409"/>
      <c r="J69" s="3207"/>
      <c r="K69" s="2490" t="s">
        <v>2254</v>
      </c>
      <c r="L69" s="2496"/>
      <c r="M69" s="24">
        <f ca="1">ROUND(SUM(M63:M68),0)</f>
        <v>652</v>
      </c>
      <c r="N69" s="1746">
        <f ca="1">M69/M49</f>
        <v>1.6258946160943616E-2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251" t="s">
        <v>2255</v>
      </c>
      <c r="B70" s="3252"/>
      <c r="C70" s="3252"/>
      <c r="D70" s="3252"/>
      <c r="E70" s="3252"/>
      <c r="F70" s="3252"/>
      <c r="G70" s="3252"/>
      <c r="H70" s="325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242" t="s">
        <v>2236</v>
      </c>
      <c r="B71" s="3243"/>
      <c r="C71" s="1797"/>
      <c r="D71" s="1797" t="s">
        <v>2237</v>
      </c>
      <c r="E71" s="213" t="s">
        <v>2238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2256</v>
      </c>
      <c r="C72" s="207">
        <f ca="1">ROUND(D45/(1+'数据-取费表'!C42),0)</f>
        <v>38191</v>
      </c>
      <c r="D72" s="200" t="s">
        <v>32</v>
      </c>
      <c r="E72" s="1796"/>
      <c r="F72" s="1790"/>
      <c r="G72" s="1790"/>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2257</v>
      </c>
      <c r="C73" s="207">
        <f ca="1">C74+C78</f>
        <v>229</v>
      </c>
      <c r="D73" s="200" t="s">
        <v>32</v>
      </c>
      <c r="E73" s="1796"/>
      <c r="F73" s="1790"/>
      <c r="G73" s="1790"/>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2258</v>
      </c>
      <c r="C74" s="200">
        <f>ROUND(IF(G77="2016年5月1日后购买",C75/(1+'数据-取费表'!C42)+C76+C77,C75+C76+C77),0)</f>
        <v>0</v>
      </c>
      <c r="D74" s="200" t="s">
        <v>32</v>
      </c>
      <c r="E74" s="1796"/>
      <c r="F74" s="1790"/>
      <c r="G74" s="1790"/>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2259</v>
      </c>
      <c r="C75" s="218"/>
      <c r="D75" s="200" t="s">
        <v>32</v>
      </c>
      <c r="E75" s="219" t="s">
        <v>2260</v>
      </c>
      <c r="F75" s="2502" t="s">
        <v>2261</v>
      </c>
      <c r="G75" s="219" t="s">
        <v>2262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2263</v>
      </c>
      <c r="C76" s="200">
        <f>IF(F75="购房发票",ROUND(C75*H75*D76,0),0)</f>
        <v>0</v>
      </c>
      <c r="D76" s="222">
        <v>0.05</v>
      </c>
      <c r="E76" s="3248" t="s">
        <v>2264</v>
      </c>
      <c r="F76" s="3247"/>
      <c r="G76" s="3247"/>
      <c r="H76" s="325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2268</v>
      </c>
      <c r="C78" s="225">
        <f ca="1">ROUND(D45*D78/(1+'数据-取费表'!C42),0)</f>
        <v>229</v>
      </c>
      <c r="D78" s="226">
        <f>'数据-取费表'!B43</f>
        <v>6.000000000000001E-3</v>
      </c>
      <c r="E78" s="3239" t="s">
        <v>2269</v>
      </c>
      <c r="F78" s="3240"/>
      <c r="G78" s="3240"/>
      <c r="H78" s="324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2270</v>
      </c>
      <c r="C79" s="207">
        <f ca="1">C72-C73</f>
        <v>37962</v>
      </c>
      <c r="D79" s="200" t="s">
        <v>32</v>
      </c>
      <c r="E79" s="1796"/>
      <c r="F79" s="1790"/>
      <c r="G79" s="1790"/>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2271</v>
      </c>
      <c r="C80" s="227">
        <f ca="1">IF(C79&lt;=0,0,C79/C73)</f>
        <v>165.77292576419214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2272</v>
      </c>
      <c r="C81" s="228">
        <f ca="1">ROUND(IF(C79&lt;=0,0,IF(C80&gt;=200%,C79*60%-C73*35%,IF(C80&gt;=100%,C79*50%-C73*15%,IF(C80&gt;=50%,C79*40%-C73*5%,IF(C80&lt;50%,C79*30%,0))))),0)</f>
        <v>22697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251" t="s">
        <v>2273</v>
      </c>
      <c r="B83" s="3252"/>
      <c r="C83" s="3252"/>
      <c r="D83" s="3252"/>
      <c r="E83" s="3252"/>
      <c r="F83" s="3252"/>
      <c r="G83" s="3252"/>
      <c r="H83" s="325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242" t="s">
        <v>2236</v>
      </c>
      <c r="B84" s="3243"/>
      <c r="C84" s="1797"/>
      <c r="D84" s="1797" t="s">
        <v>2237</v>
      </c>
      <c r="E84" s="213" t="s">
        <v>2238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2256</v>
      </c>
      <c r="C85" s="207">
        <f ca="1">ROUND(D45/(1+'数据-取费表'!C42),0)</f>
        <v>38191</v>
      </c>
      <c r="D85" s="200" t="s">
        <v>32</v>
      </c>
      <c r="E85" s="1796"/>
      <c r="F85" s="1790"/>
      <c r="G85" s="1790"/>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2257</v>
      </c>
      <c r="C86" s="207">
        <f ca="1">IF(H88="仅含出让金",C87+C90+C91+C92+C93+C94,C87+C91+C92+C93+C94)</f>
        <v>13112</v>
      </c>
      <c r="D86" s="235"/>
      <c r="E86" s="1796"/>
      <c r="F86" s="1790"/>
      <c r="G86" s="1790"/>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2274</v>
      </c>
      <c r="C87" s="225">
        <f>C88+C89</f>
        <v>8078</v>
      </c>
      <c r="D87" s="226"/>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26.4">
      <c r="A88" s="217" t="s">
        <v>776</v>
      </c>
      <c r="B88" s="198" t="s">
        <v>2275</v>
      </c>
      <c r="C88" s="236">
        <f>ROUND(42100*'数据-汇总表'!D3/'数据-基础表'!A3,0)</f>
        <v>7839</v>
      </c>
      <c r="D88" s="226"/>
      <c r="E88" s="237" t="s">
        <v>2276</v>
      </c>
      <c r="F88" s="1793"/>
      <c r="G88" s="238" t="s">
        <v>2277</v>
      </c>
      <c r="H88" s="2508" t="s">
        <v>3477</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2265</v>
      </c>
      <c r="C89" s="225">
        <f>ROUND(C88*D89,0)</f>
        <v>239</v>
      </c>
      <c r="D89" s="226">
        <f>'数据-取费表'!B48+'数据-取费表'!B49</f>
        <v>3.0499999999999999E-2</v>
      </c>
      <c r="E89" s="237"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2279</v>
      </c>
      <c r="C90" s="236"/>
      <c r="D90" s="226"/>
      <c r="E90" s="237"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2280</v>
      </c>
      <c r="B91" s="198" t="s">
        <v>2281</v>
      </c>
      <c r="C91" s="225">
        <f>IF(H91="——",成本法!C33,I91)</f>
        <v>1832</v>
      </c>
      <c r="D91" s="226"/>
      <c r="E91" s="3239" t="s">
        <v>2282</v>
      </c>
      <c r="F91" s="3240"/>
      <c r="G91" s="3240"/>
      <c r="H91" s="2509" t="s">
        <v>2283</v>
      </c>
      <c r="I91" s="2510">
        <f>'数据-取费表'!O16</f>
        <v>1832</v>
      </c>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2284</v>
      </c>
      <c r="B92" s="198" t="s">
        <v>2285</v>
      </c>
      <c r="C92" s="225">
        <f>ROUND((C87+C90+C91)*D92,0)</f>
        <v>991</v>
      </c>
      <c r="D92" s="226">
        <v>0.1</v>
      </c>
      <c r="E92" s="3239" t="s">
        <v>2286</v>
      </c>
      <c r="F92" s="3240"/>
      <c r="G92" s="3240"/>
      <c r="H92" s="324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2287</v>
      </c>
      <c r="B93" s="198" t="s">
        <v>2268</v>
      </c>
      <c r="C93" s="225">
        <f ca="1">ROUND(D45*D93/(1+'数据-取费表'!C42),0)</f>
        <v>229</v>
      </c>
      <c r="D93" s="226">
        <f>'数据-取费表'!B43</f>
        <v>6.000000000000001E-3</v>
      </c>
      <c r="E93" s="3239" t="s">
        <v>2269</v>
      </c>
      <c r="F93" s="3240"/>
      <c r="G93" s="3240"/>
      <c r="H93" s="324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2288</v>
      </c>
      <c r="B94" s="198" t="s">
        <v>2289</v>
      </c>
      <c r="C94" s="236">
        <f>ROUND((C87+C90+C91)*D94,0)</f>
        <v>1982</v>
      </c>
      <c r="D94" s="226">
        <v>0.2</v>
      </c>
      <c r="E94" s="3287" t="s">
        <v>2290</v>
      </c>
      <c r="F94" s="3288"/>
      <c r="G94" s="3288"/>
      <c r="H94" s="328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2270</v>
      </c>
      <c r="C95" s="207">
        <f ca="1">ROUND(C85-C86,0)</f>
        <v>25079</v>
      </c>
      <c r="D95" s="200" t="s">
        <v>32</v>
      </c>
      <c r="E95" s="1796"/>
      <c r="F95" s="1790"/>
      <c r="G95" s="1790"/>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2271</v>
      </c>
      <c r="C96" s="227">
        <f ca="1">IF(C95&lt;=0,0,C95/C86)</f>
        <v>1.9126754118364857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2272</v>
      </c>
      <c r="C97" s="228">
        <f ca="1">ROUND(IF(C95&lt;=0,0,IF(C96&gt;=200%,C95*60%-C86*35%,IF(C96&gt;=100%,C95*50%-C86*15%,IF(C96&gt;=50%,C95*40%-C86*5%,IF(C96&lt;50%,C95*30%,0))))),0)</f>
        <v>10573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2291</v>
      </c>
      <c r="B99" s="2409"/>
      <c r="C99" s="2409"/>
      <c r="D99" s="2409"/>
      <c r="E99" s="2157"/>
      <c r="F99" s="2157"/>
      <c r="G99" s="2157"/>
      <c r="H99" s="2156"/>
      <c r="I99" s="138"/>
    </row>
    <row r="100" spans="1:35" ht="18.75" customHeight="1">
      <c r="A100" s="3191" t="s">
        <v>2292</v>
      </c>
      <c r="B100" s="3192"/>
      <c r="C100" s="3192"/>
      <c r="D100" s="3223"/>
      <c r="E100" s="3192" t="s">
        <v>2293</v>
      </c>
      <c r="F100" s="3192"/>
      <c r="G100" s="3192"/>
      <c r="H100" s="3223"/>
      <c r="I100" s="138"/>
    </row>
    <row r="101" spans="1:35" ht="18.75" customHeight="1">
      <c r="A101" s="3231" t="s">
        <v>2294</v>
      </c>
      <c r="B101" s="3232"/>
      <c r="C101" s="736" t="str">
        <f>C4</f>
        <v>成本法</v>
      </c>
      <c r="D101" s="737" t="str">
        <f>D4</f>
        <v>假设开发法</v>
      </c>
      <c r="E101" s="3203" t="s">
        <v>2295</v>
      </c>
      <c r="F101" s="3204"/>
      <c r="G101" s="2511" t="s">
        <v>2296</v>
      </c>
      <c r="H101" s="1042">
        <f ca="1">H118</f>
        <v>40101</v>
      </c>
      <c r="I101" s="138"/>
    </row>
    <row r="102" spans="1:35" ht="18.75" customHeight="1">
      <c r="A102" s="3233" t="s">
        <v>2297</v>
      </c>
      <c r="B102" s="2511" t="s">
        <v>2296</v>
      </c>
      <c r="C102" s="736">
        <f ca="1">C19</f>
        <v>43664</v>
      </c>
      <c r="D102" s="737">
        <f ca="1">D19</f>
        <v>36537</v>
      </c>
      <c r="E102" s="3203"/>
      <c r="F102" s="3204"/>
      <c r="G102" s="2511" t="s">
        <v>2298</v>
      </c>
      <c r="H102" s="371">
        <f ca="1">I118</f>
        <v>4802</v>
      </c>
      <c r="I102" s="138"/>
    </row>
    <row r="103" spans="1:35" ht="42.75" customHeight="1">
      <c r="A103" s="3233"/>
      <c r="B103" s="2511" t="s">
        <v>2298</v>
      </c>
      <c r="C103" s="738">
        <f ca="1">C20</f>
        <v>5228</v>
      </c>
      <c r="D103" s="739">
        <f ca="1">D20</f>
        <v>4375</v>
      </c>
      <c r="E103" s="3197" t="s">
        <v>2299</v>
      </c>
      <c r="F103" s="3198"/>
      <c r="G103" s="2512" t="s">
        <v>2300</v>
      </c>
      <c r="H103" s="1042">
        <f>IF(D36="正常操作",H104+H105+H106,H105+H106)</f>
        <v>0</v>
      </c>
      <c r="I103" s="138"/>
    </row>
    <row r="104" spans="1:35" ht="18.75" customHeight="1">
      <c r="A104" s="3233" t="s">
        <v>2301</v>
      </c>
      <c r="B104" s="2513" t="s">
        <v>2296</v>
      </c>
      <c r="C104" s="740">
        <f ca="1">H118</f>
        <v>40101</v>
      </c>
      <c r="D104" s="741"/>
      <c r="E104" s="2257" t="s">
        <v>2302</v>
      </c>
      <c r="F104" s="2249"/>
      <c r="G104" s="2512" t="s">
        <v>2300</v>
      </c>
      <c r="H104" s="1043">
        <f>IF(D36="同一抵押权人同一抵押物续贷",C36&amp;"（未扣减，详见特别提示）",C36)</f>
        <v>0</v>
      </c>
      <c r="I104" s="138"/>
    </row>
    <row r="105" spans="1:35" ht="18.75" customHeight="1" thickBot="1">
      <c r="A105" s="3245"/>
      <c r="B105" s="2514" t="s">
        <v>2298</v>
      </c>
      <c r="C105" s="742">
        <f ca="1">I118</f>
        <v>4802</v>
      </c>
      <c r="D105" s="743"/>
      <c r="E105" s="2257" t="s">
        <v>2303</v>
      </c>
      <c r="F105" s="2249"/>
      <c r="G105" s="2512" t="s">
        <v>2300</v>
      </c>
      <c r="H105" s="1043">
        <f>C37</f>
        <v>0</v>
      </c>
      <c r="I105" s="138"/>
    </row>
    <row r="106" spans="1:35" ht="18.75" customHeight="1">
      <c r="A106" s="2409" t="s">
        <v>2304</v>
      </c>
      <c r="B106" s="2409"/>
      <c r="C106" s="2409"/>
      <c r="D106" s="2409"/>
      <c r="E106" s="2515" t="s">
        <v>2305</v>
      </c>
      <c r="F106" s="2249"/>
      <c r="G106" s="2512" t="s">
        <v>2300</v>
      </c>
      <c r="H106" s="1043">
        <f>C38</f>
        <v>0</v>
      </c>
      <c r="I106" s="138"/>
    </row>
    <row r="107" spans="1:35" ht="18.75" customHeight="1">
      <c r="A107" s="138"/>
      <c r="B107" s="138"/>
      <c r="C107" s="138"/>
      <c r="D107" s="138"/>
      <c r="E107" s="3234" t="str">
        <f>IF(项目基本情况!E8="已注销","——","3.房地产抵押价值")</f>
        <v>3.房地产抵押价值</v>
      </c>
      <c r="F107" s="3204"/>
      <c r="G107" s="2511" t="s">
        <v>2296</v>
      </c>
      <c r="H107" s="1042">
        <f ca="1">IF(E107="——","——",H101-H103)</f>
        <v>40101</v>
      </c>
      <c r="I107" s="138"/>
    </row>
    <row r="108" spans="1:35" ht="18.75" customHeight="1">
      <c r="A108" s="138"/>
      <c r="B108" s="138"/>
      <c r="C108" s="138"/>
      <c r="D108" s="138"/>
      <c r="E108" s="3234"/>
      <c r="F108" s="3204"/>
      <c r="G108" s="2511" t="s">
        <v>2298</v>
      </c>
      <c r="H108" s="371">
        <f ca="1">ROUND(H107*10000/'数据-汇总表'!E3,0)</f>
        <v>4802</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04"/>
      <c r="G109" s="2511" t="s">
        <v>2296</v>
      </c>
      <c r="H109" s="348" t="str">
        <f>IF(E109="——","——",H101-H105-H106)</f>
        <v>——</v>
      </c>
      <c r="I109" s="138"/>
    </row>
    <row r="110" spans="1:35" ht="18.75" customHeight="1">
      <c r="A110" s="138"/>
      <c r="B110" s="138"/>
      <c r="C110" s="138"/>
      <c r="D110" s="138"/>
      <c r="E110" s="3234"/>
      <c r="F110" s="3204"/>
      <c r="G110" s="2511" t="s">
        <v>2298</v>
      </c>
      <c r="H110" s="371" t="str">
        <f>IF(H109="——","——",ROUND(H109*10000/'数据-汇总表'!E3,0))</f>
        <v>——</v>
      </c>
      <c r="I110" s="138"/>
    </row>
    <row r="111" spans="1:35" ht="18.75" customHeight="1">
      <c r="A111" s="138"/>
      <c r="B111" s="138"/>
      <c r="C111" s="138"/>
      <c r="D111" s="138"/>
      <c r="E111" s="3235" t="str">
        <f>IF(项目基本情况!E9="抵押净值",IF(OR(项目基本情况!E8="已注销",项目基本情况!E8="房地产抵押价值"),"4.抵押净值","5.抵押净值"),"——")</f>
        <v>4.抵押净值</v>
      </c>
      <c r="F111" s="3236"/>
      <c r="G111" s="2511" t="s">
        <v>2296</v>
      </c>
      <c r="H111" s="1042">
        <f ca="1">IF(E111="——","——",N59)</f>
        <v>27369</v>
      </c>
      <c r="I111" s="138"/>
    </row>
    <row r="112" spans="1:35" ht="18.75" customHeight="1" thickBot="1">
      <c r="A112" s="138"/>
      <c r="B112" s="138"/>
      <c r="C112" s="138"/>
      <c r="D112" s="138"/>
      <c r="E112" s="3237"/>
      <c r="F112" s="3238"/>
      <c r="G112" s="2516" t="s">
        <v>2298</v>
      </c>
      <c r="H112" s="790">
        <f ca="1">IF(E111="——","——",N61)</f>
        <v>3277</v>
      </c>
      <c r="I112" s="138"/>
    </row>
    <row r="113" spans="1:11" ht="18.75" customHeight="1">
      <c r="A113" s="138"/>
      <c r="B113" s="138"/>
      <c r="C113" s="138"/>
      <c r="D113" s="138"/>
      <c r="E113" s="3246" t="s">
        <v>2304</v>
      </c>
      <c r="F113" s="3246"/>
      <c r="G113" s="3246"/>
      <c r="H113" s="3246"/>
      <c r="I113" s="138"/>
    </row>
    <row r="114" spans="1:11" ht="3.75" customHeight="1">
      <c r="A114" s="2409"/>
      <c r="B114" s="2409"/>
      <c r="C114" s="2409"/>
      <c r="D114" s="2409"/>
      <c r="E114" s="2487"/>
      <c r="F114" s="2487"/>
      <c r="G114" s="2487"/>
      <c r="H114" s="2487"/>
      <c r="I114" s="2409"/>
    </row>
    <row r="115" spans="1:11" ht="18.75" customHeight="1">
      <c r="A115" s="3259" t="s">
        <v>2306</v>
      </c>
      <c r="B115" s="3260"/>
      <c r="C115" s="3260"/>
      <c r="D115" s="3260"/>
      <c r="E115" s="3260"/>
      <c r="F115" s="3260"/>
      <c r="G115" s="3260"/>
      <c r="H115" s="3260"/>
      <c r="I115" s="3261"/>
    </row>
    <row r="116" spans="1:11" ht="27" customHeight="1">
      <c r="A116" s="3157" t="s">
        <v>2307</v>
      </c>
      <c r="B116" s="3213" t="s">
        <v>2308</v>
      </c>
      <c r="C116" s="3213" t="s">
        <v>2309</v>
      </c>
      <c r="D116" s="3219" t="s">
        <v>2310</v>
      </c>
      <c r="E116" s="3220"/>
      <c r="F116" s="3255" t="s">
        <v>2311</v>
      </c>
      <c r="G116" s="3255"/>
      <c r="H116" s="3157" t="s">
        <v>2312</v>
      </c>
      <c r="I116" s="3157"/>
    </row>
    <row r="117" spans="1:11" ht="18.75" customHeight="1">
      <c r="A117" s="3157"/>
      <c r="B117" s="3214"/>
      <c r="C117" s="3214"/>
      <c r="D117" s="1791" t="s">
        <v>2313</v>
      </c>
      <c r="E117" s="1791" t="s">
        <v>2314</v>
      </c>
      <c r="F117" s="1791" t="s">
        <v>2313</v>
      </c>
      <c r="G117" s="1791" t="s">
        <v>2315</v>
      </c>
      <c r="H117" s="1791" t="s">
        <v>2313</v>
      </c>
      <c r="I117" s="1791" t="s">
        <v>2315</v>
      </c>
    </row>
    <row r="118" spans="1:11" ht="24.75" customHeight="1">
      <c r="A118" s="2517" t="str">
        <f>项目基本情况!S2</f>
        <v>福建省福州市闽侯县南屿镇晓岐村、元峰村“南屿滨江城”项目出让国有建设用地使用权及在建建筑物房地产</v>
      </c>
      <c r="B118" s="1791">
        <f>M18</f>
        <v>83517</v>
      </c>
      <c r="C118" s="1791">
        <f>M19</f>
        <v>37123.449999999997</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40101</v>
      </c>
      <c r="I118" s="1791">
        <f ca="1">ROUND(IF(D32="楼面单价",C32,H118*10000/B118),0)</f>
        <v>4802</v>
      </c>
    </row>
    <row r="119" spans="1:11" ht="18.75" customHeight="1">
      <c r="A119" s="3157" t="s">
        <v>2316</v>
      </c>
      <c r="B119" s="3157"/>
      <c r="C119" s="3157"/>
      <c r="D119" s="3215" t="e">
        <f ca="1">NUMBERSTRING(INT(D118*10000),2)&amp;"元整"</f>
        <v>#REF!</v>
      </c>
      <c r="E119" s="3216"/>
      <c r="F119" s="3215" t="e">
        <f ca="1">NUMBERSTRING(INT(F118*10000),2)&amp;"元整"</f>
        <v>#REF!</v>
      </c>
      <c r="G119" s="3216"/>
      <c r="H119" s="3215" t="str">
        <f ca="1">NUMBERSTRING(INT(H118*10000),2)&amp;"元整"</f>
        <v>肆亿零壹佰零壹万元整</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14" t="str">
        <f>IF(D120=0,"故，本次评估不存在"&amp;A120,"故，本次评估"&amp;A120&amp;"为人民币"&amp;D120&amp;"万元整。")</f>
        <v>故，本次评估不存在估价师知悉的法定优先受偿款</v>
      </c>
    </row>
    <row r="121" spans="1:11" ht="18.75" customHeight="1">
      <c r="A121" s="3256" t="s">
        <v>2316</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f ca="1">H107</f>
        <v>40101</v>
      </c>
      <c r="E122" s="3211"/>
      <c r="F122" s="3211"/>
      <c r="G122" s="3211"/>
      <c r="H122" s="3211"/>
      <c r="I122" s="3212"/>
    </row>
    <row r="123" spans="1:11" ht="18.75" customHeight="1">
      <c r="A123" s="3157" t="s">
        <v>2316</v>
      </c>
      <c r="B123" s="3157"/>
      <c r="C123" s="3157"/>
      <c r="D123" s="3215" t="str">
        <f ca="1">NUMBERSTRING(INT(D122*10000),2)&amp;"元整"</f>
        <v>肆亿零壹佰零壹万元整</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57" t="s">
        <v>2316</v>
      </c>
      <c r="B125" s="3157"/>
      <c r="C125" s="3157"/>
      <c r="D125" s="3215" t="e">
        <f>NUMBERSTRING(INT(D124*10000),2)&amp;"元整"</f>
        <v>#VALUE!</v>
      </c>
      <c r="E125" s="3217"/>
      <c r="F125" s="3217"/>
      <c r="G125" s="3217"/>
      <c r="H125" s="3217"/>
      <c r="I125" s="3216"/>
    </row>
    <row r="126" spans="1:11" ht="18.75" customHeight="1">
      <c r="A126" s="3221" t="str">
        <f>IF(项目基本情况!B9="房地产市场价值","",MID(E111,3,LEN(E111)-2))</f>
        <v>抵押净值</v>
      </c>
      <c r="B126" s="3221"/>
      <c r="C126" s="3221"/>
      <c r="D126" s="3210">
        <f ca="1">H111</f>
        <v>27369</v>
      </c>
      <c r="E126" s="3211"/>
      <c r="F126" s="3211"/>
      <c r="G126" s="3211"/>
      <c r="H126" s="3211"/>
      <c r="I126" s="3212"/>
    </row>
    <row r="127" spans="1:11" ht="18.75" customHeight="1">
      <c r="A127" s="3157" t="s">
        <v>2316</v>
      </c>
      <c r="B127" s="3157"/>
      <c r="C127" s="3157"/>
      <c r="D127" s="3215" t="str">
        <f ca="1">NUMBERSTRING(INT(D126*10000),2)&amp;"元整"</f>
        <v>贰亿柒仟叁佰陆拾玖万元整</v>
      </c>
      <c r="E127" s="3217"/>
      <c r="F127" s="3217"/>
      <c r="G127" s="3217"/>
      <c r="H127" s="3217"/>
      <c r="I127" s="3216"/>
    </row>
    <row r="128" spans="1:11" ht="21.75" customHeight="1">
      <c r="A128" s="3218" t="s">
        <v>2317</v>
      </c>
      <c r="B128" s="3218"/>
      <c r="C128" s="3218"/>
      <c r="D128" s="3218"/>
      <c r="E128" s="3218"/>
      <c r="F128" s="3218"/>
      <c r="G128" s="3218"/>
      <c r="H128" s="3218"/>
      <c r="I128" s="321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2320</v>
      </c>
      <c r="G135" s="2535"/>
      <c r="H135" s="2535"/>
      <c r="I135" s="2536" t="s">
        <v>2321</v>
      </c>
    </row>
    <row r="136" spans="1:35" ht="21.75" customHeight="1">
      <c r="A136" s="795"/>
      <c r="B136" s="253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2323</v>
      </c>
    </row>
    <row r="139" spans="1:35" ht="21.75" customHeight="1">
      <c r="A139" s="795"/>
      <c r="B139" s="2537" t="s">
        <v>2324</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2323</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33"/>
      <c r="C1" s="242"/>
      <c r="D1" s="242"/>
      <c r="E1" s="242"/>
      <c r="F1" s="242"/>
      <c r="G1" s="1376">
        <f>MATCH(B1,'数据-取费表'!A6:A16,0)+5</f>
        <v>10</v>
      </c>
    </row>
    <row r="2" spans="1:9" s="244" customFormat="1" ht="18" customHeight="1">
      <c r="A2" s="245" t="s">
        <v>2326</v>
      </c>
      <c r="B2" s="246">
        <f ca="1">IF(D2="——",C52,C52-E2)</f>
        <v>43664</v>
      </c>
      <c r="C2" s="243" t="s">
        <v>2327</v>
      </c>
      <c r="D2" s="2540" t="s">
        <v>70</v>
      </c>
      <c r="E2" s="1437" t="e">
        <f ca="1">SUMIF(INDIRECT("'"&amp;G2&amp;"'"&amp;"!A:A"),"承租人权益价值",INDIRECT("'"&amp;G2&amp;"'"&amp;"!c:c"))</f>
        <v>#REF!</v>
      </c>
      <c r="F2" s="2541" t="s">
        <v>2327</v>
      </c>
      <c r="G2" s="2542"/>
    </row>
    <row r="3" spans="1:9" s="244" customFormat="1" ht="18" customHeight="1" thickBot="1">
      <c r="A3" s="247" t="s">
        <v>2328</v>
      </c>
      <c r="B3" s="248">
        <f ca="1">ROUND(B2*10000/(IF(B1="",'数据-汇总表'!E3,INDIRECT("'数据-取费表'!k"&amp;$G$1))),0)</f>
        <v>5228</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C6+C7+C8</f>
        <v>35789</v>
      </c>
      <c r="D5" s="255" t="s">
        <v>2333</v>
      </c>
      <c r="E5" s="256" t="s">
        <v>2334</v>
      </c>
      <c r="F5" s="256" t="s">
        <v>2335</v>
      </c>
      <c r="G5" s="257"/>
    </row>
    <row r="6" spans="1:9" s="258" customFormat="1" ht="13.5" customHeight="1">
      <c r="A6" s="946" t="s">
        <v>2336</v>
      </c>
      <c r="B6" s="259" t="s">
        <v>2337</v>
      </c>
      <c r="C6" s="260">
        <f>'土地比较法-住宅、综合'!B2</f>
        <v>34730</v>
      </c>
      <c r="D6" s="261"/>
      <c r="E6" s="262"/>
      <c r="F6" s="262"/>
      <c r="G6" s="263"/>
    </row>
    <row r="7" spans="1:9" s="258" customFormat="1" ht="13.5" customHeight="1">
      <c r="A7" s="946" t="s">
        <v>2338</v>
      </c>
      <c r="B7" s="259" t="s">
        <v>2339</v>
      </c>
      <c r="C7" s="264">
        <f>ROUND(C6*F7,0)</f>
        <v>1059</v>
      </c>
      <c r="D7" s="264"/>
      <c r="E7" s="262"/>
      <c r="F7" s="265">
        <f>'数据-取费表'!B48+'数据-取费表'!B49</f>
        <v>3.0499999999999999E-2</v>
      </c>
      <c r="G7" s="263"/>
    </row>
    <row r="8" spans="1:9" s="267" customFormat="1">
      <c r="A8" s="946" t="s">
        <v>2340</v>
      </c>
      <c r="B8" s="259" t="s">
        <v>2341</v>
      </c>
      <c r="C8" s="264">
        <f>IF(G8="已包含在土地购买价格中","0",IF(B1="",'数据-取费表'!B29,IF(G9="全部缴纳",C9+C10,H9)))</f>
        <v>0</v>
      </c>
      <c r="D8" s="266"/>
      <c r="E8" s="264"/>
      <c r="F8" s="265"/>
      <c r="G8" s="2543" t="s">
        <v>3468</v>
      </c>
    </row>
    <row r="9" spans="1:9" s="258" customFormat="1" ht="13.5" customHeight="1">
      <c r="A9" s="947" t="s">
        <v>800</v>
      </c>
      <c r="B9" s="268" t="s">
        <v>2342</v>
      </c>
      <c r="C9" s="269">
        <f ca="1">ROUND(D9*E9/10000,0)</f>
        <v>223</v>
      </c>
      <c r="D9" s="1029">
        <f ca="1">IF(B1="",'数据-汇总表'!E5,IF(INDIRECT("'数据-取费表'!c"&amp;$G$1)="住宅",INDIRECT("'数据-取费表'!k"&amp;$G$1),0))</f>
        <v>27841.09</v>
      </c>
      <c r="E9" s="269">
        <f>'数据-取费表'!B27</f>
        <v>80</v>
      </c>
      <c r="F9" s="265"/>
      <c r="G9" s="2544"/>
      <c r="H9" s="1387"/>
      <c r="I9" s="2545" t="s">
        <v>2343</v>
      </c>
    </row>
    <row r="10" spans="1:9" s="258" customFormat="1" ht="13.5" customHeight="1">
      <c r="A10" s="947" t="s">
        <v>801</v>
      </c>
      <c r="B10" s="268" t="s">
        <v>2344</v>
      </c>
      <c r="C10" s="269">
        <f ca="1">ROUND(D10*E10/10000,0)</f>
        <v>612</v>
      </c>
      <c r="D10" s="1029">
        <f ca="1">IF(B1="",'数据-汇总表'!E6,IF(INDIRECT("'数据-取费表'!c"&amp;$G$1)="住宅",INDIRECT("'数据-取费表'!s"&amp;$G$1),INDIRECT("'数据-取费表'!k"&amp;$G$1)+INDIRECT("'数据-取费表'!s"&amp;$G$1)))</f>
        <v>55675.91</v>
      </c>
      <c r="E10" s="269">
        <f>'数据-取费表'!B28</f>
        <v>110</v>
      </c>
      <c r="F10" s="265"/>
      <c r="G10" s="270"/>
    </row>
    <row r="11" spans="1:9" s="258" customFormat="1" ht="13.5" hidden="1" customHeight="1">
      <c r="A11" s="271" t="s">
        <v>7</v>
      </c>
      <c r="B11" s="259" t="s">
        <v>2345</v>
      </c>
      <c r="C11" s="255"/>
      <c r="D11" s="1031"/>
      <c r="E11" s="262"/>
      <c r="F11" s="262"/>
      <c r="G11" s="263"/>
    </row>
    <row r="12" spans="1:9" s="258" customFormat="1" ht="13.5" hidden="1" customHeight="1">
      <c r="A12" s="271" t="s">
        <v>8</v>
      </c>
      <c r="B12" s="259" t="s">
        <v>2346</v>
      </c>
      <c r="C12" s="255">
        <v>0</v>
      </c>
      <c r="D12" s="1031"/>
      <c r="E12" s="272"/>
      <c r="F12" s="265">
        <v>3.0499999999999999E-2</v>
      </c>
      <c r="G12" s="263"/>
    </row>
    <row r="13" spans="1:9" s="258" customFormat="1" ht="13.5" hidden="1" customHeight="1">
      <c r="A13" s="271" t="s">
        <v>9</v>
      </c>
      <c r="B13" s="259" t="s">
        <v>2347</v>
      </c>
      <c r="C13" s="255"/>
      <c r="D13" s="1031"/>
      <c r="E13" s="262"/>
      <c r="F13" s="262"/>
      <c r="G13" s="263"/>
    </row>
    <row r="14" spans="1:9" s="258" customFormat="1" ht="13.5" hidden="1" customHeight="1">
      <c r="A14" s="271" t="s">
        <v>10</v>
      </c>
      <c r="B14" s="259" t="s">
        <v>2348</v>
      </c>
      <c r="C14" s="255"/>
      <c r="D14" s="1031"/>
      <c r="E14" s="262"/>
      <c r="F14" s="262"/>
      <c r="G14" s="263" t="s">
        <v>2349</v>
      </c>
    </row>
    <row r="15" spans="1:9" s="258" customFormat="1" ht="13.5" hidden="1" customHeight="1">
      <c r="A15" s="271" t="s">
        <v>11</v>
      </c>
      <c r="B15" s="259" t="s">
        <v>2350</v>
      </c>
      <c r="C15" s="264"/>
      <c r="D15" s="1031"/>
      <c r="E15" s="262"/>
      <c r="F15" s="262"/>
      <c r="G15" s="263" t="s">
        <v>2351</v>
      </c>
    </row>
    <row r="16" spans="1:9" s="258" customFormat="1" ht="13.5" hidden="1" customHeight="1">
      <c r="A16" s="271" t="s">
        <v>12</v>
      </c>
      <c r="B16" s="259" t="s">
        <v>2348</v>
      </c>
      <c r="C16" s="264"/>
      <c r="D16" s="1031"/>
      <c r="E16" s="262"/>
      <c r="F16" s="262"/>
      <c r="G16" s="263"/>
    </row>
    <row r="17" spans="1:7" s="258" customFormat="1" ht="13.5" hidden="1" customHeight="1">
      <c r="A17" s="271" t="s">
        <v>13</v>
      </c>
      <c r="B17" s="259" t="s">
        <v>2352</v>
      </c>
      <c r="C17" s="273"/>
      <c r="D17" s="1032"/>
      <c r="E17" s="273"/>
      <c r="F17" s="273"/>
      <c r="G17" s="263" t="s">
        <v>2351</v>
      </c>
    </row>
    <row r="18" spans="1:7" s="258" customFormat="1" ht="13.5" hidden="1" customHeight="1">
      <c r="A18" s="271" t="s">
        <v>14</v>
      </c>
      <c r="B18" s="259" t="s">
        <v>2353</v>
      </c>
      <c r="C18" s="264">
        <v>0</v>
      </c>
      <c r="D18" s="1031"/>
      <c r="E18" s="262"/>
      <c r="F18" s="265">
        <v>3.0499999999999999E-2</v>
      </c>
      <c r="G18" s="263" t="s">
        <v>2354</v>
      </c>
    </row>
    <row r="19" spans="1:7" s="267" customFormat="1" ht="13.5" customHeight="1">
      <c r="A19" s="299" t="s">
        <v>2355</v>
      </c>
      <c r="B19" s="254" t="s">
        <v>2356</v>
      </c>
      <c r="C19" s="255" t="str">
        <f>IF(G19="已包含在土地取得成本中","0",ROUND(D19*E19/10000,0))</f>
        <v>0</v>
      </c>
      <c r="D19" s="1033">
        <f ca="1">D9+D10</f>
        <v>83517</v>
      </c>
      <c r="E19" s="255">
        <f>'数据-取费表'!B31</f>
        <v>200</v>
      </c>
      <c r="F19" s="275"/>
      <c r="G19" s="2543" t="s">
        <v>3469</v>
      </c>
    </row>
    <row r="20" spans="1:7" s="258" customFormat="1" ht="13.5" customHeight="1">
      <c r="A20" s="299" t="s">
        <v>2357</v>
      </c>
      <c r="B20" s="254" t="s">
        <v>2358</v>
      </c>
      <c r="C20" s="276">
        <f>ROUND((C5+C19)*F20,0)</f>
        <v>716</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1">
        <f ca="1">ROUND(SUM(C23:C25),0)</f>
        <v>507</v>
      </c>
      <c r="D22" s="279">
        <f ca="1">C26</f>
        <v>2.0000000000000001E-4</v>
      </c>
      <c r="E22" s="280" t="s">
        <v>2362</v>
      </c>
      <c r="F22" s="281">
        <f ca="1">'数据-取费表'!B40</f>
        <v>4.7500000000000001E-2</v>
      </c>
      <c r="G22" s="278" t="str">
        <f>IF('数据-取费表'!B22&lt;=1,"单利计息","复利计息")</f>
        <v>复利计息</v>
      </c>
    </row>
    <row r="23" spans="1:7" s="258" customFormat="1" ht="13.5" customHeight="1">
      <c r="A23" s="948" t="s">
        <v>2366</v>
      </c>
      <c r="B23" s="259" t="s">
        <v>2367</v>
      </c>
      <c r="C23" s="1352">
        <f ca="1">ROUND(IF('数据-取费表'!B22&lt;=1,C5*F22*'数据-取费表'!B23,C5*(POWER((1+F22),'数据-取费表'!B23)-1)),0)</f>
        <v>502</v>
      </c>
      <c r="D23" s="282"/>
      <c r="E23" s="282"/>
      <c r="F23" s="283"/>
      <c r="G23" s="284" t="s">
        <v>2368</v>
      </c>
    </row>
    <row r="24" spans="1:7" s="258" customFormat="1" ht="13.5" customHeight="1">
      <c r="A24" s="948" t="s">
        <v>2369</v>
      </c>
      <c r="B24" s="259" t="s">
        <v>2370</v>
      </c>
      <c r="C24" s="1352">
        <f ca="1">ROUND(IF('数据-取费表'!B22&lt;=1,C19*F22*('数据-取费表'!B19/2+'数据-取费表'!B21),C19*(POWER((1+F22),('数据-取费表'!B19/2+'数据-取费表'!B21))-1)),0)</f>
        <v>0</v>
      </c>
      <c r="D24" s="282"/>
      <c r="E24" s="282"/>
      <c r="F24" s="283"/>
      <c r="G24" s="284" t="s">
        <v>2371</v>
      </c>
    </row>
    <row r="25" spans="1:7" s="258" customFormat="1" ht="24">
      <c r="A25" s="948" t="s">
        <v>2372</v>
      </c>
      <c r="B25" s="259" t="s">
        <v>2373</v>
      </c>
      <c r="C25" s="1352">
        <f ca="1">ROUND(IF('数据-取费表'!B22&lt;=1,C20*F22*'数据-取费表'!B23/2,C20*(POWER((1+F22),'数据-取费表'!B23/2)-1)),0)</f>
        <v>5</v>
      </c>
      <c r="D25" s="282"/>
      <c r="E25" s="285"/>
      <c r="F25" s="283"/>
      <c r="G25" s="286" t="s">
        <v>2374</v>
      </c>
    </row>
    <row r="26" spans="1:7" s="258" customFormat="1">
      <c r="A26" s="948" t="s">
        <v>795</v>
      </c>
      <c r="B26" s="259" t="s">
        <v>2375</v>
      </c>
      <c r="C26" s="282">
        <f ca="1">ROUND(IF('数据-取费表'!B22&lt;=1,F21*F22*'数据-取费表'!B23/2,F21*(POWER((1+F22),'数据-取费表'!B23/2)-1)),4)</f>
        <v>2.0000000000000001E-4</v>
      </c>
      <c r="D26" s="282"/>
      <c r="E26" s="285"/>
      <c r="F26" s="283"/>
      <c r="G26" s="287"/>
    </row>
    <row r="27" spans="1:7" s="258" customFormat="1" ht="26.4">
      <c r="A27" s="299" t="s">
        <v>2376</v>
      </c>
      <c r="B27" s="288" t="s">
        <v>2377</v>
      </c>
      <c r="C27" s="289">
        <f ca="1">C28</f>
        <v>602</v>
      </c>
      <c r="D27" s="279">
        <f ca="1">C29</f>
        <v>5.0000000000000001E-4</v>
      </c>
      <c r="E27" s="280" t="s">
        <v>2378</v>
      </c>
      <c r="F27" s="290">
        <f ca="1">IF(B1="",'数据-取费表'!Q16,INDIRECT("'数据-取费表'!q"&amp;$G$1))</f>
        <v>0.11</v>
      </c>
      <c r="G27" s="291" t="s">
        <v>2379</v>
      </c>
    </row>
    <row r="28" spans="1:7" s="258" customFormat="1" ht="13.5" customHeight="1">
      <c r="A28" s="948" t="s">
        <v>791</v>
      </c>
      <c r="B28" s="292" t="s">
        <v>2380</v>
      </c>
      <c r="C28" s="293">
        <f ca="1">ROUND((C5+C19+C20)*F27*'数据-取费表'!B21/'数据-取费表'!B20,0)</f>
        <v>602</v>
      </c>
      <c r="D28" s="279"/>
      <c r="E28" s="280"/>
      <c r="F28" s="290"/>
      <c r="G28" s="291"/>
    </row>
    <row r="29" spans="1:7" s="258" customFormat="1" ht="13.5" customHeight="1">
      <c r="A29" s="948" t="s">
        <v>792</v>
      </c>
      <c r="B29" s="292" t="s">
        <v>2381</v>
      </c>
      <c r="C29" s="282">
        <f ca="1">ROUND(C21*F27*'数据-取费表'!B21/'数据-取费表'!B20,4)</f>
        <v>5.0000000000000001E-4</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41063</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2084</v>
      </c>
      <c r="D33" s="276"/>
      <c r="E33" s="256"/>
      <c r="F33" s="285"/>
      <c r="G33" s="278"/>
    </row>
    <row r="34" spans="1:7" s="302" customFormat="1" ht="13.5" customHeight="1">
      <c r="A34" s="948" t="s">
        <v>791</v>
      </c>
      <c r="B34" s="259" t="s">
        <v>2389</v>
      </c>
      <c r="C34" s="264">
        <f ca="1">IF(B1="",IF(F34=100%,'数据-取费表'!M16,'数据-取费表'!O16),IF(F34=100%,INDIRECT("'数据-取费表'!m"&amp;$G$1)+INDIRECT("'数据-取费表'!t"&amp;$G$1),INDIRECT("'数据-取费表'!o"&amp;$G$1)+INDIRECT("'数据-取费表'!aq"&amp;$G$1)))</f>
        <v>1832</v>
      </c>
      <c r="D34" s="261"/>
      <c r="E34" s="264"/>
      <c r="F34" s="301">
        <f ca="1">IF('数据-取费表'!B24=0,1,IF(B1="",'数据-取费表'!N16,INDIRECT("'数据-取费表'!n"&amp;$G$1)))</f>
        <v>9.4E-2</v>
      </c>
      <c r="G34" s="263" t="s">
        <v>2390</v>
      </c>
    </row>
    <row r="35" spans="1:7" ht="13.5" customHeight="1">
      <c r="A35" s="948" t="s">
        <v>796</v>
      </c>
      <c r="B35" s="259" t="s">
        <v>2391</v>
      </c>
      <c r="C35" s="264">
        <f ca="1">ROUND(C34*F35,0)</f>
        <v>55</v>
      </c>
      <c r="D35" s="264"/>
      <c r="E35" s="264"/>
      <c r="F35" s="303">
        <f>'数据-取费表'!B33</f>
        <v>0.03</v>
      </c>
      <c r="G35" s="263" t="s">
        <v>2392</v>
      </c>
    </row>
    <row r="36" spans="1:7" ht="24">
      <c r="A36" s="948" t="s">
        <v>797</v>
      </c>
      <c r="B36" s="259" t="s">
        <v>2393</v>
      </c>
      <c r="C36" s="264">
        <f ca="1">ROUND(IF(B1="",SUMIF('数据-取费表'!C:C,"住宅",IF(F34=100%,'数据-取费表'!M:M,'数据-取费表'!O:O))*F36,IF(INDIRECT("'数据-取费表'!c"&amp;$G$1)="住宅",IF(F34=100%,INDIRECT("'数据-取费表'!m"&amp;$G$1)*F36,INDIRECT("'数据-取费表'!o"&amp;$G$1)*F36),0)),0)</f>
        <v>13</v>
      </c>
      <c r="D36" s="264"/>
      <c r="E36" s="264"/>
      <c r="F36" s="303">
        <f>'数据-取费表'!B34</f>
        <v>0.05</v>
      </c>
      <c r="G36" s="304" t="s">
        <v>2394</v>
      </c>
    </row>
    <row r="37" spans="1:7" s="302" customFormat="1" ht="13.5" customHeight="1">
      <c r="A37" s="948" t="s">
        <v>798</v>
      </c>
      <c r="B37" s="259" t="s">
        <v>2395</v>
      </c>
      <c r="C37" s="293">
        <f ca="1">ROUND(E37*D37*F34/10000,0)</f>
        <v>157</v>
      </c>
      <c r="D37" s="261">
        <f ca="1">D19</f>
        <v>83517</v>
      </c>
      <c r="E37" s="293">
        <f>'数据-取费表'!B35</f>
        <v>200</v>
      </c>
      <c r="F37" s="303"/>
      <c r="G37" s="305" t="s">
        <v>2396</v>
      </c>
    </row>
    <row r="38" spans="1:7" ht="13.5" customHeight="1">
      <c r="A38" s="948" t="s">
        <v>799</v>
      </c>
      <c r="B38" s="259" t="s">
        <v>2397</v>
      </c>
      <c r="C38" s="264">
        <f ca="1">ROUND(C34*F38,0)</f>
        <v>27</v>
      </c>
      <c r="D38" s="264"/>
      <c r="E38" s="264"/>
      <c r="F38" s="303">
        <f>'数据-取费表'!B36</f>
        <v>1.4999999999999999E-2</v>
      </c>
      <c r="G38" s="263" t="s">
        <v>2392</v>
      </c>
    </row>
    <row r="39" spans="1:7" s="258" customFormat="1" ht="13.5" customHeight="1">
      <c r="A39" s="299" t="s">
        <v>2398</v>
      </c>
      <c r="B39" s="254" t="s">
        <v>2399</v>
      </c>
      <c r="C39" s="276">
        <f ca="1">ROUND(C33*F20,0)</f>
        <v>42</v>
      </c>
      <c r="D39" s="276"/>
      <c r="E39" s="276"/>
      <c r="F39" s="277"/>
      <c r="G39" s="278" t="s">
        <v>2400</v>
      </c>
    </row>
    <row r="40" spans="1:7" s="258" customFormat="1" ht="13.5" customHeight="1">
      <c r="A40" s="299" t="s">
        <v>2401</v>
      </c>
      <c r="B40" s="254" t="s">
        <v>2402</v>
      </c>
      <c r="C40" s="1724">
        <f>F21</f>
        <v>0.03</v>
      </c>
      <c r="D40" s="280" t="s">
        <v>2403</v>
      </c>
      <c r="E40" s="276"/>
      <c r="F40" s="277"/>
      <c r="G40" s="278" t="s">
        <v>2404</v>
      </c>
    </row>
    <row r="41" spans="1:7" s="258" customFormat="1" ht="13.5" customHeight="1">
      <c r="A41" s="299" t="s">
        <v>2405</v>
      </c>
      <c r="B41" s="254" t="s">
        <v>2406</v>
      </c>
      <c r="C41" s="276">
        <f ca="1">ROUND(SUM(C42:C43),0)</f>
        <v>15</v>
      </c>
      <c r="D41" s="279">
        <f ca="1">C44</f>
        <v>2.0000000000000001E-4</v>
      </c>
      <c r="E41" s="280" t="s">
        <v>2403</v>
      </c>
      <c r="F41" s="281"/>
      <c r="G41" s="278" t="str">
        <f>IF('数据-取费表'!B22&lt;=1,"单利计息","复利计息")</f>
        <v>复利计息</v>
      </c>
    </row>
    <row r="42" spans="1:7" ht="13.5" customHeight="1">
      <c r="A42" s="948" t="s">
        <v>791</v>
      </c>
      <c r="B42" s="259" t="s">
        <v>2407</v>
      </c>
      <c r="C42" s="282">
        <f ca="1">ROUND(IF('数据-取费表'!B22&lt;=1,C33*F22*'数据-取费表'!B21/2,C33*(POWER((1+F22),'数据-取费表'!B21/2)-1)),0)</f>
        <v>15</v>
      </c>
      <c r="D42" s="282"/>
      <c r="E42" s="282"/>
      <c r="F42" s="283"/>
      <c r="G42" s="3290" t="s">
        <v>2408</v>
      </c>
    </row>
    <row r="43" spans="1:7" ht="13.5" customHeight="1">
      <c r="A43" s="948" t="s">
        <v>792</v>
      </c>
      <c r="B43" s="259" t="s">
        <v>2409</v>
      </c>
      <c r="C43" s="282">
        <f ca="1">ROUND(IF('数据-取费表'!B22&lt;=1,C39*F22*'数据-取费表'!B21/2,C39*(POWER((1+F22),'数据-取费表'!B21/2)-1)),0)</f>
        <v>0</v>
      </c>
      <c r="D43" s="282"/>
      <c r="E43" s="282"/>
      <c r="F43" s="283"/>
      <c r="G43" s="3291"/>
    </row>
    <row r="44" spans="1:7" ht="13.5" customHeight="1">
      <c r="A44" s="948" t="s">
        <v>793</v>
      </c>
      <c r="B44" s="259" t="s">
        <v>2410</v>
      </c>
      <c r="C44" s="282">
        <f ca="1">ROUND(IF('数据-取费表'!B22&lt;=1,C40*F22*'数据-取费表'!B21/2,C40*(POWER((1+F22),'数据-取费表'!B21/2)-1)),4)</f>
        <v>2.0000000000000001E-4</v>
      </c>
      <c r="D44" s="282"/>
      <c r="E44" s="282"/>
      <c r="F44" s="283"/>
      <c r="G44" s="3292"/>
    </row>
    <row r="45" spans="1:7" s="258" customFormat="1" ht="13.5" customHeight="1">
      <c r="A45" s="299" t="s">
        <v>2411</v>
      </c>
      <c r="B45" s="288" t="s">
        <v>2377</v>
      </c>
      <c r="C45" s="289">
        <f ca="1">C46</f>
        <v>234</v>
      </c>
      <c r="D45" s="279">
        <f ca="1">C47</f>
        <v>3.3E-3</v>
      </c>
      <c r="E45" s="280" t="s">
        <v>2403</v>
      </c>
      <c r="F45" s="290"/>
      <c r="G45" s="291" t="s">
        <v>2412</v>
      </c>
    </row>
    <row r="46" spans="1:7" s="258" customFormat="1" ht="13.5" customHeight="1">
      <c r="A46" s="948" t="s">
        <v>791</v>
      </c>
      <c r="B46" s="292" t="s">
        <v>2413</v>
      </c>
      <c r="C46" s="293">
        <f ca="1">ROUND((C33+C39)*F27,0)</f>
        <v>234</v>
      </c>
      <c r="D46" s="307"/>
      <c r="E46" s="280"/>
      <c r="F46" s="290"/>
      <c r="G46" s="291"/>
    </row>
    <row r="47" spans="1:7" s="258" customFormat="1" ht="13.5" customHeight="1">
      <c r="A47" s="948" t="s">
        <v>792</v>
      </c>
      <c r="B47" s="292" t="s">
        <v>2414</v>
      </c>
      <c r="C47" s="282">
        <f ca="1">ROUND(C40*F27,4)</f>
        <v>3.3E-3</v>
      </c>
      <c r="D47" s="307"/>
      <c r="E47" s="280"/>
      <c r="F47" s="290"/>
      <c r="G47" s="291"/>
    </row>
    <row r="48" spans="1:7" s="258" customFormat="1" ht="13.5" customHeight="1">
      <c r="A48" s="299" t="s">
        <v>2376</v>
      </c>
      <c r="B48" s="254" t="s">
        <v>2415</v>
      </c>
      <c r="C48" s="1724">
        <f>ROUND(F30/(1+'数据-取费表'!C42),4)</f>
        <v>5.33E-2</v>
      </c>
      <c r="D48" s="280" t="s">
        <v>2403</v>
      </c>
      <c r="E48" s="276"/>
      <c r="F48" s="281"/>
      <c r="G48" s="278" t="s">
        <v>2416</v>
      </c>
    </row>
    <row r="49" spans="1:7" ht="16.5" customHeight="1">
      <c r="A49" s="299" t="s">
        <v>2382</v>
      </c>
      <c r="B49" s="254" t="s">
        <v>2417</v>
      </c>
      <c r="C49" s="276">
        <f ca="1">ROUND((C33+C39+C41+C45)/(1-C40-D41-D45-C48),0)</f>
        <v>2601</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2601</v>
      </c>
      <c r="D51" s="276"/>
      <c r="E51" s="276"/>
      <c r="F51" s="308"/>
      <c r="G51" s="278" t="s">
        <v>2424</v>
      </c>
    </row>
    <row r="52" spans="1:7" s="252" customFormat="1" ht="16.8" thickBot="1">
      <c r="A52" s="309" t="s">
        <v>2425</v>
      </c>
      <c r="B52" s="310"/>
      <c r="C52" s="311">
        <f ca="1">C31+C51</f>
        <v>43664</v>
      </c>
      <c r="D52" s="310"/>
      <c r="E52" s="310"/>
      <c r="F52" s="310"/>
      <c r="G52" s="312"/>
    </row>
    <row r="55" spans="1:7" ht="15">
      <c r="B55" s="314" t="s">
        <v>2426</v>
      </c>
      <c r="C55" s="315"/>
    </row>
    <row r="56" spans="1:7">
      <c r="B56" s="317" t="s">
        <v>1509</v>
      </c>
      <c r="C56" s="319">
        <f ca="1">1-C57</f>
        <v>0.94</v>
      </c>
    </row>
    <row r="57" spans="1:7">
      <c r="B57" s="317" t="s">
        <v>1510</v>
      </c>
      <c r="C57" s="318">
        <f ca="1">ROUND(C51/C52,3)</f>
        <v>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33"/>
      <c r="C1" s="2546" t="s">
        <v>2427</v>
      </c>
      <c r="D1" s="242"/>
      <c r="E1" s="242"/>
      <c r="F1" s="242"/>
      <c r="G1" s="1376">
        <f>MATCH(B1,'数据-取费表'!A6:A16,0)+5</f>
        <v>10</v>
      </c>
      <c r="H1" s="1279" t="str">
        <f>IF(ISERROR(FIND("住宅",B1)),"非住宅","住宅")</f>
        <v>非住宅</v>
      </c>
    </row>
    <row r="2" spans="1:8" s="244" customFormat="1" ht="18" customHeight="1">
      <c r="A2" s="245" t="s">
        <v>2326</v>
      </c>
      <c r="B2" s="246">
        <f ca="1">ROUND(IF(D2="——",C52/10000,C52/10000-E2),0)</f>
        <v>32447</v>
      </c>
      <c r="C2" s="243" t="s">
        <v>2327</v>
      </c>
      <c r="D2" s="2540" t="s">
        <v>70</v>
      </c>
      <c r="E2" s="1437" t="e">
        <f ca="1">SUMIF(INDIRECT("'"&amp;G2&amp;"'"&amp;"!A:A"),"承租人权益价值",INDIRECT("'"&amp;G2&amp;"'"&amp;"!c:c"))</f>
        <v>#REF!</v>
      </c>
      <c r="F2" s="2541" t="s">
        <v>2327</v>
      </c>
      <c r="G2" s="2542"/>
    </row>
    <row r="3" spans="1:8" s="244" customFormat="1" ht="18" customHeight="1" thickBot="1">
      <c r="A3" s="247" t="s">
        <v>2328</v>
      </c>
      <c r="B3" s="248">
        <f ca="1">ROUND(B2*10000/(IF(B1="",'数据-汇总表'!E3,INDIRECT("'数据-取费表'!k"&amp;$G$1))),0)</f>
        <v>3885</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8351637</v>
      </c>
      <c r="D5" s="255" t="s">
        <v>2333</v>
      </c>
      <c r="E5" s="256" t="s">
        <v>2334</v>
      </c>
      <c r="F5" s="256" t="s">
        <v>2335</v>
      </c>
      <c r="G5" s="257"/>
    </row>
    <row r="6" spans="1:8" s="258" customFormat="1" ht="13.5" customHeight="1">
      <c r="A6" s="946" t="s">
        <v>2336</v>
      </c>
      <c r="B6" s="259" t="s">
        <v>2337</v>
      </c>
      <c r="C6" s="260"/>
      <c r="D6" s="261"/>
      <c r="E6" s="262"/>
      <c r="F6" s="262"/>
      <c r="G6" s="263"/>
    </row>
    <row r="7" spans="1:8" s="258" customFormat="1" ht="13.5" customHeight="1">
      <c r="A7" s="946" t="s">
        <v>2338</v>
      </c>
      <c r="B7" s="259" t="s">
        <v>2339</v>
      </c>
      <c r="C7" s="264">
        <f>ROUND(C6*F7,0)</f>
        <v>0</v>
      </c>
      <c r="D7" s="264"/>
      <c r="E7" s="262"/>
      <c r="F7" s="265">
        <f>'数据-取费表'!B48+'数据-取费表'!B49</f>
        <v>3.0499999999999999E-2</v>
      </c>
      <c r="G7" s="263"/>
    </row>
    <row r="8" spans="1:8" s="267" customFormat="1">
      <c r="A8" s="946" t="s">
        <v>2340</v>
      </c>
      <c r="B8" s="259" t="s">
        <v>2341</v>
      </c>
      <c r="C8" s="264">
        <f ca="1">IF(G8="已包含在土地购买价格中",0,C9+C10)</f>
        <v>8351637</v>
      </c>
      <c r="D8" s="266"/>
      <c r="E8" s="264"/>
      <c r="F8" s="265"/>
      <c r="G8" s="2543"/>
    </row>
    <row r="9" spans="1:8" s="258" customFormat="1" ht="13.5" customHeight="1">
      <c r="A9" s="947" t="s">
        <v>800</v>
      </c>
      <c r="B9" s="268" t="s">
        <v>2342</v>
      </c>
      <c r="C9" s="269">
        <f ca="1">ROUND(D9*E9,0)</f>
        <v>2227287</v>
      </c>
      <c r="D9" s="1029">
        <f ca="1">IF(B1="",'数据-汇总表'!E5,IF(INDIRECT("'数据-取费表'!c"&amp;$G$1)="住宅",INDIRECT("'数据-取费表'!k"&amp;$G$1),0))</f>
        <v>27841.09</v>
      </c>
      <c r="E9" s="269">
        <f>'数据-取费表'!B27</f>
        <v>80</v>
      </c>
      <c r="F9" s="265"/>
      <c r="G9" s="270"/>
    </row>
    <row r="10" spans="1:8" s="258" customFormat="1" ht="13.5" customHeight="1">
      <c r="A10" s="947" t="s">
        <v>801</v>
      </c>
      <c r="B10" s="268" t="s">
        <v>2344</v>
      </c>
      <c r="C10" s="269">
        <f ca="1">ROUND(D10*E10,0)</f>
        <v>6124350</v>
      </c>
      <c r="D10" s="1029">
        <f ca="1">IF(B1="",'数据-汇总表'!E6,IF(INDIRECT("'数据-取费表'!c"&amp;$G$1)="住宅",INDIRECT("'数据-取费表'!s"&amp;$G$1),INDIRECT("'数据-取费表'!k"&amp;$G$1)+INDIRECT("'数据-取费表'!s"&amp;$G$1)))</f>
        <v>55675.91</v>
      </c>
      <c r="E10" s="269">
        <f>'数据-取费表'!B28</f>
        <v>110</v>
      </c>
      <c r="F10" s="265"/>
      <c r="G10" s="270"/>
    </row>
    <row r="11" spans="1:8" s="258" customFormat="1" ht="13.5" hidden="1" customHeight="1">
      <c r="A11" s="271" t="s">
        <v>7</v>
      </c>
      <c r="B11" s="259" t="s">
        <v>2345</v>
      </c>
      <c r="C11" s="255"/>
      <c r="D11" s="1031"/>
      <c r="E11" s="262"/>
      <c r="F11" s="262"/>
      <c r="G11" s="263"/>
    </row>
    <row r="12" spans="1:8" s="258" customFormat="1" ht="13.5" hidden="1" customHeight="1">
      <c r="A12" s="271" t="s">
        <v>8</v>
      </c>
      <c r="B12" s="259" t="s">
        <v>2428</v>
      </c>
      <c r="C12" s="255">
        <v>0</v>
      </c>
      <c r="D12" s="1031"/>
      <c r="E12" s="272"/>
      <c r="F12" s="265">
        <v>3.0499999999999999E-2</v>
      </c>
      <c r="G12" s="263"/>
    </row>
    <row r="13" spans="1:8" s="258" customFormat="1" ht="13.5" hidden="1" customHeight="1">
      <c r="A13" s="271" t="s">
        <v>9</v>
      </c>
      <c r="B13" s="259" t="s">
        <v>2429</v>
      </c>
      <c r="C13" s="255"/>
      <c r="D13" s="1031"/>
      <c r="E13" s="262"/>
      <c r="F13" s="262"/>
      <c r="G13" s="263"/>
    </row>
    <row r="14" spans="1:8" s="258" customFormat="1" ht="13.5" hidden="1" customHeight="1">
      <c r="A14" s="271" t="s">
        <v>10</v>
      </c>
      <c r="B14" s="259" t="s">
        <v>2341</v>
      </c>
      <c r="C14" s="255"/>
      <c r="D14" s="1031"/>
      <c r="E14" s="262"/>
      <c r="F14" s="262"/>
      <c r="G14" s="263" t="s">
        <v>2430</v>
      </c>
    </row>
    <row r="15" spans="1:8" s="258" customFormat="1" ht="13.5" hidden="1" customHeight="1">
      <c r="A15" s="271" t="s">
        <v>11</v>
      </c>
      <c r="B15" s="259" t="s">
        <v>2431</v>
      </c>
      <c r="C15" s="264"/>
      <c r="D15" s="1031"/>
      <c r="E15" s="262"/>
      <c r="F15" s="262"/>
      <c r="G15" s="263" t="s">
        <v>2432</v>
      </c>
    </row>
    <row r="16" spans="1:8" s="258" customFormat="1" ht="13.5" hidden="1" customHeight="1">
      <c r="A16" s="271" t="s">
        <v>12</v>
      </c>
      <c r="B16" s="259" t="s">
        <v>2341</v>
      </c>
      <c r="C16" s="264"/>
      <c r="D16" s="1031"/>
      <c r="E16" s="262"/>
      <c r="F16" s="262"/>
      <c r="G16" s="263"/>
    </row>
    <row r="17" spans="1:7" s="258" customFormat="1" ht="13.5" hidden="1" customHeight="1">
      <c r="A17" s="271" t="s">
        <v>13</v>
      </c>
      <c r="B17" s="259" t="s">
        <v>2433</v>
      </c>
      <c r="C17" s="273"/>
      <c r="D17" s="1032"/>
      <c r="E17" s="273"/>
      <c r="F17" s="273"/>
      <c r="G17" s="263" t="s">
        <v>2432</v>
      </c>
    </row>
    <row r="18" spans="1:7" s="258" customFormat="1" ht="13.5" hidden="1" customHeight="1">
      <c r="A18" s="271" t="s">
        <v>14</v>
      </c>
      <c r="B18" s="259" t="s">
        <v>2434</v>
      </c>
      <c r="C18" s="264">
        <v>0</v>
      </c>
      <c r="D18" s="1031"/>
      <c r="E18" s="262"/>
      <c r="F18" s="265">
        <v>3.0499999999999999E-2</v>
      </c>
      <c r="G18" s="263" t="s">
        <v>2435</v>
      </c>
    </row>
    <row r="19" spans="1:7" s="267" customFormat="1" ht="13.5" customHeight="1">
      <c r="A19" s="299" t="s">
        <v>2436</v>
      </c>
      <c r="B19" s="254" t="s">
        <v>2437</v>
      </c>
      <c r="C19" s="255">
        <f ca="1">IF(G19="已包含在土地取得成本中","0",ROUND(D19*E19,0))</f>
        <v>16703400</v>
      </c>
      <c r="D19" s="1033">
        <f ca="1">D9+D10</f>
        <v>83517</v>
      </c>
      <c r="E19" s="255">
        <f>'数据-取费表'!B31</f>
        <v>200</v>
      </c>
      <c r="F19" s="275"/>
      <c r="G19" s="2543"/>
    </row>
    <row r="20" spans="1:7" s="258" customFormat="1" ht="13.5" customHeight="1">
      <c r="A20" s="299" t="s">
        <v>2438</v>
      </c>
      <c r="B20" s="254" t="s">
        <v>2439</v>
      </c>
      <c r="C20" s="276">
        <f ca="1">ROUND((C5+C19)*F20,0)</f>
        <v>501101</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77">
        <f ca="1">ROUND(SUM(C23:C25),0)</f>
        <v>2460561</v>
      </c>
      <c r="D22" s="279">
        <f ca="1">C26</f>
        <v>1.4E-3</v>
      </c>
      <c r="E22" s="280" t="s">
        <v>2443</v>
      </c>
      <c r="F22" s="281">
        <f ca="1">'数据-取费表'!B40</f>
        <v>4.7500000000000001E-2</v>
      </c>
      <c r="G22" s="278" t="str">
        <f>IF('数据-取费表'!B22&lt;=1,"单利计息","复利计息")</f>
        <v>复利计息</v>
      </c>
    </row>
    <row r="23" spans="1:7" s="258" customFormat="1" ht="13.5" customHeight="1">
      <c r="A23" s="948" t="s">
        <v>2336</v>
      </c>
      <c r="B23" s="259" t="s">
        <v>2447</v>
      </c>
      <c r="C23" s="1378">
        <f ca="1">ROUND(IF('数据-取费表'!B22&lt;=1,C5*F22*'数据-取费表'!B22,C5*(POWER((1+F22),'数据-取费表'!B22)-1)),0)</f>
        <v>812249</v>
      </c>
      <c r="D23" s="282"/>
      <c r="E23" s="282"/>
      <c r="F23" s="283"/>
      <c r="G23" s="284" t="s">
        <v>2448</v>
      </c>
    </row>
    <row r="24" spans="1:7" s="258" customFormat="1" ht="13.5" customHeight="1">
      <c r="A24" s="948" t="s">
        <v>2338</v>
      </c>
      <c r="B24" s="259" t="s">
        <v>2449</v>
      </c>
      <c r="C24" s="1378">
        <f ca="1">ROUND(IF('数据-取费表'!B22&lt;=1,C19*F22*('数据-取费表'!B19/2+'数据-取费表'!B20),C19*(POWER((1+F22),('数据-取费表'!B19/2+'数据-取费表'!B20))-1)),0)</f>
        <v>1624510</v>
      </c>
      <c r="D24" s="282"/>
      <c r="E24" s="282"/>
      <c r="F24" s="283"/>
      <c r="G24" s="284" t="s">
        <v>2450</v>
      </c>
    </row>
    <row r="25" spans="1:7" s="258" customFormat="1" ht="24">
      <c r="A25" s="948" t="s">
        <v>2340</v>
      </c>
      <c r="B25" s="259" t="s">
        <v>2451</v>
      </c>
      <c r="C25" s="1378">
        <f ca="1">ROUND(IF('数据-取费表'!B22&lt;=1,C20*F22*'数据-取费表'!B22/2,C20*(POWER((1+F22),'数据-取费表'!B22/2)-1)),0)</f>
        <v>23802</v>
      </c>
      <c r="D25" s="282"/>
      <c r="E25" s="285"/>
      <c r="F25" s="283"/>
      <c r="G25" s="286" t="s">
        <v>2452</v>
      </c>
    </row>
    <row r="26" spans="1:7" s="258" customFormat="1">
      <c r="A26" s="948" t="s">
        <v>795</v>
      </c>
      <c r="B26" s="259" t="s">
        <v>2375</v>
      </c>
      <c r="C26" s="282">
        <f ca="1">ROUND(IF('数据-取费表'!B22&lt;=1,F21*F22*'数据-取费表'!B22/2,F21*(POWER((1+F22),'数据-取费表'!B22/2)-1)),4)</f>
        <v>1.4E-3</v>
      </c>
      <c r="D26" s="282"/>
      <c r="E26" s="285"/>
      <c r="F26" s="283"/>
      <c r="G26" s="287"/>
    </row>
    <row r="27" spans="1:7" s="258" customFormat="1" ht="26.4">
      <c r="A27" s="299" t="s">
        <v>2376</v>
      </c>
      <c r="B27" s="288" t="s">
        <v>2377</v>
      </c>
      <c r="C27" s="289">
        <f ca="1">C28</f>
        <v>2811175</v>
      </c>
      <c r="D27" s="279">
        <f ca="1">C29</f>
        <v>3.3E-3</v>
      </c>
      <c r="E27" s="280" t="s">
        <v>2378</v>
      </c>
      <c r="F27" s="290">
        <f ca="1">IF(B1="",'数据-取费表'!Q16,INDIRECT("'数据-取费表'!q"&amp;$G$1))</f>
        <v>0.11</v>
      </c>
      <c r="G27" s="291" t="s">
        <v>2379</v>
      </c>
    </row>
    <row r="28" spans="1:7" s="258" customFormat="1" ht="13.5" customHeight="1">
      <c r="A28" s="948" t="s">
        <v>791</v>
      </c>
      <c r="B28" s="292" t="s">
        <v>2380</v>
      </c>
      <c r="C28" s="293">
        <f ca="1">ROUND((C5+C19+C20)*F27,0)</f>
        <v>2811175</v>
      </c>
      <c r="D28" s="279"/>
      <c r="E28" s="280"/>
      <c r="F28" s="290"/>
      <c r="G28" s="291"/>
    </row>
    <row r="29" spans="1:7" s="258" customFormat="1" ht="13.5" customHeight="1">
      <c r="A29" s="948" t="s">
        <v>792</v>
      </c>
      <c r="B29" s="292" t="s">
        <v>2381</v>
      </c>
      <c r="C29" s="282">
        <f ca="1">ROUND(C21*F27,4)</f>
        <v>3.3E-3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33802493</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224524033</v>
      </c>
      <c r="D33" s="276"/>
      <c r="E33" s="256"/>
      <c r="F33" s="285"/>
      <c r="G33" s="278"/>
    </row>
    <row r="34" spans="1:7" s="302" customFormat="1" ht="13.5" customHeight="1">
      <c r="A34" s="948" t="s">
        <v>791</v>
      </c>
      <c r="B34" s="259" t="s">
        <v>2389</v>
      </c>
      <c r="C34" s="264">
        <f ca="1">ROUND(IF(B1="",SUMPRODUCT('数据-取费表'!K6:K14,'数据-取费表'!L6:L14),INDIRECT("'数据-取费表'!l"&amp;$G$1)*INDIRECT("'数据-取费表'!k"&amp;$G$1)+'数据-取费表'!L14*INDIRECT("'数据-取费表'!S"&amp;$G$1)),0)</f>
        <v>194875090</v>
      </c>
      <c r="D34" s="261"/>
      <c r="E34" s="264"/>
      <c r="F34" s="301"/>
      <c r="G34" s="263"/>
    </row>
    <row r="35" spans="1:7" ht="13.5" customHeight="1">
      <c r="A35" s="948" t="s">
        <v>796</v>
      </c>
      <c r="B35" s="259" t="s">
        <v>2391</v>
      </c>
      <c r="C35" s="264">
        <f ca="1">ROUND(C34*F35,0)</f>
        <v>5846253</v>
      </c>
      <c r="D35" s="264"/>
      <c r="E35" s="264"/>
      <c r="F35" s="303">
        <f>'数据-取费表'!B33</f>
        <v>0.03</v>
      </c>
      <c r="G35" s="263" t="s">
        <v>2392</v>
      </c>
    </row>
    <row r="36" spans="1:7" ht="24">
      <c r="A36" s="948" t="s">
        <v>797</v>
      </c>
      <c r="B36" s="259" t="s">
        <v>2393</v>
      </c>
      <c r="C36" s="264">
        <f ca="1">ROUND(IF(B1="",SUM('数据-取费表'!AP6:AP13)*F36,IF(INDIRECT("'数据-取费表'!c"&amp;$G$1)="住宅",INDIRECT("'数据-取费表'!k"&amp;$G$1)*INDIRECT("'数据-取费表'!l"&amp;$G$1)*F36,0)),0)</f>
        <v>4176164</v>
      </c>
      <c r="D36" s="264"/>
      <c r="E36" s="264"/>
      <c r="F36" s="303">
        <f>'数据-取费表'!B34</f>
        <v>0.05</v>
      </c>
      <c r="G36" s="304" t="s">
        <v>2394</v>
      </c>
    </row>
    <row r="37" spans="1:7" s="302" customFormat="1" ht="13.5" customHeight="1">
      <c r="A37" s="948" t="s">
        <v>798</v>
      </c>
      <c r="B37" s="259" t="s">
        <v>2395</v>
      </c>
      <c r="C37" s="293">
        <f ca="1">ROUND(E37*D37,0)</f>
        <v>16703400</v>
      </c>
      <c r="D37" s="261">
        <f ca="1">D19</f>
        <v>83517</v>
      </c>
      <c r="E37" s="293">
        <f>'数据-取费表'!B35</f>
        <v>200</v>
      </c>
      <c r="F37" s="303"/>
      <c r="G37" s="305"/>
    </row>
    <row r="38" spans="1:7" ht="13.5" customHeight="1">
      <c r="A38" s="948" t="s">
        <v>799</v>
      </c>
      <c r="B38" s="259" t="s">
        <v>2397</v>
      </c>
      <c r="C38" s="264">
        <f ca="1">ROUND(C34*F38,0)</f>
        <v>2923126</v>
      </c>
      <c r="D38" s="264"/>
      <c r="E38" s="264"/>
      <c r="F38" s="303">
        <f>'数据-取费表'!B36</f>
        <v>1.4999999999999999E-2</v>
      </c>
      <c r="G38" s="263" t="s">
        <v>2392</v>
      </c>
    </row>
    <row r="39" spans="1:7" s="258" customFormat="1" ht="13.5" customHeight="1">
      <c r="A39" s="299" t="s">
        <v>2398</v>
      </c>
      <c r="B39" s="254" t="s">
        <v>2399</v>
      </c>
      <c r="C39" s="276">
        <f ca="1">ROUND(C33*F20,0)</f>
        <v>4490481</v>
      </c>
      <c r="D39" s="276"/>
      <c r="E39" s="276"/>
      <c r="F39" s="277"/>
      <c r="G39" s="278" t="s">
        <v>2400</v>
      </c>
    </row>
    <row r="40" spans="1:7" s="258" customFormat="1" ht="13.5" customHeight="1">
      <c r="A40" s="299" t="s">
        <v>2401</v>
      </c>
      <c r="B40" s="254" t="s">
        <v>2402</v>
      </c>
      <c r="C40" s="1724">
        <f>F21</f>
        <v>0.03</v>
      </c>
      <c r="D40" s="280" t="s">
        <v>2403</v>
      </c>
      <c r="E40" s="276"/>
      <c r="F40" s="277"/>
      <c r="G40" s="278" t="s">
        <v>2404</v>
      </c>
    </row>
    <row r="41" spans="1:7" s="258" customFormat="1" ht="13.5" customHeight="1">
      <c r="A41" s="299" t="s">
        <v>2405</v>
      </c>
      <c r="B41" s="254" t="s">
        <v>2406</v>
      </c>
      <c r="C41" s="276">
        <f ca="1">ROUND(SUM(C42:C43),0)</f>
        <v>10878190</v>
      </c>
      <c r="D41" s="279">
        <f ca="1">C44</f>
        <v>1.4E-3</v>
      </c>
      <c r="E41" s="280" t="s">
        <v>2403</v>
      </c>
      <c r="F41" s="281"/>
      <c r="G41" s="278" t="str">
        <f>IF('数据-取费表'!B22&lt;=1,"单利计息","复利计息")</f>
        <v>复利计息</v>
      </c>
    </row>
    <row r="42" spans="1:7" ht="13.5" customHeight="1">
      <c r="A42" s="948" t="s">
        <v>791</v>
      </c>
      <c r="B42" s="259" t="s">
        <v>2407</v>
      </c>
      <c r="C42" s="282">
        <f ca="1">ROUND(IF('数据-取费表'!B22&lt;=1,C33*F22*'数据-取费表'!B20/2,C33*(POWER((1+F22),'数据-取费表'!B20/2)-1)),0)</f>
        <v>10664892</v>
      </c>
      <c r="D42" s="282"/>
      <c r="E42" s="282"/>
      <c r="F42" s="283"/>
      <c r="G42" s="3290" t="s">
        <v>2455</v>
      </c>
    </row>
    <row r="43" spans="1:7" ht="13.5" customHeight="1">
      <c r="A43" s="948" t="s">
        <v>792</v>
      </c>
      <c r="B43" s="259" t="s">
        <v>2409</v>
      </c>
      <c r="C43" s="282">
        <f ca="1">ROUND(IF('数据-取费表'!B22&lt;=1,C39*F22*'数据-取费表'!B20/2,C39*(POWER((1+F22),'数据-取费表'!B20/2)-1)),0)</f>
        <v>213298</v>
      </c>
      <c r="D43" s="282"/>
      <c r="E43" s="282"/>
      <c r="F43" s="283"/>
      <c r="G43" s="3291"/>
    </row>
    <row r="44" spans="1:7" ht="13.5" customHeight="1">
      <c r="A44" s="948" t="s">
        <v>793</v>
      </c>
      <c r="B44" s="259" t="s">
        <v>2410</v>
      </c>
      <c r="C44" s="282">
        <f ca="1">ROUND(IF('数据-取费表'!B22&lt;=1,C40*F22*'数据-取费表'!B20/2,C40*(POWER((1+F22),'数据-取费表'!B20/2)-1)),4)</f>
        <v>1.4E-3</v>
      </c>
      <c r="D44" s="282"/>
      <c r="E44" s="282"/>
      <c r="F44" s="283"/>
      <c r="G44" s="3292"/>
    </row>
    <row r="45" spans="1:7" s="258" customFormat="1" ht="13.5" customHeight="1">
      <c r="A45" s="299" t="s">
        <v>2411</v>
      </c>
      <c r="B45" s="288" t="s">
        <v>2377</v>
      </c>
      <c r="C45" s="289">
        <f ca="1">C46</f>
        <v>25191597</v>
      </c>
      <c r="D45" s="279">
        <f ca="1">C47</f>
        <v>3.3E-3</v>
      </c>
      <c r="E45" s="280" t="s">
        <v>2403</v>
      </c>
      <c r="F45" s="290"/>
      <c r="G45" s="291" t="s">
        <v>2412</v>
      </c>
    </row>
    <row r="46" spans="1:7" s="258" customFormat="1" ht="13.5" customHeight="1">
      <c r="A46" s="948" t="s">
        <v>791</v>
      </c>
      <c r="B46" s="292" t="s">
        <v>2413</v>
      </c>
      <c r="C46" s="293">
        <f ca="1">ROUND((C33+C39)*F27,0)</f>
        <v>25191597</v>
      </c>
      <c r="D46" s="307"/>
      <c r="E46" s="280"/>
      <c r="F46" s="290"/>
      <c r="G46" s="291"/>
    </row>
    <row r="47" spans="1:7" s="258" customFormat="1" ht="13.5" customHeight="1">
      <c r="A47" s="948" t="s">
        <v>792</v>
      </c>
      <c r="B47" s="292" t="s">
        <v>2414</v>
      </c>
      <c r="C47" s="282">
        <f ca="1">ROUND(C40*F27,4)</f>
        <v>3.3E-3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290662611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290662611</v>
      </c>
      <c r="D51" s="276"/>
      <c r="E51" s="276"/>
      <c r="F51" s="308"/>
      <c r="G51" s="278" t="s">
        <v>2424</v>
      </c>
    </row>
    <row r="52" spans="1:7" s="252" customFormat="1" ht="16.8" thickBot="1">
      <c r="A52" s="309" t="s">
        <v>2425</v>
      </c>
      <c r="B52" s="310"/>
      <c r="C52" s="311">
        <f ca="1">C31+C51</f>
        <v>324465104</v>
      </c>
      <c r="D52" s="310"/>
      <c r="E52" s="310"/>
      <c r="F52" s="310"/>
      <c r="G52" s="312"/>
    </row>
    <row r="55" spans="1:7" ht="15">
      <c r="B55" s="314" t="s">
        <v>2426</v>
      </c>
      <c r="C55" s="315"/>
    </row>
    <row r="56" spans="1:7">
      <c r="B56" s="317" t="s">
        <v>1509</v>
      </c>
      <c r="C56" s="319">
        <f ca="1">1-C57</f>
        <v>0.10399999999999998</v>
      </c>
    </row>
    <row r="57" spans="1:7">
      <c r="B57" s="317" t="s">
        <v>1510</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N21" sqref="N21"/>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34730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4158</v>
      </c>
      <c r="C3" s="247" t="s">
        <v>2742</v>
      </c>
      <c r="D3" s="1579"/>
      <c r="E3" s="1122"/>
      <c r="F3" s="1123"/>
      <c r="G3" s="3052" t="s">
        <v>3389</v>
      </c>
      <c r="H3" s="1122"/>
      <c r="I3" s="3052" t="s">
        <v>3390</v>
      </c>
      <c r="J3" s="1122"/>
      <c r="K3" s="1124"/>
      <c r="L3" s="1125"/>
      <c r="M3" s="1126"/>
      <c r="N3" s="1126"/>
      <c r="O3" s="1126"/>
      <c r="P3" s="768"/>
      <c r="Q3" s="768"/>
      <c r="R3" s="768"/>
      <c r="S3" s="768"/>
      <c r="T3" s="768"/>
      <c r="U3" s="768"/>
      <c r="V3" s="768"/>
      <c r="W3" s="768"/>
      <c r="X3" s="768"/>
      <c r="Y3" s="768"/>
      <c r="Z3" s="768"/>
      <c r="AA3" s="768"/>
      <c r="AB3" s="786"/>
      <c r="AC3" s="782"/>
    </row>
    <row r="4" spans="1:30" ht="14.4">
      <c r="A4" s="401" t="s">
        <v>2641</v>
      </c>
      <c r="B4" s="402"/>
      <c r="C4" s="3311" t="s">
        <v>2642</v>
      </c>
      <c r="D4" s="3312"/>
      <c r="E4" s="3313" t="s">
        <v>2643</v>
      </c>
      <c r="F4" s="3314"/>
      <c r="G4" s="3311" t="s">
        <v>2644</v>
      </c>
      <c r="H4" s="3312"/>
      <c r="I4" s="3311" t="s">
        <v>2645</v>
      </c>
      <c r="J4" s="3312"/>
      <c r="K4" s="610" t="s">
        <v>2646</v>
      </c>
      <c r="L4" s="1127"/>
      <c r="M4" s="1128"/>
      <c r="N4" s="1128"/>
      <c r="O4" s="1128"/>
      <c r="P4" s="3315" t="s">
        <v>2647</v>
      </c>
      <c r="Q4" s="3316"/>
      <c r="R4" s="3298" t="s">
        <v>2643</v>
      </c>
      <c r="S4" s="3299"/>
      <c r="T4" s="3298" t="s">
        <v>2644</v>
      </c>
      <c r="U4" s="3299"/>
      <c r="V4" s="3323" t="s">
        <v>2645</v>
      </c>
      <c r="W4" s="3323"/>
      <c r="X4" s="1809"/>
      <c r="Y4" s="3298" t="s">
        <v>2647</v>
      </c>
      <c r="Z4" s="3299"/>
      <c r="AA4" s="3293" t="s">
        <v>2643</v>
      </c>
      <c r="AB4" s="3294" t="s">
        <v>2644</v>
      </c>
      <c r="AC4" s="3293" t="s">
        <v>2645</v>
      </c>
    </row>
    <row r="5" spans="1:30">
      <c r="A5" s="404"/>
      <c r="B5" s="405"/>
      <c r="C5" s="3304" t="s">
        <v>2538</v>
      </c>
      <c r="D5" s="3305"/>
      <c r="E5" s="3302" t="str">
        <f>土地案例!A2</f>
        <v>上街镇马排村</v>
      </c>
      <c r="F5" s="3303"/>
      <c r="G5" s="3304" t="str">
        <f>土地案例!A12</f>
        <v>榕高新2018-01号</v>
      </c>
      <c r="H5" s="3305"/>
      <c r="I5" s="3304" t="str">
        <f>土地案例!A15</f>
        <v>南屿镇后山村、中溪村</v>
      </c>
      <c r="J5" s="3305"/>
      <c r="K5" s="610"/>
      <c r="L5" s="1127"/>
      <c r="M5" s="1128"/>
      <c r="N5" s="1128"/>
      <c r="O5" s="1128"/>
      <c r="P5" s="3317"/>
      <c r="Q5" s="3318"/>
      <c r="R5" s="3300"/>
      <c r="S5" s="3301"/>
      <c r="T5" s="3300"/>
      <c r="U5" s="3301"/>
      <c r="V5" s="3323"/>
      <c r="W5" s="3323"/>
      <c r="X5" s="1809"/>
      <c r="Y5" s="3300"/>
      <c r="Z5" s="3301"/>
      <c r="AA5" s="3294"/>
      <c r="AB5" s="3294"/>
      <c r="AC5" s="3294"/>
    </row>
    <row r="6" spans="1:30" ht="15" thickBot="1">
      <c r="A6" s="406"/>
      <c r="B6" s="407"/>
      <c r="C6" s="3306" t="s">
        <v>2542</v>
      </c>
      <c r="D6" s="3307"/>
      <c r="E6" s="3308" t="s">
        <v>2542</v>
      </c>
      <c r="F6" s="3309"/>
      <c r="G6" s="3306" t="s">
        <v>2542</v>
      </c>
      <c r="H6" s="3307"/>
      <c r="I6" s="3306" t="s">
        <v>2542</v>
      </c>
      <c r="J6" s="3307"/>
      <c r="K6" s="610" t="s">
        <v>2543</v>
      </c>
      <c r="L6" s="1127"/>
      <c r="M6" s="1128"/>
      <c r="N6" s="1128"/>
      <c r="O6" s="1128"/>
      <c r="P6" s="3319"/>
      <c r="Q6" s="3320"/>
      <c r="R6" s="3300"/>
      <c r="S6" s="3301"/>
      <c r="T6" s="3321"/>
      <c r="U6" s="3322"/>
      <c r="V6" s="3323"/>
      <c r="W6" s="3323"/>
      <c r="X6" s="1809"/>
      <c r="Y6" s="3321"/>
      <c r="Z6" s="3322"/>
      <c r="AA6" s="3295"/>
      <c r="AB6" s="3295"/>
      <c r="AC6" s="3295"/>
    </row>
    <row r="7" spans="1:30" s="117" customFormat="1" ht="15" thickBot="1">
      <c r="A7" s="408" t="s">
        <v>2544</v>
      </c>
      <c r="B7" s="409"/>
      <c r="C7" s="410">
        <f>'数据-取费表'!B2</f>
        <v>43629</v>
      </c>
      <c r="D7" s="411">
        <v>100</v>
      </c>
      <c r="E7" s="412" t="str">
        <f>土地案例!L2</f>
        <v>2019-04-26</v>
      </c>
      <c r="F7" s="413">
        <f>SUMIF(70:70,YEAR(E7)&amp;"-"&amp;INT((MONTH(E7)+2)/3),71:71)</f>
        <v>100</v>
      </c>
      <c r="G7" s="2687" t="str">
        <f>土地案例!L12</f>
        <v>2018-06-15</v>
      </c>
      <c r="H7" s="411">
        <f>SUMIF(70:70,YEAR(G7)&amp;"-"&amp;INT((MONTH(G7)+2)/3),71:71)</f>
        <v>98</v>
      </c>
      <c r="I7" s="2687" t="str">
        <f>土地案例!L15</f>
        <v>2018-02-27</v>
      </c>
      <c r="J7" s="411">
        <f>SUMIF(70:70,YEAR(I7)&amp;"-"&amp;INT((MONTH(I7)+2)/3),71:71)</f>
        <v>97.5</v>
      </c>
      <c r="K7" s="611"/>
      <c r="L7" s="1129"/>
      <c r="M7" s="1130"/>
      <c r="N7" s="1130"/>
      <c r="O7" s="1130"/>
      <c r="P7" s="3296" t="s">
        <v>2545</v>
      </c>
      <c r="Q7" s="3324"/>
      <c r="R7" s="770" t="s">
        <v>17</v>
      </c>
      <c r="S7" s="771">
        <f t="shared" ref="S7:S15" si="0">F7</f>
        <v>100</v>
      </c>
      <c r="T7" s="770" t="s">
        <v>17</v>
      </c>
      <c r="U7" s="771">
        <f t="shared" ref="U7:U15" si="1">H7</f>
        <v>98</v>
      </c>
      <c r="V7" s="770" t="s">
        <v>17</v>
      </c>
      <c r="W7" s="771">
        <f t="shared" ref="W7:W15" si="2">J7</f>
        <v>97.5</v>
      </c>
      <c r="X7" s="772"/>
      <c r="Y7" s="3296" t="s">
        <v>2545</v>
      </c>
      <c r="Z7" s="3297"/>
      <c r="AA7" s="773">
        <f>D7/F7</f>
        <v>1</v>
      </c>
      <c r="AB7" s="773">
        <f>D7/H7</f>
        <v>1.0204081632653061</v>
      </c>
      <c r="AC7" s="773">
        <f>D7/J7</f>
        <v>1.0256410256410255</v>
      </c>
    </row>
    <row r="8" spans="1:30" s="117" customFormat="1" ht="1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29"/>
      <c r="M8" s="1130"/>
      <c r="N8" s="1130"/>
      <c r="O8" s="1130"/>
      <c r="P8" s="3296" t="s">
        <v>2548</v>
      </c>
      <c r="Q8" s="3297"/>
      <c r="R8" s="770" t="s">
        <v>17</v>
      </c>
      <c r="S8" s="771">
        <f t="shared" si="0"/>
        <v>100</v>
      </c>
      <c r="T8" s="770" t="s">
        <v>17</v>
      </c>
      <c r="U8" s="771">
        <f t="shared" si="1"/>
        <v>100</v>
      </c>
      <c r="V8" s="770" t="s">
        <v>17</v>
      </c>
      <c r="W8" s="771">
        <f t="shared" si="2"/>
        <v>100</v>
      </c>
      <c r="X8" s="772"/>
      <c r="Y8" s="3296" t="s">
        <v>2548</v>
      </c>
      <c r="Z8" s="3297"/>
      <c r="AA8" s="773">
        <f t="shared" ref="AA8:AA45" si="3">D8/F8</f>
        <v>1</v>
      </c>
      <c r="AB8" s="773">
        <f t="shared" ref="AB8:AB45" si="4">D8/H8</f>
        <v>1</v>
      </c>
      <c r="AC8" s="773">
        <f t="shared" ref="AC8:AC45" si="5">D8/J8</f>
        <v>1</v>
      </c>
    </row>
    <row r="9" spans="1:30" s="117" customFormat="1" ht="14.4">
      <c r="A9" s="415" t="s">
        <v>2549</v>
      </c>
      <c r="B9" s="71" t="s">
        <v>2550</v>
      </c>
      <c r="C9" s="2690" t="s">
        <v>3089</v>
      </c>
      <c r="D9" s="135">
        <v>100</v>
      </c>
      <c r="E9" s="2690" t="s">
        <v>3089</v>
      </c>
      <c r="F9" s="135">
        <f>SUMIF(75:75,E9,76:76)-SUMIF(75:75,C9,76:76)+100</f>
        <v>100</v>
      </c>
      <c r="G9" s="2690" t="s">
        <v>3089</v>
      </c>
      <c r="H9" s="135">
        <f>SUMIF(75:75,G9,76:76)-SUMIF(75:75,C9,76:76)+100</f>
        <v>100</v>
      </c>
      <c r="I9" s="2690" t="s">
        <v>3089</v>
      </c>
      <c r="J9" s="135">
        <f>SUMIF(75:75,I9,76:76)-SUMIF(75:75,C9,76:76)+100</f>
        <v>100</v>
      </c>
      <c r="K9" s="611"/>
      <c r="L9" s="1129"/>
      <c r="M9" s="1130"/>
      <c r="N9" s="1130"/>
      <c r="O9" s="1131"/>
      <c r="P9" s="3310" t="s">
        <v>2551</v>
      </c>
      <c r="Q9" s="1791" t="str">
        <f t="shared" ref="Q9:Q15" si="6">B9</f>
        <v>用途</v>
      </c>
      <c r="R9" s="770" t="s">
        <v>17</v>
      </c>
      <c r="S9" s="771">
        <f t="shared" si="0"/>
        <v>100</v>
      </c>
      <c r="T9" s="770" t="s">
        <v>17</v>
      </c>
      <c r="U9" s="771">
        <f t="shared" si="1"/>
        <v>100</v>
      </c>
      <c r="V9" s="770" t="s">
        <v>17</v>
      </c>
      <c r="W9" s="771">
        <f t="shared" si="2"/>
        <v>100</v>
      </c>
      <c r="X9" s="772"/>
      <c r="Y9" s="3157"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106</v>
      </c>
      <c r="G10" s="463"/>
      <c r="H10" s="136">
        <f>ROUND(100/'数据-取费表'!G16,0)</f>
        <v>106</v>
      </c>
      <c r="I10" s="463"/>
      <c r="J10" s="136">
        <f>ROUND(100/'数据-取费表'!G16,0)</f>
        <v>106</v>
      </c>
      <c r="K10" s="672"/>
      <c r="L10" s="1132"/>
      <c r="M10" s="1133"/>
      <c r="N10" s="1133"/>
      <c r="O10" s="1134"/>
      <c r="P10" s="3310"/>
      <c r="Q10" s="1791" t="str">
        <f t="shared" si="6"/>
        <v>土地使用年限（年）</v>
      </c>
      <c r="R10" s="770" t="s">
        <v>17</v>
      </c>
      <c r="S10" s="771">
        <f t="shared" si="0"/>
        <v>106</v>
      </c>
      <c r="T10" s="770" t="s">
        <v>17</v>
      </c>
      <c r="U10" s="771">
        <f t="shared" si="1"/>
        <v>106</v>
      </c>
      <c r="V10" s="770" t="s">
        <v>17</v>
      </c>
      <c r="W10" s="771">
        <f t="shared" si="2"/>
        <v>106</v>
      </c>
      <c r="X10" s="772"/>
      <c r="Y10" s="3157"/>
      <c r="Z10" s="55" t="str">
        <f t="shared" si="7"/>
        <v>土地使用年限（年）</v>
      </c>
      <c r="AA10" s="773">
        <f t="shared" si="3"/>
        <v>0.94339622641509435</v>
      </c>
      <c r="AB10" s="773">
        <f t="shared" si="4"/>
        <v>0.94339622641509435</v>
      </c>
      <c r="AC10" s="773">
        <f t="shared" si="5"/>
        <v>0.94339622641509435</v>
      </c>
    </row>
    <row r="11" spans="1:30" ht="15.6" thickBot="1">
      <c r="A11" s="428"/>
      <c r="B11" s="422" t="s">
        <v>2554</v>
      </c>
      <c r="C11" s="429">
        <f>'数据-汇总表'!I7</f>
        <v>1.6</v>
      </c>
      <c r="D11" s="136">
        <v>100</v>
      </c>
      <c r="E11" s="429">
        <v>2.8</v>
      </c>
      <c r="F11" s="136">
        <f>LOOKUP(E11,80:80,81:81)-LOOKUP(C11,80:80,81:81)+100</f>
        <v>97</v>
      </c>
      <c r="G11" s="430">
        <v>1.6</v>
      </c>
      <c r="H11" s="136">
        <f>LOOKUP(G11,80:80,81:81)-LOOKUP(C11,80:80,81:81)+100</f>
        <v>100</v>
      </c>
      <c r="I11" s="429">
        <v>1.8</v>
      </c>
      <c r="J11" s="136">
        <f>LOOKUP(I11,80:80,81:81)-LOOKUP(C11,80:80,81:81)+100</f>
        <v>100</v>
      </c>
      <c r="K11" s="673">
        <v>3</v>
      </c>
      <c r="L11" s="1135"/>
      <c r="M11" s="1128"/>
      <c r="N11" s="1128"/>
      <c r="O11" s="1136"/>
      <c r="P11" s="3310"/>
      <c r="Q11" s="1791" t="str">
        <f t="shared" si="6"/>
        <v>容积率</v>
      </c>
      <c r="R11" s="770" t="s">
        <v>17</v>
      </c>
      <c r="S11" s="771">
        <f t="shared" si="0"/>
        <v>97</v>
      </c>
      <c r="T11" s="770" t="s">
        <v>17</v>
      </c>
      <c r="U11" s="771">
        <f t="shared" si="1"/>
        <v>100</v>
      </c>
      <c r="V11" s="770" t="s">
        <v>17</v>
      </c>
      <c r="W11" s="771">
        <f t="shared" si="2"/>
        <v>100</v>
      </c>
      <c r="X11" s="772"/>
      <c r="Y11" s="3157"/>
      <c r="Z11" s="55" t="str">
        <f t="shared" si="7"/>
        <v>容积率</v>
      </c>
      <c r="AA11" s="773">
        <f t="shared" si="3"/>
        <v>1.0309278350515463</v>
      </c>
      <c r="AB11" s="773">
        <f t="shared" si="4"/>
        <v>1</v>
      </c>
      <c r="AC11" s="773">
        <f t="shared" si="5"/>
        <v>1</v>
      </c>
    </row>
    <row r="12" spans="1:30" s="117" customFormat="1" ht="15" hidden="1">
      <c r="A12" s="431"/>
      <c r="B12" s="2592"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10"/>
      <c r="Q12" s="1791" t="str">
        <f t="shared" si="6"/>
        <v>配建</v>
      </c>
      <c r="R12" s="770" t="s">
        <v>17</v>
      </c>
      <c r="S12" s="771">
        <f t="shared" si="0"/>
        <v>100</v>
      </c>
      <c r="T12" s="770" t="s">
        <v>17</v>
      </c>
      <c r="U12" s="771">
        <f t="shared" si="1"/>
        <v>100</v>
      </c>
      <c r="V12" s="770" t="s">
        <v>17</v>
      </c>
      <c r="W12" s="771">
        <f t="shared" si="2"/>
        <v>100</v>
      </c>
      <c r="X12" s="772"/>
      <c r="Y12" s="3157"/>
      <c r="Z12" s="55" t="str">
        <f t="shared" si="7"/>
        <v>配建</v>
      </c>
      <c r="AA12" s="773">
        <f>D12/F12</f>
        <v>1</v>
      </c>
      <c r="AB12" s="773">
        <f>D12/H12</f>
        <v>1</v>
      </c>
      <c r="AC12" s="773">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10"/>
      <c r="Q13" s="1791">
        <f t="shared" si="6"/>
        <v>111</v>
      </c>
      <c r="R13" s="770" t="s">
        <v>17</v>
      </c>
      <c r="S13" s="771">
        <f t="shared" si="0"/>
        <v>100</v>
      </c>
      <c r="T13" s="770" t="s">
        <v>17</v>
      </c>
      <c r="U13" s="771">
        <f t="shared" si="1"/>
        <v>100</v>
      </c>
      <c r="V13" s="770" t="s">
        <v>17</v>
      </c>
      <c r="W13" s="771">
        <f t="shared" si="2"/>
        <v>100</v>
      </c>
      <c r="X13" s="772"/>
      <c r="Y13" s="3157"/>
      <c r="Z13" s="55">
        <f t="shared" si="7"/>
        <v>111</v>
      </c>
      <c r="AA13" s="773">
        <f>D13/F13</f>
        <v>1</v>
      </c>
      <c r="AB13" s="773">
        <f>D13/H13</f>
        <v>1</v>
      </c>
      <c r="AC13" s="773">
        <f>D13/J13</f>
        <v>1</v>
      </c>
    </row>
    <row r="14" spans="1:30" ht="15.6"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10"/>
      <c r="Q14" s="1791">
        <f t="shared" si="6"/>
        <v>111</v>
      </c>
      <c r="R14" s="770" t="s">
        <v>17</v>
      </c>
      <c r="S14" s="771">
        <f t="shared" si="0"/>
        <v>100</v>
      </c>
      <c r="T14" s="770" t="s">
        <v>17</v>
      </c>
      <c r="U14" s="771">
        <f t="shared" si="1"/>
        <v>100</v>
      </c>
      <c r="V14" s="770" t="s">
        <v>17</v>
      </c>
      <c r="W14" s="771">
        <f t="shared" si="2"/>
        <v>100</v>
      </c>
      <c r="X14" s="772"/>
      <c r="Y14" s="3157"/>
      <c r="Z14" s="55">
        <f t="shared" si="7"/>
        <v>111</v>
      </c>
      <c r="AA14" s="773">
        <f>D14/F14</f>
        <v>1</v>
      </c>
      <c r="AB14" s="773">
        <f>D14/H14</f>
        <v>1</v>
      </c>
      <c r="AC14" s="773">
        <f>D14/J14</f>
        <v>1</v>
      </c>
    </row>
    <row r="15" spans="1:30" ht="96.6">
      <c r="A15" s="440" t="s">
        <v>2555</v>
      </c>
      <c r="B15" s="69" t="s">
        <v>2083</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3</v>
      </c>
      <c r="L15" s="1137"/>
      <c r="M15" s="1128"/>
      <c r="N15" s="1128"/>
      <c r="O15" s="1136"/>
      <c r="P15" s="3325" t="s">
        <v>2556</v>
      </c>
      <c r="Q15" s="1806" t="str">
        <f t="shared" si="6"/>
        <v>居住社区成熟度</v>
      </c>
      <c r="R15" s="774" t="s">
        <v>17</v>
      </c>
      <c r="S15" s="775">
        <f t="shared" si="0"/>
        <v>100</v>
      </c>
      <c r="T15" s="774" t="s">
        <v>17</v>
      </c>
      <c r="U15" s="775">
        <f t="shared" si="1"/>
        <v>100</v>
      </c>
      <c r="V15" s="774" t="s">
        <v>17</v>
      </c>
      <c r="W15" s="775">
        <f t="shared" si="2"/>
        <v>100</v>
      </c>
      <c r="X15" s="1809"/>
      <c r="Y15" s="3325" t="s">
        <v>2556</v>
      </c>
      <c r="Z15" s="1810" t="str">
        <f t="shared" si="7"/>
        <v>居住社区成熟度</v>
      </c>
      <c r="AA15" s="1807">
        <f t="shared" si="3"/>
        <v>1</v>
      </c>
      <c r="AB15" s="1807">
        <f t="shared" si="4"/>
        <v>1</v>
      </c>
      <c r="AC15" s="1807">
        <f t="shared" si="5"/>
        <v>1</v>
      </c>
    </row>
    <row r="16" spans="1:30" ht="15">
      <c r="A16" s="428"/>
      <c r="B16" s="446"/>
      <c r="C16" s="2597" t="s">
        <v>3375</v>
      </c>
      <c r="D16" s="448"/>
      <c r="E16" s="2597" t="s">
        <v>3375</v>
      </c>
      <c r="F16" s="448"/>
      <c r="G16" s="2597" t="s">
        <v>3375</v>
      </c>
      <c r="H16" s="450"/>
      <c r="I16" s="2597" t="s">
        <v>3375</v>
      </c>
      <c r="J16" s="448"/>
      <c r="K16" s="672"/>
      <c r="L16" s="1137"/>
      <c r="M16" s="1128"/>
      <c r="N16" s="1128"/>
      <c r="O16" s="1136"/>
      <c r="P16" s="3326"/>
      <c r="Q16" s="1806"/>
      <c r="R16" s="774"/>
      <c r="S16" s="775"/>
      <c r="T16" s="774"/>
      <c r="U16" s="775"/>
      <c r="V16" s="774"/>
      <c r="W16" s="775"/>
      <c r="X16" s="1809"/>
      <c r="Y16" s="3326"/>
      <c r="Z16" s="1810"/>
      <c r="AA16" s="1807">
        <v>1</v>
      </c>
      <c r="AB16" s="1807">
        <v>1</v>
      </c>
      <c r="AC16" s="1807">
        <v>1</v>
      </c>
    </row>
    <row r="17" spans="1:29" ht="82.8">
      <c r="A17" s="428"/>
      <c r="B17" s="451" t="s">
        <v>2649</v>
      </c>
      <c r="C17" s="2655" t="str">
        <f>估价对象房地状况!C16</f>
        <v>估价对象位于XX商圈，周边商业氛围成熟，人流量大，商业繁华度好</v>
      </c>
      <c r="D17" s="450">
        <v>100</v>
      </c>
      <c r="E17" s="452"/>
      <c r="F17" s="450">
        <f>SUMIF(90:90,E18,91:91)-SUMIF(90:90,C18,91:91)+100</f>
        <v>102</v>
      </c>
      <c r="G17" s="452"/>
      <c r="H17" s="455">
        <f>SUMIF(90:90,G18,91:91)-SUMIF(90:90,C18,91:91)+100</f>
        <v>102</v>
      </c>
      <c r="I17" s="454"/>
      <c r="J17" s="455">
        <f>SUMIF(90:90,I18,91:91)-SUMIF(90:90,C18,91:91)+100</f>
        <v>98</v>
      </c>
      <c r="K17" s="673">
        <v>2</v>
      </c>
      <c r="L17" s="1137"/>
      <c r="M17" s="1128"/>
      <c r="N17" s="1128"/>
      <c r="O17" s="1136"/>
      <c r="P17" s="3326"/>
      <c r="Q17" s="1806" t="str">
        <f>B17</f>
        <v>商业繁华度</v>
      </c>
      <c r="R17" s="774" t="s">
        <v>17</v>
      </c>
      <c r="S17" s="775">
        <f>F17</f>
        <v>102</v>
      </c>
      <c r="T17" s="774" t="s">
        <v>17</v>
      </c>
      <c r="U17" s="775">
        <f>H17</f>
        <v>102</v>
      </c>
      <c r="V17" s="774" t="s">
        <v>17</v>
      </c>
      <c r="W17" s="775">
        <f>J17</f>
        <v>98</v>
      </c>
      <c r="X17" s="1809"/>
      <c r="Y17" s="3326"/>
      <c r="Z17" s="1810" t="str">
        <f>Q17</f>
        <v>商业繁华度</v>
      </c>
      <c r="AA17" s="1807">
        <f t="shared" si="3"/>
        <v>0.98039215686274506</v>
      </c>
      <c r="AB17" s="1807">
        <f t="shared" si="4"/>
        <v>0.98039215686274506</v>
      </c>
      <c r="AC17" s="1807">
        <f t="shared" si="5"/>
        <v>1.0204081632653061</v>
      </c>
    </row>
    <row r="18" spans="1:29" ht="15">
      <c r="A18" s="428"/>
      <c r="B18" s="456"/>
      <c r="C18" s="2600" t="s">
        <v>3376</v>
      </c>
      <c r="D18" s="450"/>
      <c r="E18" s="2602" t="s">
        <v>3375</v>
      </c>
      <c r="F18" s="450"/>
      <c r="G18" s="2602" t="s">
        <v>3375</v>
      </c>
      <c r="H18" s="448"/>
      <c r="I18" s="2601" t="s">
        <v>3377</v>
      </c>
      <c r="J18" s="448"/>
      <c r="K18" s="672"/>
      <c r="L18" s="1137"/>
      <c r="M18" s="1128"/>
      <c r="N18" s="1128"/>
      <c r="O18" s="1136"/>
      <c r="P18" s="3326"/>
      <c r="Q18" s="1806"/>
      <c r="R18" s="774"/>
      <c r="S18" s="775"/>
      <c r="T18" s="774"/>
      <c r="U18" s="775"/>
      <c r="V18" s="774"/>
      <c r="W18" s="775"/>
      <c r="X18" s="1809"/>
      <c r="Y18" s="3326"/>
      <c r="Z18" s="1810"/>
      <c r="AA18" s="1807">
        <v>1</v>
      </c>
      <c r="AB18" s="1807">
        <v>1</v>
      </c>
      <c r="AC18" s="1807">
        <v>1</v>
      </c>
    </row>
    <row r="19" spans="1:29" ht="82.8" hidden="1">
      <c r="A19" s="428"/>
      <c r="B19" s="451" t="s">
        <v>2683</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26"/>
      <c r="Q19" s="1806" t="str">
        <f>B19</f>
        <v>办公集聚程度</v>
      </c>
      <c r="R19" s="774" t="s">
        <v>17</v>
      </c>
      <c r="S19" s="775">
        <f>F19</f>
        <v>100</v>
      </c>
      <c r="T19" s="774" t="s">
        <v>17</v>
      </c>
      <c r="U19" s="775">
        <f>H19</f>
        <v>100</v>
      </c>
      <c r="V19" s="774" t="s">
        <v>17</v>
      </c>
      <c r="W19" s="775">
        <f>J19</f>
        <v>100</v>
      </c>
      <c r="X19" s="1809"/>
      <c r="Y19" s="3326"/>
      <c r="Z19" s="1810" t="str">
        <f>Q19</f>
        <v>办公集聚程度</v>
      </c>
      <c r="AA19" s="1807">
        <f t="shared" si="3"/>
        <v>1</v>
      </c>
      <c r="AB19" s="1807">
        <f t="shared" si="4"/>
        <v>1</v>
      </c>
      <c r="AC19" s="1807">
        <f t="shared" si="5"/>
        <v>1</v>
      </c>
    </row>
    <row r="20" spans="1:29" ht="15" hidden="1">
      <c r="A20" s="428"/>
      <c r="B20" s="456"/>
      <c r="C20" s="447"/>
      <c r="D20" s="448"/>
      <c r="E20" s="2597"/>
      <c r="F20" s="448"/>
      <c r="G20" s="2597"/>
      <c r="H20" s="448"/>
      <c r="I20" s="2596"/>
      <c r="J20" s="448"/>
      <c r="K20" s="672"/>
      <c r="L20" s="1137"/>
      <c r="M20" s="1128"/>
      <c r="N20" s="1128"/>
      <c r="O20" s="1136"/>
      <c r="P20" s="3326"/>
      <c r="Q20" s="1806"/>
      <c r="R20" s="774"/>
      <c r="S20" s="775"/>
      <c r="T20" s="774"/>
      <c r="U20" s="775"/>
      <c r="V20" s="774"/>
      <c r="W20" s="775"/>
      <c r="X20" s="1809"/>
      <c r="Y20" s="3326"/>
      <c r="Z20" s="1810"/>
      <c r="AA20" s="1807">
        <v>1</v>
      </c>
      <c r="AB20" s="1807">
        <v>1</v>
      </c>
      <c r="AC20" s="1807">
        <v>1</v>
      </c>
    </row>
    <row r="21" spans="1:29" ht="96.6">
      <c r="A21" s="428"/>
      <c r="B21" s="451" t="s">
        <v>2705</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326"/>
      <c r="Q21" s="1806" t="str">
        <f>B21</f>
        <v>交通便捷度</v>
      </c>
      <c r="R21" s="774" t="s">
        <v>17</v>
      </c>
      <c r="S21" s="775">
        <f>F21</f>
        <v>100</v>
      </c>
      <c r="T21" s="774" t="s">
        <v>17</v>
      </c>
      <c r="U21" s="775">
        <f>H21</f>
        <v>100</v>
      </c>
      <c r="V21" s="774" t="s">
        <v>17</v>
      </c>
      <c r="W21" s="775">
        <f>J21</f>
        <v>100</v>
      </c>
      <c r="X21" s="1809"/>
      <c r="Y21" s="3326"/>
      <c r="Z21" s="1810" t="str">
        <f>Q21</f>
        <v>交通便捷度</v>
      </c>
      <c r="AA21" s="1807">
        <f t="shared" si="3"/>
        <v>1</v>
      </c>
      <c r="AB21" s="1807">
        <f t="shared" si="4"/>
        <v>1</v>
      </c>
      <c r="AC21" s="1807">
        <f t="shared" si="5"/>
        <v>1</v>
      </c>
    </row>
    <row r="22" spans="1:29" ht="15">
      <c r="A22" s="428"/>
      <c r="B22" s="1381"/>
      <c r="C22" s="447" t="s">
        <v>3376</v>
      </c>
      <c r="D22" s="450"/>
      <c r="E22" s="447" t="s">
        <v>3376</v>
      </c>
      <c r="F22" s="448"/>
      <c r="G22" s="447" t="s">
        <v>3376</v>
      </c>
      <c r="H22" s="448"/>
      <c r="I22" s="447" t="s">
        <v>3376</v>
      </c>
      <c r="J22" s="448"/>
      <c r="K22" s="672"/>
      <c r="L22" s="1137"/>
      <c r="M22" s="1128"/>
      <c r="N22" s="1128"/>
      <c r="O22" s="1136"/>
      <c r="P22" s="3326"/>
      <c r="Q22" s="1806"/>
      <c r="R22" s="774"/>
      <c r="S22" s="775"/>
      <c r="T22" s="774"/>
      <c r="U22" s="775"/>
      <c r="V22" s="774"/>
      <c r="W22" s="775"/>
      <c r="X22" s="1809"/>
      <c r="Y22" s="3326"/>
      <c r="Z22" s="1810"/>
      <c r="AA22" s="1807">
        <v>1</v>
      </c>
      <c r="AB22" s="1807">
        <v>1</v>
      </c>
      <c r="AC22" s="1807">
        <v>1</v>
      </c>
    </row>
    <row r="23" spans="1:29" ht="28.8">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37"/>
      <c r="M23" s="1128"/>
      <c r="N23" s="1128"/>
      <c r="O23" s="1136"/>
      <c r="P23" s="3326"/>
      <c r="Q23" s="1806" t="str">
        <f t="shared" ref="Q23:Q37" si="8">B23</f>
        <v>区域土地利用方向</v>
      </c>
      <c r="R23" s="774" t="s">
        <v>17</v>
      </c>
      <c r="S23" s="775">
        <f>F23</f>
        <v>100</v>
      </c>
      <c r="T23" s="774" t="s">
        <v>17</v>
      </c>
      <c r="U23" s="775">
        <f>H23</f>
        <v>100</v>
      </c>
      <c r="V23" s="774" t="s">
        <v>17</v>
      </c>
      <c r="W23" s="775">
        <f>J23</f>
        <v>100</v>
      </c>
      <c r="X23" s="1809"/>
      <c r="Y23" s="3326"/>
      <c r="Z23" s="1810" t="str">
        <f>Q23</f>
        <v>区域土地利用方向</v>
      </c>
      <c r="AA23" s="1807">
        <f t="shared" si="3"/>
        <v>1</v>
      </c>
      <c r="AB23" s="1807">
        <f t="shared" si="4"/>
        <v>1</v>
      </c>
      <c r="AC23" s="1807">
        <f t="shared" si="5"/>
        <v>1</v>
      </c>
    </row>
    <row r="24" spans="1:29" ht="15">
      <c r="A24" s="404"/>
      <c r="B24" s="456"/>
      <c r="C24" s="616" t="s">
        <v>3375</v>
      </c>
      <c r="D24" s="448"/>
      <c r="E24" s="616" t="s">
        <v>3375</v>
      </c>
      <c r="F24" s="448"/>
      <c r="G24" s="616" t="s">
        <v>3375</v>
      </c>
      <c r="H24" s="448"/>
      <c r="I24" s="616" t="s">
        <v>3375</v>
      </c>
      <c r="J24" s="448"/>
      <c r="K24" s="809"/>
      <c r="L24" s="1137"/>
      <c r="M24" s="1128"/>
      <c r="N24" s="1128"/>
      <c r="O24" s="1136"/>
      <c r="P24" s="3326"/>
      <c r="Q24" s="1806"/>
      <c r="R24" s="774"/>
      <c r="S24" s="775"/>
      <c r="T24" s="774"/>
      <c r="U24" s="775"/>
      <c r="V24" s="774"/>
      <c r="W24" s="775"/>
      <c r="X24" s="1809"/>
      <c r="Y24" s="3326"/>
      <c r="Z24" s="1810"/>
      <c r="AA24" s="1807"/>
      <c r="AB24" s="1807"/>
      <c r="AC24" s="1807"/>
    </row>
    <row r="25" spans="1:29" ht="55.2">
      <c r="A25" s="404"/>
      <c r="B25" s="1381" t="s">
        <v>2745</v>
      </c>
      <c r="C25" s="2655" t="str">
        <f>估价对象房地状况!C20</f>
        <v>区域自然环境：；人文环境；综合评价环境状况一般</v>
      </c>
      <c r="D25" s="450">
        <v>100</v>
      </c>
      <c r="E25" s="452"/>
      <c r="F25" s="450">
        <f>SUMIF(98:98,E26,99:99)-SUMIF(98:98,C26,99:99)+100</f>
        <v>105</v>
      </c>
      <c r="G25" s="452"/>
      <c r="H25" s="450">
        <f>SUMIF(98:98,G26,99:99)-SUMIF(98:98,C26,99:99)+100</f>
        <v>105</v>
      </c>
      <c r="I25" s="454"/>
      <c r="J25" s="450">
        <f>SUMIF(98:98,I26,99:99)-SUMIF(98:98,C26,99:99)+100</f>
        <v>100</v>
      </c>
      <c r="K25" s="673">
        <v>5</v>
      </c>
      <c r="L25" s="1137"/>
      <c r="M25" s="1128"/>
      <c r="N25" s="1128"/>
      <c r="O25" s="1136"/>
      <c r="P25" s="3326"/>
      <c r="Q25" s="1806" t="str">
        <f t="shared" si="8"/>
        <v>自然及人文环境状况</v>
      </c>
      <c r="R25" s="774" t="s">
        <v>17</v>
      </c>
      <c r="S25" s="775">
        <f>F25</f>
        <v>105</v>
      </c>
      <c r="T25" s="774" t="s">
        <v>17</v>
      </c>
      <c r="U25" s="775">
        <f>H25</f>
        <v>105</v>
      </c>
      <c r="V25" s="774" t="s">
        <v>17</v>
      </c>
      <c r="W25" s="775">
        <f>J25</f>
        <v>100</v>
      </c>
      <c r="X25" s="1809"/>
      <c r="Y25" s="3326"/>
      <c r="Z25" s="1810" t="str">
        <f>Q25</f>
        <v>自然及人文环境状况</v>
      </c>
      <c r="AA25" s="1807">
        <f t="shared" si="3"/>
        <v>0.95238095238095233</v>
      </c>
      <c r="AB25" s="1807">
        <f t="shared" si="4"/>
        <v>0.95238095238095233</v>
      </c>
      <c r="AC25" s="1807">
        <f t="shared" si="5"/>
        <v>1</v>
      </c>
    </row>
    <row r="26" spans="1:29" ht="15">
      <c r="A26" s="404"/>
      <c r="B26" s="456"/>
      <c r="C26" s="447" t="s">
        <v>3376</v>
      </c>
      <c r="D26" s="448"/>
      <c r="E26" s="2603" t="s">
        <v>3375</v>
      </c>
      <c r="F26" s="448"/>
      <c r="G26" s="2603" t="s">
        <v>3375</v>
      </c>
      <c r="H26" s="448"/>
      <c r="I26" s="447" t="s">
        <v>3376</v>
      </c>
      <c r="J26" s="448"/>
      <c r="K26" s="672"/>
      <c r="L26" s="1137"/>
      <c r="M26" s="1128"/>
      <c r="N26" s="1128"/>
      <c r="O26" s="1136"/>
      <c r="P26" s="3326"/>
      <c r="Q26" s="1806"/>
      <c r="R26" s="774"/>
      <c r="S26" s="775"/>
      <c r="T26" s="774"/>
      <c r="U26" s="775"/>
      <c r="V26" s="774"/>
      <c r="W26" s="775"/>
      <c r="X26" s="1809"/>
      <c r="Y26" s="3326"/>
      <c r="Z26" s="1810"/>
      <c r="AA26" s="1807">
        <v>1</v>
      </c>
      <c r="AB26" s="1807">
        <v>1</v>
      </c>
      <c r="AC26" s="1807">
        <v>1</v>
      </c>
    </row>
    <row r="27" spans="1:29" s="117" customFormat="1" ht="41.4">
      <c r="A27" s="649"/>
      <c r="B27" s="1381" t="s">
        <v>2650</v>
      </c>
      <c r="C27" s="2599"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4"/>
      <c r="J27" s="450">
        <f>SUMIF(100:100,I28,101:101)-SUMIF(100:100,C28,101:101)+100</f>
        <v>95</v>
      </c>
      <c r="K27" s="673">
        <v>5</v>
      </c>
      <c r="L27" s="1129"/>
      <c r="M27" s="1130"/>
      <c r="N27" s="1130"/>
      <c r="O27" s="1131"/>
      <c r="P27" s="3326"/>
      <c r="Q27" s="1791" t="str">
        <f t="shared" si="8"/>
        <v>公共配套设施</v>
      </c>
      <c r="R27" s="770" t="s">
        <v>17</v>
      </c>
      <c r="S27" s="771">
        <f>F27</f>
        <v>105</v>
      </c>
      <c r="T27" s="770" t="s">
        <v>17</v>
      </c>
      <c r="U27" s="771">
        <f>H27</f>
        <v>105</v>
      </c>
      <c r="V27" s="770" t="s">
        <v>17</v>
      </c>
      <c r="W27" s="771">
        <f>J27</f>
        <v>95</v>
      </c>
      <c r="X27" s="772"/>
      <c r="Y27" s="3326"/>
      <c r="Z27" s="55" t="str">
        <f>Q27</f>
        <v>公共配套设施</v>
      </c>
      <c r="AA27" s="1807">
        <f>D27/F27</f>
        <v>0.95238095238095233</v>
      </c>
      <c r="AB27" s="1807">
        <f>D27/H27</f>
        <v>0.95238095238095233</v>
      </c>
      <c r="AC27" s="1807">
        <f>D27/J27</f>
        <v>1.0526315789473684</v>
      </c>
    </row>
    <row r="28" spans="1:29" s="117" customFormat="1" ht="15">
      <c r="A28" s="649"/>
      <c r="B28" s="456"/>
      <c r="C28" s="2691" t="s">
        <v>3376</v>
      </c>
      <c r="D28" s="448"/>
      <c r="E28" s="2603" t="s">
        <v>3375</v>
      </c>
      <c r="F28" s="448"/>
      <c r="G28" s="2603" t="s">
        <v>3375</v>
      </c>
      <c r="H28" s="448"/>
      <c r="I28" s="447" t="s">
        <v>3377</v>
      </c>
      <c r="J28" s="448"/>
      <c r="K28" s="672"/>
      <c r="L28" s="1129"/>
      <c r="M28" s="1130"/>
      <c r="N28" s="1130"/>
      <c r="O28" s="1131"/>
      <c r="P28" s="3326"/>
      <c r="Q28" s="1791"/>
      <c r="R28" s="770"/>
      <c r="S28" s="771"/>
      <c r="T28" s="770"/>
      <c r="U28" s="771"/>
      <c r="V28" s="770"/>
      <c r="W28" s="771"/>
      <c r="X28" s="772"/>
      <c r="Y28" s="3326"/>
      <c r="Z28" s="55"/>
      <c r="AA28" s="1807">
        <v>1</v>
      </c>
      <c r="AB28" s="1807">
        <v>1</v>
      </c>
      <c r="AC28" s="1807">
        <v>1</v>
      </c>
    </row>
    <row r="29" spans="1:29" s="117" customFormat="1" ht="41.4">
      <c r="A29" s="649"/>
      <c r="B29" s="1381" t="s">
        <v>2651</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29"/>
      <c r="M29" s="1130"/>
      <c r="N29" s="1130"/>
      <c r="O29" s="1131"/>
      <c r="P29" s="3326"/>
      <c r="Q29" s="1791" t="str">
        <f t="shared" ref="Q29" si="9">B29</f>
        <v>基础设施水平</v>
      </c>
      <c r="R29" s="770" t="s">
        <v>17</v>
      </c>
      <c r="S29" s="771">
        <f>F29</f>
        <v>100</v>
      </c>
      <c r="T29" s="770" t="s">
        <v>17</v>
      </c>
      <c r="U29" s="771">
        <f>H29</f>
        <v>100</v>
      </c>
      <c r="V29" s="770" t="s">
        <v>17</v>
      </c>
      <c r="W29" s="771">
        <f>J29</f>
        <v>100</v>
      </c>
      <c r="X29" s="772"/>
      <c r="Y29" s="3326"/>
      <c r="Z29" s="55" t="str">
        <f>Q29</f>
        <v>基础设施水平</v>
      </c>
      <c r="AA29" s="1807">
        <f>D29/F29</f>
        <v>1</v>
      </c>
      <c r="AB29" s="1807">
        <f>D29/H29</f>
        <v>1</v>
      </c>
      <c r="AC29" s="1807">
        <f>D29/J29</f>
        <v>1</v>
      </c>
    </row>
    <row r="30" spans="1:29" s="117" customFormat="1" ht="15">
      <c r="A30" s="649"/>
      <c r="B30" s="456"/>
      <c r="C30" s="2691" t="s">
        <v>3378</v>
      </c>
      <c r="D30" s="448"/>
      <c r="E30" s="2691" t="s">
        <v>3378</v>
      </c>
      <c r="F30" s="448"/>
      <c r="G30" s="2691" t="s">
        <v>3378</v>
      </c>
      <c r="H30" s="448"/>
      <c r="I30" s="2691" t="s">
        <v>3378</v>
      </c>
      <c r="J30" s="448"/>
      <c r="K30" s="672"/>
      <c r="L30" s="1129"/>
      <c r="M30" s="1130"/>
      <c r="N30" s="1130"/>
      <c r="O30" s="1131"/>
      <c r="P30" s="3326"/>
      <c r="Q30" s="1791"/>
      <c r="R30" s="770"/>
      <c r="S30" s="771"/>
      <c r="T30" s="770"/>
      <c r="U30" s="771"/>
      <c r="V30" s="770"/>
      <c r="W30" s="771"/>
      <c r="X30" s="772"/>
      <c r="Y30" s="3326"/>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26"/>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326"/>
      <c r="Z31" s="1810" t="str">
        <f t="shared" ref="Z31:Z45" si="13">Q31</f>
        <v>临街状况</v>
      </c>
      <c r="AA31" s="1807">
        <f t="shared" si="3"/>
        <v>1</v>
      </c>
      <c r="AB31" s="1807">
        <f t="shared" si="4"/>
        <v>1</v>
      </c>
      <c r="AC31" s="1807">
        <f t="shared" si="5"/>
        <v>1</v>
      </c>
    </row>
    <row r="32" spans="1:29" ht="28.8">
      <c r="A32" s="428"/>
      <c r="B32" s="1381" t="s">
        <v>2687</v>
      </c>
      <c r="C32" s="454"/>
      <c r="D32" s="450">
        <v>100</v>
      </c>
      <c r="E32" s="452"/>
      <c r="F32" s="450">
        <f>SUMIF(106:106,E33,107:107)-SUMIF(106:106,C33,107:107)+100</f>
        <v>98</v>
      </c>
      <c r="G32" s="452"/>
      <c r="H32" s="450">
        <f>SUMIF(106:106,G33,107:107)-SUMIF(106:106,C33,107:107)+100</f>
        <v>100</v>
      </c>
      <c r="I32" s="454"/>
      <c r="J32" s="450">
        <f>SUMIF(106:106,I33,107:107)-SUMIF(106:106,C33,107:107)+100</f>
        <v>100</v>
      </c>
      <c r="K32" s="673">
        <v>1</v>
      </c>
      <c r="L32" s="1137"/>
      <c r="M32" s="1128"/>
      <c r="N32" s="1128"/>
      <c r="O32" s="1136"/>
      <c r="P32" s="3326"/>
      <c r="Q32" s="1806" t="str">
        <f t="shared" si="8"/>
        <v>毗邻道路的类型与等级</v>
      </c>
      <c r="R32" s="774" t="s">
        <v>17</v>
      </c>
      <c r="S32" s="775">
        <f t="shared" si="10"/>
        <v>98</v>
      </c>
      <c r="T32" s="774" t="s">
        <v>17</v>
      </c>
      <c r="U32" s="775">
        <f t="shared" si="11"/>
        <v>100</v>
      </c>
      <c r="V32" s="774" t="s">
        <v>17</v>
      </c>
      <c r="W32" s="775">
        <f t="shared" si="12"/>
        <v>100</v>
      </c>
      <c r="X32" s="1809"/>
      <c r="Y32" s="3326"/>
      <c r="Z32" s="1810" t="str">
        <f t="shared" si="13"/>
        <v>毗邻道路的类型与等级</v>
      </c>
      <c r="AA32" s="1807">
        <f t="shared" si="3"/>
        <v>1.0204081632653061</v>
      </c>
      <c r="AB32" s="1807">
        <f t="shared" si="4"/>
        <v>1</v>
      </c>
      <c r="AC32" s="1807">
        <f t="shared" si="5"/>
        <v>1</v>
      </c>
    </row>
    <row r="33" spans="1:29" ht="15.6" thickBot="1">
      <c r="A33" s="428"/>
      <c r="B33" s="456"/>
      <c r="C33" s="447" t="s">
        <v>3384</v>
      </c>
      <c r="D33" s="448"/>
      <c r="E33" s="2603" t="s">
        <v>3387</v>
      </c>
      <c r="F33" s="448"/>
      <c r="G33" s="2603" t="s">
        <v>3384</v>
      </c>
      <c r="H33" s="448"/>
      <c r="I33" s="447" t="s">
        <v>3384</v>
      </c>
      <c r="J33" s="448"/>
      <c r="K33" s="613"/>
      <c r="L33" s="1137"/>
      <c r="M33" s="1128"/>
      <c r="N33" s="1128"/>
      <c r="O33" s="1136"/>
      <c r="P33" s="3326"/>
      <c r="Q33" s="1806"/>
      <c r="R33" s="774"/>
      <c r="S33" s="775"/>
      <c r="T33" s="774"/>
      <c r="U33" s="775"/>
      <c r="V33" s="774"/>
      <c r="W33" s="775"/>
      <c r="X33" s="1809"/>
      <c r="Y33" s="3326"/>
      <c r="Z33" s="1810"/>
      <c r="AA33" s="1807">
        <v>1</v>
      </c>
      <c r="AB33" s="1807">
        <v>1</v>
      </c>
      <c r="AC33" s="1807">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26"/>
      <c r="Q34" s="1806" t="str">
        <f t="shared" si="8"/>
        <v>土地级别</v>
      </c>
      <c r="R34" s="774" t="s">
        <v>17</v>
      </c>
      <c r="S34" s="775">
        <f t="shared" si="10"/>
        <v>100</v>
      </c>
      <c r="T34" s="774" t="s">
        <v>17</v>
      </c>
      <c r="U34" s="775">
        <f t="shared" si="11"/>
        <v>100</v>
      </c>
      <c r="V34" s="774" t="s">
        <v>17</v>
      </c>
      <c r="W34" s="775">
        <f t="shared" si="12"/>
        <v>100</v>
      </c>
      <c r="X34" s="1809"/>
      <c r="Y34" s="3326"/>
      <c r="Z34" s="1810" t="str">
        <f t="shared" si="13"/>
        <v>土地级别</v>
      </c>
      <c r="AA34" s="1807">
        <f t="shared" si="3"/>
        <v>1</v>
      </c>
      <c r="AB34" s="1807">
        <f t="shared" si="4"/>
        <v>1</v>
      </c>
      <c r="AC34" s="1807">
        <f t="shared" si="5"/>
        <v>1</v>
      </c>
    </row>
    <row r="35" spans="1:29" ht="15" hidden="1">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26"/>
      <c r="Q35" s="1806">
        <f t="shared" si="8"/>
        <v>111</v>
      </c>
      <c r="R35" s="774" t="s">
        <v>17</v>
      </c>
      <c r="S35" s="775">
        <f t="shared" si="10"/>
        <v>100</v>
      </c>
      <c r="T35" s="774" t="s">
        <v>17</v>
      </c>
      <c r="U35" s="775">
        <f t="shared" si="11"/>
        <v>100</v>
      </c>
      <c r="V35" s="774" t="s">
        <v>17</v>
      </c>
      <c r="W35" s="775">
        <f t="shared" si="12"/>
        <v>100</v>
      </c>
      <c r="X35" s="1809"/>
      <c r="Y35" s="3326"/>
      <c r="Z35" s="1810">
        <f t="shared" si="13"/>
        <v>111</v>
      </c>
      <c r="AA35" s="1807">
        <f t="shared" si="3"/>
        <v>1</v>
      </c>
      <c r="AB35" s="1807">
        <f t="shared" si="4"/>
        <v>1</v>
      </c>
      <c r="AC35" s="1807">
        <f t="shared" si="5"/>
        <v>1</v>
      </c>
    </row>
    <row r="36" spans="1:29" ht="15" hidden="1">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27" t="s">
        <v>2561</v>
      </c>
      <c r="Q36" s="1806">
        <f t="shared" si="8"/>
        <v>111</v>
      </c>
      <c r="R36" s="774" t="s">
        <v>17</v>
      </c>
      <c r="S36" s="775">
        <f t="shared" si="10"/>
        <v>100</v>
      </c>
      <c r="T36" s="774" t="s">
        <v>17</v>
      </c>
      <c r="U36" s="775">
        <f t="shared" si="11"/>
        <v>100</v>
      </c>
      <c r="V36" s="774" t="s">
        <v>17</v>
      </c>
      <c r="W36" s="775">
        <f t="shared" si="12"/>
        <v>100</v>
      </c>
      <c r="X36" s="1809"/>
      <c r="Y36" s="3328" t="s">
        <v>2561</v>
      </c>
      <c r="Z36" s="1810">
        <f t="shared" si="13"/>
        <v>111</v>
      </c>
      <c r="AA36" s="1807">
        <f t="shared" si="3"/>
        <v>1</v>
      </c>
      <c r="AB36" s="1807">
        <f t="shared" si="4"/>
        <v>1</v>
      </c>
      <c r="AC36" s="1807">
        <f t="shared" si="5"/>
        <v>1</v>
      </c>
    </row>
    <row r="37" spans="1:29" s="471" customFormat="1" ht="15.6" hidden="1"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28"/>
      <c r="Q37" s="1806">
        <f t="shared" si="8"/>
        <v>111</v>
      </c>
      <c r="R37" s="777" t="s">
        <v>17</v>
      </c>
      <c r="S37" s="778">
        <f t="shared" si="10"/>
        <v>100</v>
      </c>
      <c r="T37" s="777" t="s">
        <v>17</v>
      </c>
      <c r="U37" s="778">
        <f t="shared" si="11"/>
        <v>100</v>
      </c>
      <c r="V37" s="777" t="s">
        <v>17</v>
      </c>
      <c r="W37" s="778">
        <f t="shared" si="12"/>
        <v>100</v>
      </c>
      <c r="X37" s="779"/>
      <c r="Y37" s="3328"/>
      <c r="Z37" s="780">
        <f t="shared" si="13"/>
        <v>111</v>
      </c>
      <c r="AA37" s="1807">
        <f t="shared" si="3"/>
        <v>1</v>
      </c>
      <c r="AB37" s="1807">
        <f t="shared" si="4"/>
        <v>1</v>
      </c>
      <c r="AC37" s="1807">
        <f t="shared" si="5"/>
        <v>1</v>
      </c>
    </row>
    <row r="38" spans="1:29" ht="15.6">
      <c r="A38" s="472" t="s">
        <v>2559</v>
      </c>
      <c r="B38" s="456" t="s">
        <v>2747</v>
      </c>
      <c r="C38" s="679">
        <f>'数据-基础表'!A3</f>
        <v>199387</v>
      </c>
      <c r="D38" s="467">
        <v>100</v>
      </c>
      <c r="E38" s="679">
        <f>土地案例!I2</f>
        <v>14615</v>
      </c>
      <c r="F38" s="467">
        <f>LOOKUP(E38,117:117,118:118)-LOOKUP(C38,117:117,118:118)+100</f>
        <v>99</v>
      </c>
      <c r="G38" s="679">
        <f>土地案例!I12</f>
        <v>26557</v>
      </c>
      <c r="H38" s="467">
        <f>LOOKUP(G38,117:117,118:118)-LOOKUP(C38,117:117,118:118)+100</f>
        <v>99</v>
      </c>
      <c r="I38" s="530">
        <f>土地案例!I15</f>
        <v>40723.120000000003</v>
      </c>
      <c r="J38" s="467">
        <f>LOOKUP(I38,117:117,118:118)-LOOKUP(C38,117:117,118:118)+100</f>
        <v>99</v>
      </c>
      <c r="K38" s="613"/>
      <c r="L38" s="1137"/>
      <c r="M38" s="1128"/>
      <c r="N38" s="1128"/>
      <c r="O38" s="1136"/>
      <c r="P38" s="3328"/>
      <c r="Q38" s="1806" t="str">
        <f>B38</f>
        <v>宗地面积</v>
      </c>
      <c r="R38" s="774" t="s">
        <v>17</v>
      </c>
      <c r="S38" s="775">
        <f t="shared" si="10"/>
        <v>99</v>
      </c>
      <c r="T38" s="774" t="s">
        <v>17</v>
      </c>
      <c r="U38" s="775">
        <f t="shared" si="11"/>
        <v>99</v>
      </c>
      <c r="V38" s="774" t="s">
        <v>17</v>
      </c>
      <c r="W38" s="775">
        <f t="shared" si="12"/>
        <v>99</v>
      </c>
      <c r="X38" s="1809"/>
      <c r="Y38" s="3328"/>
      <c r="Z38" s="1810" t="str">
        <f t="shared" si="13"/>
        <v>宗地面积</v>
      </c>
      <c r="AA38" s="1807">
        <f t="shared" si="3"/>
        <v>1.0101010101010102</v>
      </c>
      <c r="AB38" s="1807">
        <f t="shared" si="4"/>
        <v>1.0101010101010102</v>
      </c>
      <c r="AC38" s="1807">
        <f t="shared" si="5"/>
        <v>1.0101010101010102</v>
      </c>
    </row>
    <row r="39" spans="1:29" ht="15">
      <c r="A39" s="472"/>
      <c r="B39" s="422" t="s">
        <v>2748</v>
      </c>
      <c r="C39" s="2605" t="s">
        <v>3379</v>
      </c>
      <c r="D39" s="435">
        <v>100</v>
      </c>
      <c r="E39" s="2605" t="s">
        <v>3379</v>
      </c>
      <c r="F39" s="435">
        <f>SUMIF(119:119,E39,120:120)-SUMIF(119:119,C39,120:120)+100</f>
        <v>100</v>
      </c>
      <c r="G39" s="2605" t="s">
        <v>3379</v>
      </c>
      <c r="H39" s="435">
        <f>SUMIF(119:119,G39,120:120)-SUMIF(119:119,C39,120:120)+100</f>
        <v>100</v>
      </c>
      <c r="I39" s="2605" t="s">
        <v>3379</v>
      </c>
      <c r="J39" s="435">
        <f>SUMIF(119:119,I39,120:120)-SUMIF(119:119,C39,120:120)+100</f>
        <v>100</v>
      </c>
      <c r="K39" s="612">
        <v>1</v>
      </c>
      <c r="L39" s="1137"/>
      <c r="M39" s="1128"/>
      <c r="N39" s="1128"/>
      <c r="O39" s="1136"/>
      <c r="P39" s="3328"/>
      <c r="Q39" s="1806" t="str">
        <f t="shared" ref="Q39:Q45" si="14">B39</f>
        <v>宗地形状</v>
      </c>
      <c r="R39" s="774" t="s">
        <v>17</v>
      </c>
      <c r="S39" s="775">
        <f t="shared" si="10"/>
        <v>100</v>
      </c>
      <c r="T39" s="774" t="s">
        <v>17</v>
      </c>
      <c r="U39" s="775">
        <f t="shared" si="11"/>
        <v>100</v>
      </c>
      <c r="V39" s="774" t="s">
        <v>17</v>
      </c>
      <c r="W39" s="775">
        <f t="shared" si="12"/>
        <v>100</v>
      </c>
      <c r="X39" s="1809"/>
      <c r="Y39" s="3328"/>
      <c r="Z39" s="1810" t="str">
        <f t="shared" si="13"/>
        <v>宗地形状</v>
      </c>
      <c r="AA39" s="1807">
        <f t="shared" si="3"/>
        <v>1</v>
      </c>
      <c r="AB39" s="1807">
        <f t="shared" si="4"/>
        <v>1</v>
      </c>
      <c r="AC39" s="1807">
        <f t="shared" si="5"/>
        <v>1</v>
      </c>
    </row>
    <row r="40" spans="1:29" ht="15" hidden="1">
      <c r="A40" s="472"/>
      <c r="B40" s="422" t="s">
        <v>2749</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7"/>
      <c r="M40" s="1128"/>
      <c r="N40" s="1128"/>
      <c r="O40" s="1136"/>
      <c r="P40" s="3328"/>
      <c r="Q40" s="1806" t="str">
        <f t="shared" si="14"/>
        <v>临街宽度及深度</v>
      </c>
      <c r="R40" s="774" t="s">
        <v>17</v>
      </c>
      <c r="S40" s="775">
        <f t="shared" si="10"/>
        <v>100</v>
      </c>
      <c r="T40" s="774" t="s">
        <v>17</v>
      </c>
      <c r="U40" s="775">
        <f t="shared" si="11"/>
        <v>100</v>
      </c>
      <c r="V40" s="774" t="s">
        <v>17</v>
      </c>
      <c r="W40" s="775">
        <f t="shared" si="12"/>
        <v>100</v>
      </c>
      <c r="X40" s="1809"/>
      <c r="Y40" s="3328"/>
      <c r="Z40" s="1810" t="str">
        <f t="shared" si="13"/>
        <v>临街宽度及深度</v>
      </c>
      <c r="AA40" s="1807">
        <f t="shared" si="3"/>
        <v>1</v>
      </c>
      <c r="AB40" s="1807">
        <f t="shared" si="4"/>
        <v>1</v>
      </c>
      <c r="AC40" s="1807">
        <f t="shared" si="5"/>
        <v>1</v>
      </c>
    </row>
    <row r="41" spans="1:29" s="117" customFormat="1" ht="15">
      <c r="A41" s="473"/>
      <c r="B41" s="422" t="s">
        <v>2750</v>
      </c>
      <c r="C41" s="2693" t="s">
        <v>3378</v>
      </c>
      <c r="D41" s="136">
        <v>100</v>
      </c>
      <c r="E41" s="2693" t="s">
        <v>3378</v>
      </c>
      <c r="F41" s="435">
        <f>SUMIF(123:123,E41,124:124)-SUMIF(123:123,C41,124:124)+100</f>
        <v>100</v>
      </c>
      <c r="G41" s="2693" t="s">
        <v>3378</v>
      </c>
      <c r="H41" s="435">
        <f>SUMIF(123:123,G41,124:124)-SUMIF(123:123,C41,124:124)+100</f>
        <v>100</v>
      </c>
      <c r="I41" s="2693" t="s">
        <v>3378</v>
      </c>
      <c r="J41" s="435">
        <f>SUMIF(123:123,I41,124:124)-SUMIF(123:123,C41,124:124)+100</f>
        <v>100</v>
      </c>
      <c r="K41" s="612">
        <v>1</v>
      </c>
      <c r="L41" s="1129"/>
      <c r="M41" s="1130"/>
      <c r="N41" s="1130"/>
      <c r="O41" s="1131"/>
      <c r="P41" s="3328"/>
      <c r="Q41" s="1806" t="str">
        <f t="shared" si="14"/>
        <v>宗地开发程度</v>
      </c>
      <c r="R41" s="770" t="s">
        <v>17</v>
      </c>
      <c r="S41" s="771">
        <f t="shared" si="10"/>
        <v>100</v>
      </c>
      <c r="T41" s="770" t="s">
        <v>17</v>
      </c>
      <c r="U41" s="771">
        <f t="shared" si="11"/>
        <v>100</v>
      </c>
      <c r="V41" s="770" t="s">
        <v>17</v>
      </c>
      <c r="W41" s="771">
        <f t="shared" si="12"/>
        <v>100</v>
      </c>
      <c r="X41" s="772"/>
      <c r="Y41" s="3328"/>
      <c r="Z41" s="55" t="str">
        <f t="shared" si="13"/>
        <v>宗地开发程度</v>
      </c>
      <c r="AA41" s="773">
        <f t="shared" si="3"/>
        <v>1</v>
      </c>
      <c r="AB41" s="773">
        <f t="shared" si="4"/>
        <v>1</v>
      </c>
      <c r="AC41" s="773">
        <f t="shared" si="5"/>
        <v>1</v>
      </c>
    </row>
    <row r="42" spans="1:29" ht="15.6" thickBot="1">
      <c r="A42" s="472"/>
      <c r="B42" s="422" t="s">
        <v>2751</v>
      </c>
      <c r="C42" s="2605" t="s">
        <v>3375</v>
      </c>
      <c r="D42" s="435">
        <v>100</v>
      </c>
      <c r="E42" s="2605" t="s">
        <v>3375</v>
      </c>
      <c r="F42" s="435">
        <f>SUMIF(125:125,E42,126:126)-SUMIF(125:125,C42,126:126)+100</f>
        <v>100</v>
      </c>
      <c r="G42" s="2605" t="s">
        <v>3375</v>
      </c>
      <c r="H42" s="435">
        <f>SUMIF(125:125,G42,126:126)-SUMIF(125:125,C42,126:126)+100</f>
        <v>100</v>
      </c>
      <c r="I42" s="2605" t="s">
        <v>3375</v>
      </c>
      <c r="J42" s="435">
        <f>SUMIF(125:125,I42,126:126)-SUMIF(125:125,C42,126:126)+100</f>
        <v>100</v>
      </c>
      <c r="K42" s="612">
        <v>1</v>
      </c>
      <c r="L42" s="1137"/>
      <c r="M42" s="1128"/>
      <c r="N42" s="1128"/>
      <c r="O42" s="1136"/>
      <c r="P42" s="3328" t="s">
        <v>2561</v>
      </c>
      <c r="Q42" s="1806" t="str">
        <f t="shared" si="14"/>
        <v>工程地质条件</v>
      </c>
      <c r="R42" s="774" t="s">
        <v>17</v>
      </c>
      <c r="S42" s="775">
        <f t="shared" si="10"/>
        <v>100</v>
      </c>
      <c r="T42" s="774" t="s">
        <v>17</v>
      </c>
      <c r="U42" s="775">
        <f t="shared" si="11"/>
        <v>100</v>
      </c>
      <c r="V42" s="774" t="s">
        <v>17</v>
      </c>
      <c r="W42" s="775">
        <f t="shared" si="12"/>
        <v>100</v>
      </c>
      <c r="X42" s="1809"/>
      <c r="Y42" s="3328" t="s">
        <v>2561</v>
      </c>
      <c r="Z42" s="1810" t="str">
        <f t="shared" si="13"/>
        <v>工程地质条件</v>
      </c>
      <c r="AA42" s="1807">
        <f t="shared" si="3"/>
        <v>1</v>
      </c>
      <c r="AB42" s="1807">
        <f t="shared" si="4"/>
        <v>1</v>
      </c>
      <c r="AC42" s="1807">
        <f t="shared" si="5"/>
        <v>1</v>
      </c>
    </row>
    <row r="43" spans="1:29" ht="15" hidden="1">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28"/>
      <c r="Q43" s="1806">
        <f t="shared" si="14"/>
        <v>111</v>
      </c>
      <c r="R43" s="774" t="s">
        <v>17</v>
      </c>
      <c r="S43" s="775">
        <f t="shared" si="10"/>
        <v>100</v>
      </c>
      <c r="T43" s="774" t="s">
        <v>17</v>
      </c>
      <c r="U43" s="775">
        <f t="shared" si="11"/>
        <v>100</v>
      </c>
      <c r="V43" s="774" t="s">
        <v>17</v>
      </c>
      <c r="W43" s="775">
        <f t="shared" si="12"/>
        <v>100</v>
      </c>
      <c r="X43" s="1809"/>
      <c r="Y43" s="3328"/>
      <c r="Z43" s="1810">
        <f t="shared" si="13"/>
        <v>111</v>
      </c>
      <c r="AA43" s="1807">
        <f t="shared" si="3"/>
        <v>1</v>
      </c>
      <c r="AB43" s="1807">
        <f t="shared" si="4"/>
        <v>1</v>
      </c>
      <c r="AC43" s="1807">
        <f t="shared" si="5"/>
        <v>1</v>
      </c>
    </row>
    <row r="44" spans="1:29" ht="15" hidden="1">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28"/>
      <c r="Q44" s="1806">
        <f t="shared" si="14"/>
        <v>111</v>
      </c>
      <c r="R44" s="774" t="s">
        <v>17</v>
      </c>
      <c r="S44" s="775">
        <f t="shared" si="10"/>
        <v>100</v>
      </c>
      <c r="T44" s="774" t="s">
        <v>17</v>
      </c>
      <c r="U44" s="775">
        <f t="shared" si="11"/>
        <v>100</v>
      </c>
      <c r="V44" s="774" t="s">
        <v>17</v>
      </c>
      <c r="W44" s="775">
        <f t="shared" si="12"/>
        <v>100</v>
      </c>
      <c r="X44" s="1809"/>
      <c r="Y44" s="3328"/>
      <c r="Z44" s="1810">
        <f t="shared" si="13"/>
        <v>111</v>
      </c>
      <c r="AA44" s="1807">
        <f t="shared" si="3"/>
        <v>1</v>
      </c>
      <c r="AB44" s="1807">
        <f t="shared" si="4"/>
        <v>1</v>
      </c>
      <c r="AC44" s="1807">
        <f t="shared" si="5"/>
        <v>1</v>
      </c>
    </row>
    <row r="45" spans="1:29" s="471" customFormat="1" ht="15.6" hidden="1" thickBot="1">
      <c r="A45" s="468"/>
      <c r="B45" s="1384">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28"/>
      <c r="Q45" s="1806">
        <f t="shared" si="14"/>
        <v>111</v>
      </c>
      <c r="R45" s="777" t="s">
        <v>17</v>
      </c>
      <c r="S45" s="778">
        <f t="shared" si="10"/>
        <v>100</v>
      </c>
      <c r="T45" s="777" t="s">
        <v>17</v>
      </c>
      <c r="U45" s="778">
        <f t="shared" si="11"/>
        <v>100</v>
      </c>
      <c r="V45" s="777" t="s">
        <v>17</v>
      </c>
      <c r="W45" s="778">
        <f t="shared" si="12"/>
        <v>100</v>
      </c>
      <c r="X45" s="779"/>
      <c r="Y45" s="3328"/>
      <c r="Z45" s="780">
        <f t="shared" si="13"/>
        <v>111</v>
      </c>
      <c r="AA45" s="1807">
        <f t="shared" si="3"/>
        <v>1</v>
      </c>
      <c r="AB45" s="1807">
        <f t="shared" si="4"/>
        <v>1</v>
      </c>
      <c r="AC45" s="1807">
        <f t="shared" si="5"/>
        <v>1</v>
      </c>
    </row>
    <row r="46" spans="1:29" ht="14.4">
      <c r="A46" s="479" t="s">
        <v>2716</v>
      </c>
      <c r="B46" s="2695" t="s">
        <v>2752</v>
      </c>
      <c r="C46" s="682" t="s">
        <v>1</v>
      </c>
      <c r="D46" s="481"/>
      <c r="E46" s="482">
        <f>ROUNDDOWN(土地案例!Q2,0)</f>
        <v>12096</v>
      </c>
      <c r="F46" s="483"/>
      <c r="G46" s="484">
        <f>ROUNDDOWN(土地案例!Q12,0)</f>
        <v>13157</v>
      </c>
      <c r="H46" s="485"/>
      <c r="I46" s="482">
        <f>ROUNDDOWN(土地案例!Q15,0)</f>
        <v>11104</v>
      </c>
      <c r="J46" s="485"/>
      <c r="K46" s="783"/>
      <c r="L46" s="1140"/>
      <c r="M46" s="1141"/>
      <c r="N46" s="1128"/>
      <c r="O46" s="1141"/>
      <c r="P46" s="3310" t="str">
        <f>A46</f>
        <v>成交单价</v>
      </c>
      <c r="Q46" s="3310"/>
      <c r="R46" s="3323">
        <f>E46</f>
        <v>12096</v>
      </c>
      <c r="S46" s="3323"/>
      <c r="T46" s="3323">
        <f>G46</f>
        <v>13157</v>
      </c>
      <c r="U46" s="3323"/>
      <c r="V46" s="3323">
        <f>I46</f>
        <v>11104</v>
      </c>
      <c r="W46" s="3323"/>
      <c r="X46" s="759"/>
      <c r="Y46" s="781"/>
      <c r="Z46" s="759"/>
      <c r="AA46" s="759"/>
      <c r="AB46" s="759"/>
      <c r="AC46" s="759"/>
    </row>
    <row r="47" spans="1:29" ht="15" thickBot="1">
      <c r="A47" s="486" t="s">
        <v>2665</v>
      </c>
      <c r="B47" s="683"/>
      <c r="C47" s="490">
        <f>R48</f>
        <v>11272</v>
      </c>
      <c r="D47" s="489"/>
      <c r="E47" s="490">
        <f>R47</f>
        <v>10783</v>
      </c>
      <c r="F47" s="491"/>
      <c r="G47" s="488">
        <f>T47</f>
        <v>11377</v>
      </c>
      <c r="H47" s="489"/>
      <c r="I47" s="490">
        <f>V47</f>
        <v>11657</v>
      </c>
      <c r="J47" s="489"/>
      <c r="K47" s="784"/>
      <c r="L47" s="1140"/>
      <c r="M47" s="1141"/>
      <c r="N47" s="1141"/>
      <c r="O47" s="1141"/>
      <c r="P47" s="3310" t="str">
        <f>A47</f>
        <v>比较价值（元/平方米）</v>
      </c>
      <c r="Q47" s="3310"/>
      <c r="R47" s="3329">
        <f>ROUND(PRODUCT(R46,AA7:AA45),0)</f>
        <v>10783</v>
      </c>
      <c r="S47" s="3329"/>
      <c r="T47" s="3329">
        <f>ROUND(PRODUCT(T46,AB7:AB45),0)</f>
        <v>11377</v>
      </c>
      <c r="U47" s="3329"/>
      <c r="V47" s="3329">
        <f>ROUND(PRODUCT(V46,AC7:AC45),0)</f>
        <v>11657</v>
      </c>
      <c r="W47" s="3329"/>
      <c r="X47" s="759"/>
      <c r="Y47" s="759"/>
      <c r="Z47" s="759"/>
      <c r="AA47" s="759"/>
      <c r="AB47" s="759"/>
      <c r="AC47" s="759"/>
    </row>
    <row r="48" spans="1:29" ht="15" thickBot="1">
      <c r="A48" s="492" t="s">
        <v>2753</v>
      </c>
      <c r="B48" s="493"/>
      <c r="C48" s="494">
        <f>R48</f>
        <v>11272</v>
      </c>
      <c r="D48" s="494"/>
      <c r="E48" s="494"/>
      <c r="F48" s="494"/>
      <c r="G48" s="494"/>
      <c r="H48" s="494"/>
      <c r="I48" s="494"/>
      <c r="J48" s="494"/>
      <c r="K48" s="785"/>
      <c r="L48" s="1140"/>
      <c r="M48" s="1141"/>
      <c r="N48" s="1141"/>
      <c r="O48" s="1141"/>
      <c r="P48" s="3330" t="str">
        <f>A48</f>
        <v>估价对象XX用房的比较价值（楼面单价，元/平方米）</v>
      </c>
      <c r="Q48" s="3331"/>
      <c r="R48" s="3332">
        <f>ROUND(AVERAGE(R47:V47),0)</f>
        <v>11272</v>
      </c>
      <c r="S48" s="3332"/>
      <c r="T48" s="3332"/>
      <c r="U48" s="3332"/>
      <c r="V48" s="3332"/>
      <c r="W48" s="333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f>IF(E46&lt;E47,E47/E46-1,E46/E47-1)</f>
        <v>0.12176574237225268</v>
      </c>
      <c r="F51" s="500" t="str">
        <f>IF(OR(E51&gt;=0.3,E51&lt;=-0.3),"超过30%","")</f>
        <v/>
      </c>
      <c r="G51" s="499">
        <f>IF(G46&lt;G47,G47/G46-1,G46/G47-1)</f>
        <v>0.15645600773490376</v>
      </c>
      <c r="H51" s="500" t="str">
        <f>IF(OR(G51&gt;=0.3,G51&lt;=-0.3),"超过30%","")</f>
        <v/>
      </c>
      <c r="I51" s="499">
        <f>IF(I46&lt;I47,I47/I46-1,I46/I47-1)</f>
        <v>4.9801873198847213E-2</v>
      </c>
      <c r="J51" s="500" t="str">
        <f>IF(OR(I51&gt;=0.3,I51&lt;=-0.3),"超过30%","")</f>
        <v/>
      </c>
      <c r="K51" s="1102"/>
      <c r="L51" s="1103"/>
      <c r="M51" s="1141"/>
      <c r="N51" s="1141"/>
      <c r="O51" s="1141"/>
    </row>
    <row r="52" spans="1:15" ht="13.5" customHeight="1">
      <c r="A52" s="1141"/>
      <c r="B52" s="1141"/>
      <c r="C52" s="497" t="s">
        <v>2668</v>
      </c>
      <c r="D52" s="501"/>
      <c r="E52" s="499">
        <f>IF(E47&lt;G47,G47/E47-1,E47/G47-1)</f>
        <v>5.5086710562923136E-2</v>
      </c>
      <c r="F52" s="500" t="str">
        <f>IF(OR(E52&gt;=0.2,E52&lt;=-0.2),"超过20%","")</f>
        <v/>
      </c>
      <c r="G52" s="499">
        <f>IF(G47&lt;I47,I47/G47-1,G47/I47-1)</f>
        <v>2.4611057396501712E-2</v>
      </c>
      <c r="H52" s="500" t="str">
        <f>IF(OR(G52&gt;=0.2,G52&lt;=-0.2),"超过20%","")</f>
        <v/>
      </c>
      <c r="I52" s="499">
        <f>IF(I47&lt;E47,E47/I47-1,I47/E47-1)</f>
        <v>8.1053510154873498E-2</v>
      </c>
      <c r="J52" s="500" t="str">
        <f>IF(OR(I52&gt;=0.2,I52&lt;=-0.2),"超过20%","")</f>
        <v/>
      </c>
      <c r="K52" s="1102"/>
      <c r="L52" s="1103"/>
      <c r="M52" s="1141"/>
      <c r="N52" s="1141"/>
      <c r="O52" s="1141"/>
    </row>
    <row r="53" spans="1:15" s="502" customFormat="1" ht="13.5" customHeight="1">
      <c r="A53" s="1142"/>
      <c r="B53" s="1142"/>
      <c r="C53" s="497" t="s">
        <v>2669</v>
      </c>
      <c r="D53" s="501"/>
      <c r="E53" s="499">
        <f>IF(E46&lt;G46,G46/E46-1,E46/G46-1)</f>
        <v>8.7714947089946982E-2</v>
      </c>
      <c r="F53" s="500" t="str">
        <f>IF(OR(E53&gt;=0.3,E53&lt;=-0.3),"超过30%","")</f>
        <v/>
      </c>
      <c r="G53" s="499">
        <f>IF(G46&lt;I46,I46/G46-1,G46/I46-1)</f>
        <v>0.18488832853025938</v>
      </c>
      <c r="H53" s="500" t="str">
        <f>IF(OR(G53&gt;=0.3,G53&lt;=-0.3),"超过30%","")</f>
        <v/>
      </c>
      <c r="I53" s="499">
        <f>IF(I46&lt;E46,E46/I46-1,I46/E46-1)</f>
        <v>8.9337175792507217E-2</v>
      </c>
      <c r="J53" s="500" t="str">
        <f>IF(OR(I53&gt;=0.3,I53&lt;=-0.3),"超过30%","")</f>
        <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696" t="s">
        <v>2756</v>
      </c>
      <c r="D55" s="2697" t="s">
        <v>2757</v>
      </c>
      <c r="E55" s="686" t="s">
        <v>2758</v>
      </c>
      <c r="F55" s="1104" t="s">
        <v>2759</v>
      </c>
      <c r="G55" s="3311" t="s">
        <v>2760</v>
      </c>
      <c r="H55" s="3333"/>
      <c r="I55" s="144" t="s">
        <v>2761</v>
      </c>
      <c r="J55" s="2698" t="str">
        <f>项目基本情况!F35</f>
        <v>福建省福州市</v>
      </c>
      <c r="K55" s="2699" t="s">
        <v>2762</v>
      </c>
      <c r="L55" s="1103"/>
      <c r="M55" s="1141"/>
      <c r="N55" s="1141"/>
      <c r="O55" s="1141"/>
    </row>
    <row r="56" spans="1:15" s="692" customFormat="1">
      <c r="A56" s="688" t="s">
        <v>2763</v>
      </c>
      <c r="B56" s="689">
        <f>C48</f>
        <v>11272</v>
      </c>
      <c r="C56" s="690">
        <v>1</v>
      </c>
      <c r="D56" s="1160">
        <v>1</v>
      </c>
      <c r="E56" s="690">
        <f>'数据-汇总表'!E8+'数据-汇总表'!E9</f>
        <v>30810.510000000002</v>
      </c>
      <c r="F56" s="1100">
        <f t="shared" ref="F56:F65" si="15">ROUND(B56*E56/10000,0)</f>
        <v>34730</v>
      </c>
      <c r="G56" s="3334"/>
      <c r="H56" s="3310"/>
      <c r="I56" s="1105">
        <v>1</v>
      </c>
      <c r="J56" s="1108">
        <v>1</v>
      </c>
      <c r="K56" s="1142"/>
      <c r="L56" s="938"/>
      <c r="M56" s="938"/>
      <c r="N56" s="938"/>
      <c r="O56" s="938"/>
    </row>
    <row r="57" spans="1:15" s="692" customFormat="1">
      <c r="A57" s="693" t="s">
        <v>2764</v>
      </c>
      <c r="B57" s="262">
        <f>ROUND($C$48*C57*D57,0)</f>
        <v>0</v>
      </c>
      <c r="C57" s="200">
        <f t="shared" ref="C57:C65" si="16">IF($C$55="北京市系数",I57,J57)</f>
        <v>0</v>
      </c>
      <c r="D57" s="1161">
        <v>0.25</v>
      </c>
      <c r="E57" s="694"/>
      <c r="F57" s="1100">
        <f t="shared" si="15"/>
        <v>0</v>
      </c>
      <c r="G57" s="3335" t="s">
        <v>2765</v>
      </c>
      <c r="H57" s="1101">
        <f>项目基本情况!B37</f>
        <v>0</v>
      </c>
      <c r="I57" s="1105">
        <f>SUMIF(修正!A45:A56,H57,修正!B45:B56)</f>
        <v>0</v>
      </c>
      <c r="J57" s="1109"/>
      <c r="K57" s="1141"/>
      <c r="L57" s="938"/>
      <c r="M57" s="938"/>
      <c r="N57" s="938"/>
      <c r="O57" s="938"/>
    </row>
    <row r="58" spans="1:15" s="692" customFormat="1">
      <c r="A58" s="693" t="s">
        <v>2766</v>
      </c>
      <c r="B58" s="262">
        <f t="shared" ref="B58:B65" si="17">ROUND($C$48*C58*D58,0)</f>
        <v>0</v>
      </c>
      <c r="C58" s="200">
        <f t="shared" si="16"/>
        <v>0</v>
      </c>
      <c r="D58" s="1161">
        <v>0.25</v>
      </c>
      <c r="E58" s="694"/>
      <c r="F58" s="1100">
        <f t="shared" si="15"/>
        <v>0</v>
      </c>
      <c r="G58" s="3335"/>
      <c r="H58" s="1101">
        <f>项目基本情况!B37</f>
        <v>0</v>
      </c>
      <c r="I58" s="1105">
        <f>SUMIF(修正!A45:A56,H58,修正!C45:C56)</f>
        <v>0</v>
      </c>
      <c r="J58" s="1109"/>
      <c r="K58" s="1142"/>
      <c r="L58" s="938"/>
      <c r="M58" s="938"/>
      <c r="N58" s="938"/>
      <c r="O58" s="938"/>
    </row>
    <row r="59" spans="1:15" s="692" customFormat="1">
      <c r="A59" s="693" t="s">
        <v>2767</v>
      </c>
      <c r="B59" s="262">
        <f t="shared" si="17"/>
        <v>0</v>
      </c>
      <c r="C59" s="200">
        <f t="shared" si="16"/>
        <v>0</v>
      </c>
      <c r="D59" s="1161">
        <v>0.25</v>
      </c>
      <c r="E59" s="694"/>
      <c r="F59" s="1100">
        <f t="shared" si="15"/>
        <v>0</v>
      </c>
      <c r="G59" s="3335"/>
      <c r="H59" s="1101">
        <f>项目基本情况!B37</f>
        <v>0</v>
      </c>
      <c r="I59" s="1105">
        <f>SUMIF(修正!A45:A56,H59,修正!D45:D56)</f>
        <v>0</v>
      </c>
      <c r="J59" s="1109"/>
      <c r="K59" s="1141"/>
      <c r="L59" s="938"/>
      <c r="M59" s="938"/>
      <c r="N59" s="938"/>
      <c r="O59" s="938"/>
    </row>
    <row r="60" spans="1:15" s="692" customFormat="1">
      <c r="A60" s="693" t="s">
        <v>2768</v>
      </c>
      <c r="B60" s="262">
        <f t="shared" si="17"/>
        <v>0</v>
      </c>
      <c r="C60" s="200">
        <f t="shared" si="16"/>
        <v>0</v>
      </c>
      <c r="D60" s="1161">
        <v>0.25</v>
      </c>
      <c r="E60" s="694"/>
      <c r="F60" s="1100">
        <f t="shared" si="15"/>
        <v>0</v>
      </c>
      <c r="G60" s="3335"/>
      <c r="H60" s="1101">
        <f>项目基本情况!B37</f>
        <v>0</v>
      </c>
      <c r="I60" s="1105">
        <f>SUMIF(修正!A45:A56,H60,修正!E45:E56)</f>
        <v>0</v>
      </c>
      <c r="J60" s="1109"/>
      <c r="K60" s="1142"/>
      <c r="L60" s="938"/>
      <c r="M60" s="938"/>
      <c r="N60" s="938"/>
      <c r="O60" s="938"/>
    </row>
    <row r="61" spans="1:15" s="692" customFormat="1">
      <c r="A61" s="693" t="s">
        <v>2769</v>
      </c>
      <c r="B61" s="262">
        <f t="shared" si="17"/>
        <v>0</v>
      </c>
      <c r="C61" s="200">
        <f t="shared" si="16"/>
        <v>0</v>
      </c>
      <c r="D61" s="1161">
        <v>0.25</v>
      </c>
      <c r="E61" s="261">
        <f>'数据-汇总表'!E11</f>
        <v>0</v>
      </c>
      <c r="F61" s="1100">
        <f t="shared" si="15"/>
        <v>0</v>
      </c>
      <c r="G61" s="2700" t="s">
        <v>2770</v>
      </c>
      <c r="H61" s="1101">
        <f>项目基本情况!C37</f>
        <v>0</v>
      </c>
      <c r="I61" s="1105">
        <f>SUMIF(修正!A45:A56,H61,修正!F45:F56)</f>
        <v>0</v>
      </c>
      <c r="J61" s="1109"/>
      <c r="K61" s="1141"/>
      <c r="L61" s="938"/>
      <c r="M61" s="938"/>
      <c r="N61" s="938"/>
      <c r="O61" s="938"/>
    </row>
    <row r="62" spans="1:15" s="692" customFormat="1">
      <c r="A62" s="693" t="s">
        <v>2771</v>
      </c>
      <c r="B62" s="262">
        <f t="shared" si="17"/>
        <v>0</v>
      </c>
      <c r="C62" s="200">
        <f t="shared" si="16"/>
        <v>0</v>
      </c>
      <c r="D62" s="1161">
        <v>0.25</v>
      </c>
      <c r="E62" s="261">
        <f>'数据-汇总表'!E12</f>
        <v>0</v>
      </c>
      <c r="F62" s="1100">
        <f t="shared" si="15"/>
        <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f t="shared" si="17"/>
        <v>0</v>
      </c>
      <c r="C63" s="200">
        <f t="shared" si="16"/>
        <v>0</v>
      </c>
      <c r="D63" s="1161">
        <v>0.25</v>
      </c>
      <c r="E63" s="261">
        <f>'数据-汇总表'!E13</f>
        <v>36026.980000000003</v>
      </c>
      <c r="F63" s="1100">
        <f t="shared" si="15"/>
        <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f t="shared" si="17"/>
        <v>0</v>
      </c>
      <c r="C64" s="200">
        <f t="shared" si="16"/>
        <v>0</v>
      </c>
      <c r="D64" s="1161">
        <v>0.25</v>
      </c>
      <c r="E64" s="261">
        <f>'数据-汇总表'!E14</f>
        <v>0</v>
      </c>
      <c r="F64" s="1100">
        <f t="shared" si="15"/>
        <v>0</v>
      </c>
      <c r="G64" s="2700" t="s">
        <v>2765</v>
      </c>
      <c r="H64" s="1101">
        <f>项目基本情况!B37</f>
        <v>0</v>
      </c>
      <c r="I64" s="1105">
        <f>SUMIF(修正!A45:A56,H64,修正!H45:H56)</f>
        <v>0</v>
      </c>
      <c r="J64" s="1109"/>
      <c r="K64" s="1142"/>
      <c r="L64" s="938"/>
      <c r="M64" s="938"/>
      <c r="N64" s="938"/>
      <c r="O64" s="938"/>
    </row>
    <row r="65" spans="1:17" s="692" customFormat="1" ht="14.4" thickBot="1">
      <c r="A65" s="693" t="s">
        <v>2776</v>
      </c>
      <c r="B65" s="262">
        <f t="shared" si="17"/>
        <v>0</v>
      </c>
      <c r="C65" s="200">
        <f t="shared" si="16"/>
        <v>0</v>
      </c>
      <c r="D65" s="1161">
        <v>0.25</v>
      </c>
      <c r="E65" s="261">
        <f>'数据-汇总表'!E15</f>
        <v>0</v>
      </c>
      <c r="F65" s="1100">
        <f t="shared" si="15"/>
        <v>0</v>
      </c>
      <c r="G65" s="2701" t="s">
        <v>2770</v>
      </c>
      <c r="H65" s="1111">
        <f>项目基本情况!C37</f>
        <v>0</v>
      </c>
      <c r="I65" s="1107">
        <f>SUMIF(修正!A45:A56,H65,修正!H45:H56)</f>
        <v>0</v>
      </c>
      <c r="J65" s="1110"/>
      <c r="K65" s="1141"/>
      <c r="L65" s="938"/>
      <c r="M65" s="938"/>
      <c r="N65" s="938"/>
      <c r="O65" s="938"/>
    </row>
    <row r="66" spans="1:17" s="692" customFormat="1" thickBot="1">
      <c r="A66" s="695" t="s">
        <v>2777</v>
      </c>
      <c r="B66" s="696" t="s">
        <v>28</v>
      </c>
      <c r="C66" s="696" t="s">
        <v>29</v>
      </c>
      <c r="D66" s="696" t="s">
        <v>1026</v>
      </c>
      <c r="E66" s="696">
        <f>IF(B46="楼面地价",SUM(E56:E65),'数据-汇总表'!D3)</f>
        <v>66837.490000000005</v>
      </c>
      <c r="F66" s="697">
        <f>IF(B46="楼面地价",SUM(F56:F65),ROUND(C48*E66/10000,0))</f>
        <v>34730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2.2" thickBot="1">
      <c r="A69" s="763" t="s">
        <v>2670</v>
      </c>
      <c r="B69" s="759"/>
      <c r="C69" s="764"/>
      <c r="D69" s="764"/>
      <c r="E69" s="764"/>
      <c r="F69" s="765"/>
      <c r="G69" s="765"/>
      <c r="H69" s="764"/>
      <c r="I69" s="764"/>
      <c r="J69" s="1156"/>
      <c r="K69" s="1157"/>
      <c r="L69" s="1158"/>
      <c r="M69" s="1156"/>
      <c r="N69" s="1156"/>
      <c r="O69" s="1156"/>
      <c r="P69" s="503"/>
      <c r="Q69" s="504"/>
    </row>
    <row r="70" spans="1:17" s="508" customFormat="1" ht="14.4">
      <c r="A70" s="2702" t="s">
        <v>2778</v>
      </c>
      <c r="B70" s="1356"/>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3" t="s">
        <v>2779</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2581</v>
      </c>
      <c r="B72" s="516"/>
      <c r="C72" s="517">
        <v>0.5</v>
      </c>
      <c r="D72" s="518"/>
      <c r="E72" s="518"/>
      <c r="F72" s="518"/>
      <c r="G72" s="518"/>
      <c r="H72" s="518"/>
      <c r="I72" s="518"/>
      <c r="J72" s="518"/>
      <c r="K72" s="518"/>
      <c r="L72" s="518"/>
      <c r="M72" s="519"/>
      <c r="N72" s="518"/>
      <c r="O72" s="1159"/>
      <c r="P72" s="504"/>
      <c r="Q72" s="504"/>
    </row>
    <row r="73" spans="1:17" s="117" customFormat="1" ht="14.4">
      <c r="A73" s="521" t="s">
        <v>2546</v>
      </c>
      <c r="B73" s="510"/>
      <c r="C73" s="522" t="s">
        <v>2648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2584</v>
      </c>
      <c r="B75" s="528" t="s">
        <v>2550</v>
      </c>
      <c r="C75" s="3049" t="s">
        <v>3372</v>
      </c>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0"/>
      <c r="O79" s="1150"/>
      <c r="P79" s="45"/>
      <c r="Q79" s="504"/>
    </row>
    <row r="80" spans="1:17">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49"/>
      <c r="O80" s="1149"/>
      <c r="P80" s="45"/>
      <c r="Q80" s="504"/>
    </row>
    <row r="81" spans="1:17" ht="14.4" thickBot="1">
      <c r="A81" s="534"/>
      <c r="B81" s="535"/>
      <c r="C81" s="544">
        <v>100</v>
      </c>
      <c r="D81" s="544">
        <f t="shared" ref="D81:M81" si="23">IF($B$46="单位面积地价",C81+$K11,C81-$K11)</f>
        <v>97</v>
      </c>
      <c r="E81" s="544">
        <f t="shared" si="23"/>
        <v>94</v>
      </c>
      <c r="F81" s="544">
        <f t="shared" si="23"/>
        <v>91</v>
      </c>
      <c r="G81" s="544">
        <f t="shared" si="23"/>
        <v>88</v>
      </c>
      <c r="H81" s="544">
        <f t="shared" si="23"/>
        <v>85</v>
      </c>
      <c r="I81" s="544">
        <f t="shared" si="23"/>
        <v>82</v>
      </c>
      <c r="J81" s="544">
        <f t="shared" si="23"/>
        <v>79</v>
      </c>
      <c r="K81" s="544">
        <f t="shared" si="23"/>
        <v>76</v>
      </c>
      <c r="L81" s="544">
        <f t="shared" si="23"/>
        <v>73</v>
      </c>
      <c r="M81" s="544">
        <f t="shared" si="23"/>
        <v>70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4.4" thickBot="1">
      <c r="A89" s="534"/>
      <c r="B89" s="543"/>
      <c r="C89" s="544">
        <v>100</v>
      </c>
      <c r="D89" s="544">
        <f>C89-$K15</f>
        <v>97</v>
      </c>
      <c r="E89" s="544">
        <f>D89-$K15</f>
        <v>94</v>
      </c>
      <c r="F89" s="544">
        <f>E89-$K15</f>
        <v>91</v>
      </c>
      <c r="G89" s="544">
        <f>F89-$K15</f>
        <v>88</v>
      </c>
      <c r="H89" s="544"/>
      <c r="I89" s="544"/>
      <c r="J89" s="544"/>
      <c r="K89" s="544"/>
      <c r="L89" s="544"/>
      <c r="M89" s="545"/>
      <c r="N89" s="1150"/>
      <c r="O89" s="1150"/>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0"/>
      <c r="O91" s="1150"/>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4.4"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4.4"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4.4" thickBot="1">
      <c r="A101" s="553"/>
      <c r="B101" s="543"/>
      <c r="C101" s="544">
        <v>100</v>
      </c>
      <c r="D101" s="544">
        <f>C101-$K27</f>
        <v>95</v>
      </c>
      <c r="E101" s="544">
        <f>D101-$K27</f>
        <v>90</v>
      </c>
      <c r="F101" s="544">
        <f>E101-$K27</f>
        <v>85</v>
      </c>
      <c r="G101" s="544">
        <f>F101-$K27</f>
        <v>80</v>
      </c>
      <c r="H101" s="607"/>
      <c r="I101" s="607"/>
      <c r="J101" s="607"/>
      <c r="K101" s="607"/>
      <c r="L101" s="607"/>
      <c r="M101" s="608"/>
      <c r="N101" s="1151"/>
      <c r="O101" s="1151"/>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2"/>
      <c r="N103" s="1151"/>
      <c r="O103" s="1151"/>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0"/>
      <c r="O105" s="1150"/>
      <c r="P105" s="45"/>
      <c r="Q105" s="504"/>
    </row>
    <row r="106" spans="1:17" ht="29.4" thickTop="1">
      <c r="A106" s="534"/>
      <c r="B106" s="538" t="s">
        <v>2687</v>
      </c>
      <c r="C106" s="3051" t="s">
        <v>3383</v>
      </c>
      <c r="D106" s="3051" t="s">
        <v>3385</v>
      </c>
      <c r="E106" s="3051" t="s">
        <v>3386</v>
      </c>
      <c r="F106" s="3051" t="s">
        <v>3388</v>
      </c>
      <c r="G106" s="554"/>
      <c r="H106" s="583"/>
      <c r="I106" s="583"/>
      <c r="J106" s="583"/>
      <c r="K106" s="584"/>
      <c r="L106" s="585"/>
      <c r="M106" s="586"/>
      <c r="N106" s="1149"/>
      <c r="O106" s="1149"/>
      <c r="P106" s="45"/>
      <c r="Q106" s="504"/>
    </row>
    <row r="107" spans="1:17" ht="14.4" thickBot="1">
      <c r="A107" s="534"/>
      <c r="B107" s="543"/>
      <c r="C107" s="544">
        <v>100</v>
      </c>
      <c r="D107" s="544">
        <f>C107-$K32</f>
        <v>99</v>
      </c>
      <c r="E107" s="544">
        <f t="shared" ref="E107:M107" si="25">D107-$K32</f>
        <v>98</v>
      </c>
      <c r="F107" s="544">
        <f t="shared" si="25"/>
        <v>97</v>
      </c>
      <c r="G107" s="544">
        <f t="shared" si="25"/>
        <v>96</v>
      </c>
      <c r="H107" s="544">
        <f t="shared" si="25"/>
        <v>95</v>
      </c>
      <c r="I107" s="544">
        <f t="shared" si="25"/>
        <v>94</v>
      </c>
      <c r="J107" s="544">
        <f t="shared" si="25"/>
        <v>93</v>
      </c>
      <c r="K107" s="544">
        <f t="shared" si="25"/>
        <v>92</v>
      </c>
      <c r="L107" s="544">
        <f t="shared" si="25"/>
        <v>91</v>
      </c>
      <c r="M107" s="544">
        <f t="shared" si="25"/>
        <v>90</v>
      </c>
      <c r="N107" s="1150"/>
      <c r="O107" s="1150"/>
      <c r="P107" s="45"/>
      <c r="Q107" s="504"/>
    </row>
    <row r="108" spans="1:17" ht="15" thickTop="1">
      <c r="A108" s="534"/>
      <c r="B108" s="538" t="s">
        <v>2746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2559</v>
      </c>
      <c r="B116" s="528" t="s">
        <v>2787</v>
      </c>
      <c r="C116" s="529" t="str">
        <f>C117&amp;"(含)"&amp;"-"&amp;D117</f>
        <v>0(含)-100000</v>
      </c>
      <c r="D116" s="529" t="str">
        <f t="shared" ref="D116:M116" si="27">D117&amp;"(含)"&amp;"-"&amp;E117</f>
        <v>100000(含)-200000</v>
      </c>
      <c r="E116" s="529" t="str">
        <f t="shared" si="27"/>
        <v>200000(含)-300000</v>
      </c>
      <c r="F116" s="529" t="str">
        <f t="shared" si="27"/>
        <v>300000(含)-400000</v>
      </c>
      <c r="G116" s="529" t="str">
        <f t="shared" si="27"/>
        <v>400000(含)-500000</v>
      </c>
      <c r="H116" s="529" t="str">
        <f t="shared" si="27"/>
        <v>500000(含)-</v>
      </c>
      <c r="I116" s="529" t="str">
        <f t="shared" si="27"/>
        <v>(含)-</v>
      </c>
      <c r="J116" s="529" t="str">
        <f t="shared" si="27"/>
        <v>(含)-</v>
      </c>
      <c r="K116" s="529" t="str">
        <f t="shared" si="27"/>
        <v>(含)-</v>
      </c>
      <c r="L116" s="529" t="str">
        <f t="shared" si="27"/>
        <v>(含)-</v>
      </c>
      <c r="M116" s="529" t="str">
        <f t="shared" si="27"/>
        <v>(含)-</v>
      </c>
      <c r="N116" s="1149"/>
      <c r="O116" s="1149"/>
      <c r="P116" s="45"/>
      <c r="Q116" s="504"/>
    </row>
    <row r="117" spans="1:17">
      <c r="A117" s="534"/>
      <c r="B117" s="546"/>
      <c r="C117" s="595">
        <v>0</v>
      </c>
      <c r="D117" s="595">
        <f>C117+100000</f>
        <v>100000</v>
      </c>
      <c r="E117" s="595">
        <f t="shared" ref="E117:H117" si="28">D117+100000</f>
        <v>200000</v>
      </c>
      <c r="F117" s="595">
        <f t="shared" si="28"/>
        <v>300000</v>
      </c>
      <c r="G117" s="595">
        <f t="shared" si="28"/>
        <v>400000</v>
      </c>
      <c r="H117" s="595">
        <f t="shared" si="28"/>
        <v>500000</v>
      </c>
      <c r="I117" s="595"/>
      <c r="J117" s="596"/>
      <c r="K117" s="596"/>
      <c r="L117" s="597"/>
      <c r="M117" s="598"/>
      <c r="N117" s="1149"/>
      <c r="O117" s="1149"/>
      <c r="P117" s="45"/>
      <c r="Q117" s="504"/>
    </row>
    <row r="118" spans="1:17" ht="14.4" thickBot="1">
      <c r="A118" s="534"/>
      <c r="B118" s="543"/>
      <c r="C118" s="570">
        <v>100</v>
      </c>
      <c r="D118" s="591">
        <f>C118+1</f>
        <v>101</v>
      </c>
      <c r="E118" s="591">
        <f t="shared" ref="E118:H118" si="29">D118+1</f>
        <v>102</v>
      </c>
      <c r="F118" s="591">
        <f t="shared" si="29"/>
        <v>103</v>
      </c>
      <c r="G118" s="591">
        <f t="shared" si="29"/>
        <v>104</v>
      </c>
      <c r="H118" s="591">
        <f t="shared" si="29"/>
        <v>105</v>
      </c>
      <c r="I118" s="591"/>
      <c r="J118" s="591"/>
      <c r="K118" s="591"/>
      <c r="L118" s="591"/>
      <c r="M118" s="592"/>
      <c r="N118" s="1150"/>
      <c r="O118" s="1150"/>
      <c r="P118" s="45"/>
      <c r="Q118" s="504"/>
    </row>
    <row r="119" spans="1:17" ht="15" thickTop="1">
      <c r="A119" s="599"/>
      <c r="B119" s="538" t="s">
        <v>2788</v>
      </c>
      <c r="C119" s="3050" t="s">
        <v>3380</v>
      </c>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30">C120-$K39</f>
        <v>99</v>
      </c>
      <c r="E120" s="544">
        <f t="shared" si="30"/>
        <v>98</v>
      </c>
      <c r="F120" s="544">
        <f t="shared" si="30"/>
        <v>97</v>
      </c>
      <c r="G120" s="544">
        <f t="shared" si="30"/>
        <v>96</v>
      </c>
      <c r="H120" s="544">
        <f t="shared" si="30"/>
        <v>95</v>
      </c>
      <c r="I120" s="544">
        <f t="shared" si="30"/>
        <v>94</v>
      </c>
      <c r="J120" s="544">
        <f t="shared" si="30"/>
        <v>93</v>
      </c>
      <c r="K120" s="544">
        <f t="shared" si="30"/>
        <v>92</v>
      </c>
      <c r="L120" s="544">
        <f t="shared" si="30"/>
        <v>91</v>
      </c>
      <c r="M120" s="545">
        <f t="shared" si="30"/>
        <v>90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31">C122-$K40</f>
        <v>100</v>
      </c>
      <c r="E122" s="544">
        <f t="shared" si="31"/>
        <v>100</v>
      </c>
      <c r="F122" s="544">
        <f t="shared" si="31"/>
        <v>100</v>
      </c>
      <c r="G122" s="544">
        <f t="shared" si="31"/>
        <v>100</v>
      </c>
      <c r="H122" s="544">
        <f t="shared" si="31"/>
        <v>100</v>
      </c>
      <c r="I122" s="544">
        <f t="shared" si="31"/>
        <v>100</v>
      </c>
      <c r="J122" s="544">
        <f t="shared" si="31"/>
        <v>100</v>
      </c>
      <c r="K122" s="544">
        <f t="shared" si="31"/>
        <v>100</v>
      </c>
      <c r="L122" s="544">
        <f t="shared" si="31"/>
        <v>100</v>
      </c>
      <c r="M122" s="545">
        <f t="shared" si="31"/>
        <v>100</v>
      </c>
      <c r="N122" s="1150"/>
      <c r="O122" s="1150"/>
      <c r="P122" s="45"/>
      <c r="Q122" s="504"/>
    </row>
    <row r="123" spans="1:17" s="471" customFormat="1" ht="15" thickTop="1">
      <c r="A123" s="593"/>
      <c r="B123" s="538" t="s">
        <v>2790</v>
      </c>
      <c r="C123" s="3051" t="s">
        <v>3381</v>
      </c>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1"/>
      <c r="O124" s="1151"/>
      <c r="P124" s="558"/>
      <c r="Q124" s="559"/>
    </row>
    <row r="125" spans="1:17" ht="15" thickTop="1">
      <c r="A125" s="599"/>
      <c r="B125" s="538" t="s">
        <v>2791</v>
      </c>
      <c r="C125" s="3051" t="s">
        <v>3382</v>
      </c>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33">C126-$K42</f>
        <v>99</v>
      </c>
      <c r="E126" s="544">
        <f t="shared" si="33"/>
        <v>98</v>
      </c>
      <c r="F126" s="544">
        <f t="shared" si="33"/>
        <v>97</v>
      </c>
      <c r="G126" s="544">
        <f t="shared" si="33"/>
        <v>96</v>
      </c>
      <c r="H126" s="544">
        <f t="shared" si="33"/>
        <v>95</v>
      </c>
      <c r="I126" s="544">
        <f t="shared" si="33"/>
        <v>94</v>
      </c>
      <c r="J126" s="544">
        <f t="shared" si="33"/>
        <v>93</v>
      </c>
      <c r="K126" s="544">
        <f t="shared" si="33"/>
        <v>92</v>
      </c>
      <c r="L126" s="544">
        <f t="shared" si="33"/>
        <v>91</v>
      </c>
      <c r="M126" s="545">
        <f t="shared" si="33"/>
        <v>90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T39"/>
  <sheetViews>
    <sheetView topLeftCell="A40" zoomScale="85" zoomScaleNormal="85" workbookViewId="0">
      <selection activeCell="J28" sqref="J28"/>
    </sheetView>
  </sheetViews>
  <sheetFormatPr defaultRowHeight="14.4"/>
  <cols>
    <col min="7" max="7" width="14.109375" bestFit="1" customWidth="1"/>
  </cols>
  <sheetData>
    <row r="1" spans="1:20" ht="15.6">
      <c r="A1" s="3047" t="s">
        <v>3197</v>
      </c>
      <c r="B1" s="3047" t="s">
        <v>3198</v>
      </c>
      <c r="C1" s="3047" t="s">
        <v>3199</v>
      </c>
      <c r="D1" s="3047" t="s">
        <v>3200</v>
      </c>
      <c r="E1" s="3047" t="s">
        <v>3201</v>
      </c>
      <c r="F1" s="3047" t="s">
        <v>3202</v>
      </c>
      <c r="G1" s="3047" t="s">
        <v>3203</v>
      </c>
      <c r="H1" s="3047" t="s">
        <v>3204</v>
      </c>
      <c r="I1" s="3047" t="s">
        <v>3205</v>
      </c>
      <c r="J1" s="3047" t="s">
        <v>3206</v>
      </c>
      <c r="K1" s="3047" t="s">
        <v>3207</v>
      </c>
      <c r="L1" s="3047" t="s">
        <v>3208</v>
      </c>
      <c r="M1" s="3047" t="s">
        <v>3209</v>
      </c>
      <c r="N1" s="3047" t="s">
        <v>3210</v>
      </c>
      <c r="O1" s="3047" t="s">
        <v>3211</v>
      </c>
      <c r="P1" s="3047" t="s">
        <v>3212</v>
      </c>
      <c r="Q1" s="3047" t="s">
        <v>3213</v>
      </c>
      <c r="R1" s="3047" t="s">
        <v>3214</v>
      </c>
      <c r="S1" s="3047" t="s">
        <v>3215</v>
      </c>
      <c r="T1" s="3047" t="s">
        <v>3216</v>
      </c>
    </row>
    <row r="2" spans="1:20" ht="15.6">
      <c r="A2" s="3048" t="s">
        <v>3217</v>
      </c>
      <c r="B2" s="3048" t="s">
        <v>3218</v>
      </c>
      <c r="C2" s="3048" t="s">
        <v>3219</v>
      </c>
      <c r="D2" s="3048" t="s">
        <v>1327</v>
      </c>
      <c r="E2" s="3048" t="s">
        <v>3217</v>
      </c>
      <c r="F2" s="3048" t="s">
        <v>3220</v>
      </c>
      <c r="G2" s="3048" t="s">
        <v>3221</v>
      </c>
      <c r="H2" s="3048" t="s">
        <v>3222</v>
      </c>
      <c r="I2" s="3048">
        <v>14615</v>
      </c>
      <c r="J2" s="3048">
        <v>40922</v>
      </c>
      <c r="K2" s="3048" t="s">
        <v>3223</v>
      </c>
      <c r="L2" s="3048" t="s">
        <v>3224</v>
      </c>
      <c r="M2" s="3048" t="s">
        <v>3225</v>
      </c>
      <c r="N2" s="3048" t="s">
        <v>3226</v>
      </c>
      <c r="O2" s="3048">
        <v>49500</v>
      </c>
      <c r="P2" s="3048">
        <v>2257.9499999999998</v>
      </c>
      <c r="Q2" s="3048">
        <v>12096.18</v>
      </c>
      <c r="R2" s="3048">
        <v>50</v>
      </c>
      <c r="S2" s="3048" t="s">
        <v>3227</v>
      </c>
      <c r="T2" s="3048" t="s">
        <v>3228</v>
      </c>
    </row>
    <row r="3" spans="1:20" ht="15.6">
      <c r="A3" s="3047" t="s">
        <v>3217</v>
      </c>
      <c r="B3" s="3047" t="s">
        <v>3218</v>
      </c>
      <c r="C3" s="3047" t="s">
        <v>3229</v>
      </c>
      <c r="D3" s="3047" t="s">
        <v>1327</v>
      </c>
      <c r="E3" s="3047" t="s">
        <v>3217</v>
      </c>
      <c r="F3" s="3047" t="s">
        <v>3220</v>
      </c>
      <c r="G3" s="3047" t="s">
        <v>3230</v>
      </c>
      <c r="H3" s="3047" t="s">
        <v>3231</v>
      </c>
      <c r="I3" s="3047">
        <v>26693</v>
      </c>
      <c r="J3" s="3047">
        <v>82748.3</v>
      </c>
      <c r="K3" s="3047" t="s">
        <v>3232</v>
      </c>
      <c r="L3" s="3047" t="s">
        <v>3224</v>
      </c>
      <c r="M3" s="3047" t="s">
        <v>3233</v>
      </c>
      <c r="N3" s="3047" t="s">
        <v>3234</v>
      </c>
      <c r="O3" s="3047">
        <v>102000</v>
      </c>
      <c r="P3" s="3047">
        <v>2547.48</v>
      </c>
      <c r="Q3" s="3047">
        <v>12326.54</v>
      </c>
      <c r="R3" s="3047">
        <v>50</v>
      </c>
      <c r="S3" s="3047" t="s">
        <v>3235</v>
      </c>
      <c r="T3" s="3047" t="s">
        <v>3228</v>
      </c>
    </row>
    <row r="4" spans="1:20" ht="15.6">
      <c r="A4" s="3047" t="s">
        <v>3236</v>
      </c>
      <c r="B4" s="3047" t="s">
        <v>3218</v>
      </c>
      <c r="C4" s="3047" t="s">
        <v>3219</v>
      </c>
      <c r="D4" s="3047" t="s">
        <v>1327</v>
      </c>
      <c r="E4" s="3047" t="s">
        <v>3236</v>
      </c>
      <c r="F4" s="3047" t="s">
        <v>3220</v>
      </c>
      <c r="G4" s="3047" t="s">
        <v>3237</v>
      </c>
      <c r="H4" s="3047" t="s">
        <v>3222</v>
      </c>
      <c r="I4" s="3047">
        <v>22671</v>
      </c>
      <c r="J4" s="3047">
        <v>61211.7</v>
      </c>
      <c r="K4" s="3047" t="s">
        <v>3238</v>
      </c>
      <c r="L4" s="3047" t="s">
        <v>3239</v>
      </c>
      <c r="M4" s="3047" t="s">
        <v>3240</v>
      </c>
      <c r="N4" s="3047" t="s">
        <v>3241</v>
      </c>
      <c r="O4" s="3047">
        <v>39500</v>
      </c>
      <c r="P4" s="3047">
        <v>1161.54</v>
      </c>
      <c r="Q4" s="3047">
        <v>6453.01</v>
      </c>
      <c r="R4" s="3047">
        <v>36.21</v>
      </c>
      <c r="S4" s="3047" t="s">
        <v>3227</v>
      </c>
      <c r="T4" s="3047" t="s">
        <v>3242</v>
      </c>
    </row>
    <row r="5" spans="1:20" ht="15.6">
      <c r="A5" s="3047" t="s">
        <v>3243</v>
      </c>
      <c r="B5" s="3047" t="s">
        <v>3218</v>
      </c>
      <c r="C5" s="3047" t="s">
        <v>3219</v>
      </c>
      <c r="D5" s="3047" t="s">
        <v>1327</v>
      </c>
      <c r="E5" s="3047" t="s">
        <v>3243</v>
      </c>
      <c r="F5" s="3047" t="s">
        <v>3220</v>
      </c>
      <c r="G5" s="3047" t="s">
        <v>3244</v>
      </c>
      <c r="H5" s="3047" t="s">
        <v>3245</v>
      </c>
      <c r="I5" s="3047">
        <v>13377.4</v>
      </c>
      <c r="J5" s="3047">
        <v>45483.16</v>
      </c>
      <c r="K5" s="3047" t="s">
        <v>3246</v>
      </c>
      <c r="L5" s="3047" t="s">
        <v>3247</v>
      </c>
      <c r="M5" s="3047" t="s">
        <v>3248</v>
      </c>
      <c r="N5" s="3047" t="s">
        <v>3249</v>
      </c>
      <c r="O5" s="3047">
        <v>10000</v>
      </c>
      <c r="P5" s="3047">
        <v>498.35</v>
      </c>
      <c r="Q5" s="3047">
        <v>2198.61</v>
      </c>
      <c r="R5" s="3047">
        <v>0</v>
      </c>
      <c r="S5" s="3047" t="s">
        <v>3227</v>
      </c>
      <c r="T5" s="3047" t="s">
        <v>3242</v>
      </c>
    </row>
    <row r="6" spans="1:20" ht="15.6">
      <c r="A6" s="3047" t="s">
        <v>3250</v>
      </c>
      <c r="B6" s="3047" t="s">
        <v>3218</v>
      </c>
      <c r="C6" s="3047" t="s">
        <v>3219</v>
      </c>
      <c r="D6" s="3047" t="s">
        <v>1327</v>
      </c>
      <c r="E6" s="3047" t="s">
        <v>3250</v>
      </c>
      <c r="F6" s="3047" t="s">
        <v>3220</v>
      </c>
      <c r="G6" s="3047" t="s">
        <v>3251</v>
      </c>
      <c r="H6" s="3047" t="s">
        <v>3245</v>
      </c>
      <c r="I6" s="3047">
        <v>69963.7</v>
      </c>
      <c r="J6" s="3047">
        <v>209891.1</v>
      </c>
      <c r="K6" s="3047" t="s">
        <v>3252</v>
      </c>
      <c r="L6" s="3047" t="s">
        <v>3253</v>
      </c>
      <c r="M6" s="3047" t="s">
        <v>3254</v>
      </c>
      <c r="N6" s="3047" t="s">
        <v>3255</v>
      </c>
      <c r="O6" s="3047">
        <v>136000</v>
      </c>
      <c r="P6" s="3047">
        <v>1295.9100000000001</v>
      </c>
      <c r="Q6" s="3047">
        <v>6479.55</v>
      </c>
      <c r="R6" s="3047">
        <v>0</v>
      </c>
      <c r="S6" s="3047" t="s">
        <v>3227</v>
      </c>
      <c r="T6" s="3047" t="s">
        <v>3242</v>
      </c>
    </row>
    <row r="7" spans="1:20" ht="15.6">
      <c r="A7" s="3047" t="s">
        <v>3256</v>
      </c>
      <c r="B7" s="3047" t="s">
        <v>3218</v>
      </c>
      <c r="C7" s="3047" t="s">
        <v>3219</v>
      </c>
      <c r="D7" s="3047" t="s">
        <v>1327</v>
      </c>
      <c r="E7" s="3047" t="s">
        <v>3256</v>
      </c>
      <c r="F7" s="3047" t="s">
        <v>3220</v>
      </c>
      <c r="G7" s="3047" t="s">
        <v>3257</v>
      </c>
      <c r="H7" s="3047" t="s">
        <v>3245</v>
      </c>
      <c r="I7" s="3047">
        <v>42888.5</v>
      </c>
      <c r="J7" s="3047">
        <v>98643.55</v>
      </c>
      <c r="K7" s="3047" t="s">
        <v>3258</v>
      </c>
      <c r="L7" s="3047" t="s">
        <v>3259</v>
      </c>
      <c r="M7" s="3047" t="s">
        <v>3260</v>
      </c>
      <c r="N7" s="3047" t="s">
        <v>3261</v>
      </c>
      <c r="O7" s="3047">
        <v>25100</v>
      </c>
      <c r="P7" s="3047">
        <v>390.16</v>
      </c>
      <c r="Q7" s="3047">
        <v>2544.5100000000002</v>
      </c>
      <c r="R7" s="3047">
        <v>0.4</v>
      </c>
      <c r="S7" s="3047" t="s">
        <v>3227</v>
      </c>
      <c r="T7" s="3047" t="s">
        <v>3242</v>
      </c>
    </row>
    <row r="8" spans="1:20" ht="15.6">
      <c r="A8" s="3047" t="s">
        <v>3262</v>
      </c>
      <c r="B8" s="3047" t="s">
        <v>3218</v>
      </c>
      <c r="C8" s="3047" t="s">
        <v>3219</v>
      </c>
      <c r="D8" s="3047" t="s">
        <v>1327</v>
      </c>
      <c r="E8" s="3047" t="s">
        <v>3262</v>
      </c>
      <c r="F8" s="3047" t="s">
        <v>3220</v>
      </c>
      <c r="G8" s="3047" t="s">
        <v>3263</v>
      </c>
      <c r="H8" s="3047" t="s">
        <v>3245</v>
      </c>
      <c r="I8" s="3047">
        <v>9988.2000000000007</v>
      </c>
      <c r="J8" s="3047">
        <v>21974.04</v>
      </c>
      <c r="K8" s="3047" t="s">
        <v>3264</v>
      </c>
      <c r="L8" s="3047" t="s">
        <v>3259</v>
      </c>
      <c r="M8" s="3047" t="s">
        <v>3265</v>
      </c>
      <c r="N8" s="3047" t="s">
        <v>3266</v>
      </c>
      <c r="O8" s="3047">
        <v>7300</v>
      </c>
      <c r="P8" s="3047">
        <v>487.24</v>
      </c>
      <c r="Q8" s="3047">
        <v>3322.09</v>
      </c>
      <c r="R8" s="3047">
        <v>1.39</v>
      </c>
      <c r="S8" s="3047" t="s">
        <v>3227</v>
      </c>
      <c r="T8" s="3047" t="s">
        <v>3242</v>
      </c>
    </row>
    <row r="9" spans="1:20" ht="15.6">
      <c r="A9" s="3047" t="s">
        <v>3267</v>
      </c>
      <c r="B9" s="3047" t="s">
        <v>3218</v>
      </c>
      <c r="C9" s="3047" t="s">
        <v>3219</v>
      </c>
      <c r="D9" s="3047" t="s">
        <v>1327</v>
      </c>
      <c r="E9" s="3047" t="s">
        <v>3267</v>
      </c>
      <c r="F9" s="3047" t="s">
        <v>3220</v>
      </c>
      <c r="G9" s="3047" t="s">
        <v>3268</v>
      </c>
      <c r="H9" s="3047" t="s">
        <v>3245</v>
      </c>
      <c r="I9" s="3047">
        <v>29791.3</v>
      </c>
      <c r="J9" s="3047">
        <v>59582.6</v>
      </c>
      <c r="K9" s="3047" t="s">
        <v>3269</v>
      </c>
      <c r="L9" s="3047" t="s">
        <v>3259</v>
      </c>
      <c r="M9" s="3047" t="s">
        <v>3270</v>
      </c>
      <c r="N9" s="3047" t="s">
        <v>3271</v>
      </c>
      <c r="O9" s="3047">
        <v>22450</v>
      </c>
      <c r="P9" s="3047">
        <v>502.38</v>
      </c>
      <c r="Q9" s="3047">
        <v>3767.88</v>
      </c>
      <c r="R9" s="3047">
        <v>0.45</v>
      </c>
      <c r="S9" s="3047" t="s">
        <v>3227</v>
      </c>
      <c r="T9" s="3047" t="s">
        <v>3242</v>
      </c>
    </row>
    <row r="10" spans="1:20" ht="15.6">
      <c r="A10" s="3047" t="s">
        <v>3272</v>
      </c>
      <c r="B10" s="3047" t="s">
        <v>3218</v>
      </c>
      <c r="C10" s="3047" t="s">
        <v>3219</v>
      </c>
      <c r="D10" s="3047" t="s">
        <v>1327</v>
      </c>
      <c r="E10" s="3047" t="s">
        <v>3272</v>
      </c>
      <c r="F10" s="3047" t="s">
        <v>3220</v>
      </c>
      <c r="G10" s="3047" t="s">
        <v>3273</v>
      </c>
      <c r="H10" s="3047" t="s">
        <v>3245</v>
      </c>
      <c r="I10" s="3047">
        <v>56138</v>
      </c>
      <c r="J10" s="3047">
        <v>126535</v>
      </c>
      <c r="K10" s="3047" t="s">
        <v>3274</v>
      </c>
      <c r="L10" s="3047" t="s">
        <v>3275</v>
      </c>
      <c r="M10" s="3047" t="s">
        <v>3276</v>
      </c>
      <c r="N10" s="3047" t="s">
        <v>3277</v>
      </c>
      <c r="O10" s="3047">
        <v>28100</v>
      </c>
      <c r="P10" s="3047">
        <v>333.7</v>
      </c>
      <c r="Q10" s="3047">
        <v>2220.73</v>
      </c>
      <c r="R10" s="3047">
        <v>0.36</v>
      </c>
      <c r="S10" s="3047" t="s">
        <v>3227</v>
      </c>
      <c r="T10" s="3047" t="s">
        <v>3278</v>
      </c>
    </row>
    <row r="11" spans="1:20" ht="15.6">
      <c r="A11" s="3047" t="s">
        <v>3279</v>
      </c>
      <c r="B11" s="3047" t="s">
        <v>3218</v>
      </c>
      <c r="C11" s="3047" t="s">
        <v>3219</v>
      </c>
      <c r="D11" s="3047" t="s">
        <v>1327</v>
      </c>
      <c r="E11" s="3047" t="s">
        <v>3279</v>
      </c>
      <c r="F11" s="3047" t="s">
        <v>3220</v>
      </c>
      <c r="G11" s="3047" t="s">
        <v>3280</v>
      </c>
      <c r="H11" s="3047" t="s">
        <v>3245</v>
      </c>
      <c r="I11" s="3047">
        <v>53049</v>
      </c>
      <c r="J11" s="3047">
        <v>137927.4</v>
      </c>
      <c r="K11" s="3047" t="s">
        <v>3281</v>
      </c>
      <c r="L11" s="3047" t="s">
        <v>3275</v>
      </c>
      <c r="M11" s="3047" t="s">
        <v>3282</v>
      </c>
      <c r="N11" s="3047" t="s">
        <v>3277</v>
      </c>
      <c r="O11" s="3047">
        <v>23100</v>
      </c>
      <c r="P11" s="3047">
        <v>290.3</v>
      </c>
      <c r="Q11" s="3047">
        <v>1674.78</v>
      </c>
      <c r="R11" s="3047">
        <v>15.5</v>
      </c>
      <c r="S11" s="3047" t="s">
        <v>3227</v>
      </c>
      <c r="T11" s="3047" t="s">
        <v>3242</v>
      </c>
    </row>
    <row r="12" spans="1:20" ht="15.6">
      <c r="A12" s="3048" t="s">
        <v>3370</v>
      </c>
      <c r="B12" s="3048" t="s">
        <v>3218</v>
      </c>
      <c r="C12" s="3048" t="s">
        <v>3219</v>
      </c>
      <c r="D12" s="3048" t="s">
        <v>1327</v>
      </c>
      <c r="E12" s="3048" t="s">
        <v>3283</v>
      </c>
      <c r="F12" s="3048" t="s">
        <v>3220</v>
      </c>
      <c r="G12" s="3048" t="s">
        <v>3284</v>
      </c>
      <c r="H12" s="3048" t="s">
        <v>3285</v>
      </c>
      <c r="I12" s="3048">
        <v>26557</v>
      </c>
      <c r="J12" s="3048">
        <v>42491.199999999997</v>
      </c>
      <c r="K12" s="3048" t="s">
        <v>3286</v>
      </c>
      <c r="L12" s="3048" t="s">
        <v>3287</v>
      </c>
      <c r="M12" s="3048" t="s">
        <v>3288</v>
      </c>
      <c r="N12" s="3048" t="s">
        <v>3289</v>
      </c>
      <c r="O12" s="3048">
        <v>55908</v>
      </c>
      <c r="P12" s="3048">
        <v>1403.47</v>
      </c>
      <c r="Q12" s="3048">
        <v>13157.54</v>
      </c>
      <c r="R12" s="3048" t="s">
        <v>1327</v>
      </c>
      <c r="S12" s="3048" t="s">
        <v>3227</v>
      </c>
      <c r="T12" s="3048" t="s">
        <v>3290</v>
      </c>
    </row>
    <row r="13" spans="1:20" ht="15.6">
      <c r="A13" s="3047" t="s">
        <v>3291</v>
      </c>
      <c r="B13" s="3047" t="s">
        <v>3218</v>
      </c>
      <c r="C13" s="3047" t="s">
        <v>3219</v>
      </c>
      <c r="D13" s="3047" t="s">
        <v>1327</v>
      </c>
      <c r="E13" s="3047" t="s">
        <v>3283</v>
      </c>
      <c r="F13" s="3047" t="s">
        <v>3220</v>
      </c>
      <c r="G13" s="3047" t="s">
        <v>3291</v>
      </c>
      <c r="H13" s="3047" t="s">
        <v>3285</v>
      </c>
      <c r="I13" s="3047">
        <v>30043</v>
      </c>
      <c r="J13" s="3047">
        <v>84120.4</v>
      </c>
      <c r="K13" s="3047" t="s">
        <v>3292</v>
      </c>
      <c r="L13" s="3047" t="s">
        <v>3287</v>
      </c>
      <c r="M13" s="3047" t="s">
        <v>3293</v>
      </c>
      <c r="N13" s="3047" t="s">
        <v>3294</v>
      </c>
      <c r="O13" s="3047">
        <v>78831</v>
      </c>
      <c r="P13" s="3047">
        <v>1749.29</v>
      </c>
      <c r="Q13" s="3047">
        <v>9371.2000000000007</v>
      </c>
      <c r="R13" s="3047" t="s">
        <v>1327</v>
      </c>
      <c r="S13" s="3047" t="s">
        <v>3227</v>
      </c>
      <c r="T13" s="3047" t="s">
        <v>3242</v>
      </c>
    </row>
    <row r="14" spans="1:20" ht="15.6">
      <c r="A14" s="3047" t="s">
        <v>3295</v>
      </c>
      <c r="B14" s="3047" t="s">
        <v>3218</v>
      </c>
      <c r="C14" s="3047" t="s">
        <v>3219</v>
      </c>
      <c r="D14" s="3047" t="s">
        <v>1327</v>
      </c>
      <c r="E14" s="3047" t="s">
        <v>3283</v>
      </c>
      <c r="F14" s="3047" t="s">
        <v>3220</v>
      </c>
      <c r="G14" s="3047" t="s">
        <v>3295</v>
      </c>
      <c r="H14" s="3047" t="s">
        <v>3285</v>
      </c>
      <c r="I14" s="3047">
        <v>30423</v>
      </c>
      <c r="J14" s="3047">
        <v>106480.5</v>
      </c>
      <c r="K14" s="3047" t="s">
        <v>3296</v>
      </c>
      <c r="L14" s="3047" t="s">
        <v>3287</v>
      </c>
      <c r="M14" s="3047" t="s">
        <v>3297</v>
      </c>
      <c r="N14" s="3047" t="s">
        <v>3298</v>
      </c>
      <c r="O14" s="3047">
        <v>81008</v>
      </c>
      <c r="P14" s="3047">
        <v>1775.15</v>
      </c>
      <c r="Q14" s="3047">
        <v>7607.77</v>
      </c>
      <c r="R14" s="3047" t="s">
        <v>1327</v>
      </c>
      <c r="S14" s="3047" t="s">
        <v>3227</v>
      </c>
      <c r="T14" s="3047" t="s">
        <v>3290</v>
      </c>
    </row>
    <row r="15" spans="1:20" ht="15.6">
      <c r="A15" s="3048" t="s">
        <v>3371</v>
      </c>
      <c r="B15" s="3048" t="s">
        <v>3218</v>
      </c>
      <c r="C15" s="3048" t="s">
        <v>3229</v>
      </c>
      <c r="D15" s="3048" t="s">
        <v>1327</v>
      </c>
      <c r="E15" s="3048" t="s">
        <v>3299</v>
      </c>
      <c r="F15" s="3048" t="s">
        <v>3220</v>
      </c>
      <c r="G15" s="3048" t="s">
        <v>3300</v>
      </c>
      <c r="H15" s="3048" t="s">
        <v>3301</v>
      </c>
      <c r="I15" s="3048">
        <v>40723.120000000003</v>
      </c>
      <c r="J15" s="3048">
        <v>73301.399999999994</v>
      </c>
      <c r="K15" s="3048" t="s">
        <v>3302</v>
      </c>
      <c r="L15" s="3048" t="s">
        <v>3303</v>
      </c>
      <c r="M15" s="3048" t="s">
        <v>3304</v>
      </c>
      <c r="N15" s="3048" t="s">
        <v>3305</v>
      </c>
      <c r="O15" s="3048">
        <v>81400</v>
      </c>
      <c r="P15" s="3048">
        <v>1332.58</v>
      </c>
      <c r="Q15" s="3048">
        <v>11104.84</v>
      </c>
      <c r="R15" s="3048">
        <v>11.05</v>
      </c>
      <c r="S15" s="3048" t="s">
        <v>3306</v>
      </c>
      <c r="T15" s="3048" t="s">
        <v>3242</v>
      </c>
    </row>
    <row r="16" spans="1:20" ht="15.6">
      <c r="A16" s="3047" t="s">
        <v>3307</v>
      </c>
      <c r="B16" s="3047" t="s">
        <v>3218</v>
      </c>
      <c r="C16" s="3047" t="s">
        <v>3219</v>
      </c>
      <c r="D16" s="3047" t="s">
        <v>1327</v>
      </c>
      <c r="E16" s="3047" t="s">
        <v>3307</v>
      </c>
      <c r="F16" s="3047" t="s">
        <v>3220</v>
      </c>
      <c r="G16" s="3047" t="s">
        <v>3308</v>
      </c>
      <c r="H16" s="3047" t="s">
        <v>3285</v>
      </c>
      <c r="I16" s="3047">
        <v>29945.07</v>
      </c>
      <c r="J16" s="3047">
        <v>80851.69</v>
      </c>
      <c r="K16" s="3047" t="s">
        <v>3309</v>
      </c>
      <c r="L16" s="3047" t="s">
        <v>3310</v>
      </c>
      <c r="M16" s="3047" t="s">
        <v>3311</v>
      </c>
      <c r="N16" s="3047" t="s">
        <v>3312</v>
      </c>
      <c r="O16" s="3047">
        <v>14400</v>
      </c>
      <c r="P16" s="3047">
        <v>320.58999999999997</v>
      </c>
      <c r="Q16" s="3047">
        <v>1781.03</v>
      </c>
      <c r="R16" s="3047">
        <v>6.67</v>
      </c>
      <c r="S16" s="3047" t="s">
        <v>3227</v>
      </c>
      <c r="T16" s="3047" t="s">
        <v>3278</v>
      </c>
    </row>
    <row r="17" spans="1:20" ht="15.6">
      <c r="A17" s="3047" t="s">
        <v>3313</v>
      </c>
      <c r="B17" s="3047" t="s">
        <v>3218</v>
      </c>
      <c r="C17" s="3047" t="s">
        <v>3219</v>
      </c>
      <c r="D17" s="3047" t="s">
        <v>1327</v>
      </c>
      <c r="E17" s="3047" t="s">
        <v>3313</v>
      </c>
      <c r="F17" s="3047" t="s">
        <v>3220</v>
      </c>
      <c r="G17" s="3047" t="s">
        <v>3314</v>
      </c>
      <c r="H17" s="3047" t="s">
        <v>3285</v>
      </c>
      <c r="I17" s="3047">
        <v>55282</v>
      </c>
      <c r="J17" s="3047">
        <v>60810.2</v>
      </c>
      <c r="K17" s="3047" t="s">
        <v>3315</v>
      </c>
      <c r="L17" s="3047" t="s">
        <v>3316</v>
      </c>
      <c r="M17" s="3047" t="s">
        <v>3317</v>
      </c>
      <c r="N17" s="3047" t="s">
        <v>3318</v>
      </c>
      <c r="O17" s="3047">
        <v>27500</v>
      </c>
      <c r="P17" s="3047">
        <v>331.63</v>
      </c>
      <c r="Q17" s="3047">
        <v>4522.2700000000004</v>
      </c>
      <c r="R17" s="3047">
        <v>43.98</v>
      </c>
      <c r="S17" s="3047" t="s">
        <v>3227</v>
      </c>
      <c r="T17" s="3047" t="s">
        <v>3278</v>
      </c>
    </row>
    <row r="18" spans="1:20" ht="15.6">
      <c r="A18" s="3047" t="s">
        <v>3319</v>
      </c>
      <c r="B18" s="3047" t="s">
        <v>3218</v>
      </c>
      <c r="C18" s="3047" t="s">
        <v>3219</v>
      </c>
      <c r="D18" s="3047" t="s">
        <v>1327</v>
      </c>
      <c r="E18" s="3047" t="s">
        <v>3319</v>
      </c>
      <c r="F18" s="3047" t="s">
        <v>3220</v>
      </c>
      <c r="G18" s="3047" t="s">
        <v>3320</v>
      </c>
      <c r="H18" s="3047" t="s">
        <v>3285</v>
      </c>
      <c r="I18" s="3047">
        <v>67005.7</v>
      </c>
      <c r="J18" s="3047">
        <v>73706.27</v>
      </c>
      <c r="K18" s="3047" t="s">
        <v>3315</v>
      </c>
      <c r="L18" s="3047" t="s">
        <v>3316</v>
      </c>
      <c r="M18" s="3047" t="s">
        <v>3321</v>
      </c>
      <c r="N18" s="3047" t="s">
        <v>3318</v>
      </c>
      <c r="O18" s="3047">
        <v>34600</v>
      </c>
      <c r="P18" s="3047">
        <v>344.25</v>
      </c>
      <c r="Q18" s="3047">
        <v>4694.3100000000004</v>
      </c>
      <c r="R18" s="3047">
        <v>49.14</v>
      </c>
      <c r="S18" s="3047" t="s">
        <v>3227</v>
      </c>
      <c r="T18" s="3047" t="s">
        <v>3278</v>
      </c>
    </row>
    <row r="19" spans="1:20" ht="15.6">
      <c r="A19" s="3047" t="s">
        <v>3322</v>
      </c>
      <c r="B19" s="3047" t="s">
        <v>3218</v>
      </c>
      <c r="C19" s="3047" t="s">
        <v>3219</v>
      </c>
      <c r="D19" s="3047" t="s">
        <v>1327</v>
      </c>
      <c r="E19" s="3047" t="s">
        <v>3322</v>
      </c>
      <c r="F19" s="3047" t="s">
        <v>3220</v>
      </c>
      <c r="G19" s="3047" t="s">
        <v>3323</v>
      </c>
      <c r="H19" s="3047" t="s">
        <v>3285</v>
      </c>
      <c r="I19" s="3047">
        <v>28674</v>
      </c>
      <c r="J19" s="3047">
        <v>71685</v>
      </c>
      <c r="K19" s="3047" t="s">
        <v>3324</v>
      </c>
      <c r="L19" s="3047" t="s">
        <v>3325</v>
      </c>
      <c r="M19" s="3047" t="s">
        <v>3326</v>
      </c>
      <c r="N19" s="3047" t="s">
        <v>3327</v>
      </c>
      <c r="O19" s="3047">
        <v>67100</v>
      </c>
      <c r="P19" s="3047">
        <v>1560.07</v>
      </c>
      <c r="Q19" s="3047">
        <v>9360.39</v>
      </c>
      <c r="R19" s="3047">
        <v>29.79</v>
      </c>
      <c r="S19" s="3047" t="s">
        <v>3227</v>
      </c>
      <c r="T19" s="3047" t="s">
        <v>3242</v>
      </c>
    </row>
    <row r="20" spans="1:20" ht="15.6">
      <c r="A20" s="3047" t="s">
        <v>3322</v>
      </c>
      <c r="B20" s="3047" t="s">
        <v>3218</v>
      </c>
      <c r="C20" s="3047" t="s">
        <v>3219</v>
      </c>
      <c r="D20" s="3047" t="s">
        <v>1327</v>
      </c>
      <c r="E20" s="3047" t="s">
        <v>3322</v>
      </c>
      <c r="F20" s="3047" t="s">
        <v>3220</v>
      </c>
      <c r="G20" s="3047" t="s">
        <v>3328</v>
      </c>
      <c r="H20" s="3047" t="s">
        <v>3285</v>
      </c>
      <c r="I20" s="3047">
        <v>32089</v>
      </c>
      <c r="J20" s="3047">
        <v>80222.5</v>
      </c>
      <c r="K20" s="3047" t="s">
        <v>3324</v>
      </c>
      <c r="L20" s="3047" t="s">
        <v>3325</v>
      </c>
      <c r="M20" s="3047" t="s">
        <v>3329</v>
      </c>
      <c r="N20" s="3047" t="s">
        <v>3330</v>
      </c>
      <c r="O20" s="3047">
        <v>81200</v>
      </c>
      <c r="P20" s="3047">
        <v>1686.97</v>
      </c>
      <c r="Q20" s="3047">
        <v>10121.85</v>
      </c>
      <c r="R20" s="3047">
        <v>40.479999999999997</v>
      </c>
      <c r="S20" s="3047" t="s">
        <v>3227</v>
      </c>
      <c r="T20" s="3047" t="s">
        <v>3242</v>
      </c>
    </row>
    <row r="21" spans="1:20" ht="15.6">
      <c r="A21" s="3047" t="s">
        <v>3331</v>
      </c>
      <c r="B21" s="3047" t="s">
        <v>3218</v>
      </c>
      <c r="C21" s="3047" t="s">
        <v>3219</v>
      </c>
      <c r="D21" s="3047" t="s">
        <v>1327</v>
      </c>
      <c r="E21" s="3047" t="s">
        <v>3283</v>
      </c>
      <c r="F21" s="3047" t="s">
        <v>3220</v>
      </c>
      <c r="G21" s="3047" t="s">
        <v>3331</v>
      </c>
      <c r="H21" s="3047" t="s">
        <v>3285</v>
      </c>
      <c r="I21" s="3047">
        <v>33067.599999999999</v>
      </c>
      <c r="J21" s="3047">
        <v>99202.8</v>
      </c>
      <c r="K21" s="3047" t="s">
        <v>3332</v>
      </c>
      <c r="L21" s="3047" t="s">
        <v>3333</v>
      </c>
      <c r="M21" s="3047" t="s">
        <v>3334</v>
      </c>
      <c r="N21" s="3047" t="s">
        <v>3335</v>
      </c>
      <c r="O21" s="3047">
        <v>65800</v>
      </c>
      <c r="P21" s="3047">
        <v>1326.58</v>
      </c>
      <c r="Q21" s="3047">
        <v>6632.88</v>
      </c>
      <c r="R21" s="3047">
        <v>32.659999999999997</v>
      </c>
      <c r="S21" s="3047" t="s">
        <v>3227</v>
      </c>
      <c r="T21" s="3047" t="s">
        <v>3242</v>
      </c>
    </row>
    <row r="22" spans="1:20" ht="15.6">
      <c r="A22" s="3047" t="s">
        <v>3250</v>
      </c>
      <c r="B22" s="3047" t="s">
        <v>3218</v>
      </c>
      <c r="C22" s="3047" t="s">
        <v>3229</v>
      </c>
      <c r="D22" s="3047" t="s">
        <v>1327</v>
      </c>
      <c r="E22" s="3047" t="s">
        <v>3250</v>
      </c>
      <c r="F22" s="3047" t="s">
        <v>3220</v>
      </c>
      <c r="G22" s="3047" t="s">
        <v>3336</v>
      </c>
      <c r="H22" s="3047" t="s">
        <v>3337</v>
      </c>
      <c r="I22" s="3047">
        <v>15494.3</v>
      </c>
      <c r="J22" s="3047">
        <v>43384.04</v>
      </c>
      <c r="K22" s="3047" t="s">
        <v>3223</v>
      </c>
      <c r="L22" s="3047" t="s">
        <v>3338</v>
      </c>
      <c r="M22" s="3047" t="s">
        <v>3339</v>
      </c>
      <c r="N22" s="3047" t="s">
        <v>3340</v>
      </c>
      <c r="O22" s="3047">
        <v>41800</v>
      </c>
      <c r="P22" s="3047">
        <v>1798.51</v>
      </c>
      <c r="Q22" s="3047">
        <v>9634.8700000000008</v>
      </c>
      <c r="R22" s="3047">
        <v>49.29</v>
      </c>
      <c r="S22" s="3047" t="s">
        <v>3341</v>
      </c>
      <c r="T22" s="3047" t="s">
        <v>3242</v>
      </c>
    </row>
    <row r="23" spans="1:20" ht="15.6">
      <c r="A23" s="3047" t="s">
        <v>3250</v>
      </c>
      <c r="B23" s="3047" t="s">
        <v>3218</v>
      </c>
      <c r="C23" s="3047" t="s">
        <v>3229</v>
      </c>
      <c r="D23" s="3047" t="s">
        <v>1327</v>
      </c>
      <c r="E23" s="3047" t="s">
        <v>3250</v>
      </c>
      <c r="F23" s="3047" t="s">
        <v>3220</v>
      </c>
      <c r="G23" s="3047" t="s">
        <v>3342</v>
      </c>
      <c r="H23" s="3047" t="s">
        <v>3337</v>
      </c>
      <c r="I23" s="3047">
        <v>57213.2</v>
      </c>
      <c r="J23" s="3047">
        <v>160197</v>
      </c>
      <c r="K23" s="3047" t="s">
        <v>3223</v>
      </c>
      <c r="L23" s="3047" t="s">
        <v>3338</v>
      </c>
      <c r="M23" s="3047" t="s">
        <v>3343</v>
      </c>
      <c r="N23" s="3047" t="s">
        <v>3344</v>
      </c>
      <c r="O23" s="3047">
        <v>154400</v>
      </c>
      <c r="P23" s="3047">
        <v>1799.12</v>
      </c>
      <c r="Q23" s="3047">
        <v>9638.1200000000008</v>
      </c>
      <c r="R23" s="3047">
        <v>49.9</v>
      </c>
      <c r="S23" s="3047" t="s">
        <v>3341</v>
      </c>
      <c r="T23" s="3047" t="s">
        <v>3242</v>
      </c>
    </row>
    <row r="24" spans="1:20" ht="15.6">
      <c r="A24" s="3047" t="s">
        <v>3345</v>
      </c>
      <c r="B24" s="3047" t="s">
        <v>3218</v>
      </c>
      <c r="C24" s="3047" t="s">
        <v>3219</v>
      </c>
      <c r="D24" s="3047" t="s">
        <v>1327</v>
      </c>
      <c r="E24" s="3047" t="s">
        <v>3345</v>
      </c>
      <c r="F24" s="3047" t="s">
        <v>3220</v>
      </c>
      <c r="G24" s="3047" t="s">
        <v>3346</v>
      </c>
      <c r="H24" s="3047" t="s">
        <v>3347</v>
      </c>
      <c r="I24" s="3047">
        <v>50276.3</v>
      </c>
      <c r="J24" s="3047">
        <v>130718.39999999999</v>
      </c>
      <c r="K24" s="3047" t="s">
        <v>3281</v>
      </c>
      <c r="L24" s="3047" t="s">
        <v>3348</v>
      </c>
      <c r="M24" s="3047" t="s">
        <v>3349</v>
      </c>
      <c r="N24" s="3047" t="s">
        <v>3350</v>
      </c>
      <c r="O24" s="3047">
        <v>147100</v>
      </c>
      <c r="P24" s="3047">
        <v>1950.55</v>
      </c>
      <c r="Q24" s="3047">
        <v>11253.2</v>
      </c>
      <c r="R24" s="3047">
        <v>49.95</v>
      </c>
      <c r="S24" s="3047" t="s">
        <v>3227</v>
      </c>
      <c r="T24" s="3047" t="s">
        <v>3242</v>
      </c>
    </row>
    <row r="25" spans="1:20" ht="15.6">
      <c r="A25" s="3047" t="s">
        <v>3351</v>
      </c>
      <c r="B25" s="3047" t="s">
        <v>3218</v>
      </c>
      <c r="C25" s="3047" t="s">
        <v>3219</v>
      </c>
      <c r="D25" s="3047" t="s">
        <v>1327</v>
      </c>
      <c r="E25" s="3047" t="s">
        <v>3351</v>
      </c>
      <c r="F25" s="3047" t="s">
        <v>3220</v>
      </c>
      <c r="G25" s="3047" t="s">
        <v>3352</v>
      </c>
      <c r="H25" s="3047" t="s">
        <v>3219</v>
      </c>
      <c r="I25" s="3047">
        <v>38986</v>
      </c>
      <c r="J25" s="3047">
        <v>101363.6</v>
      </c>
      <c r="K25" s="3047" t="s">
        <v>3281</v>
      </c>
      <c r="L25" s="3047" t="s">
        <v>3353</v>
      </c>
      <c r="M25" s="3047" t="s">
        <v>3354</v>
      </c>
      <c r="N25" s="3047" t="s">
        <v>3355</v>
      </c>
      <c r="O25" s="3047">
        <v>86600</v>
      </c>
      <c r="P25" s="3047">
        <v>1480.87</v>
      </c>
      <c r="Q25" s="3047">
        <v>8543.5</v>
      </c>
      <c r="R25" s="3047">
        <v>97.27</v>
      </c>
      <c r="S25" s="3047" t="s">
        <v>3227</v>
      </c>
      <c r="T25" s="3047" t="s">
        <v>3242</v>
      </c>
    </row>
    <row r="26" spans="1:20" ht="15.6">
      <c r="A26" s="3047" t="s">
        <v>3351</v>
      </c>
      <c r="B26" s="3047" t="s">
        <v>3218</v>
      </c>
      <c r="C26" s="3047" t="s">
        <v>3219</v>
      </c>
      <c r="D26" s="3047" t="s">
        <v>1327</v>
      </c>
      <c r="E26" s="3047" t="s">
        <v>3351</v>
      </c>
      <c r="F26" s="3047" t="s">
        <v>3220</v>
      </c>
      <c r="G26" s="3047" t="s">
        <v>3356</v>
      </c>
      <c r="H26" s="3047" t="s">
        <v>3219</v>
      </c>
      <c r="I26" s="3047">
        <v>38997</v>
      </c>
      <c r="J26" s="3047">
        <v>101392.2</v>
      </c>
      <c r="K26" s="3047" t="s">
        <v>3281</v>
      </c>
      <c r="L26" s="3047" t="s">
        <v>3353</v>
      </c>
      <c r="M26" s="3047" t="s">
        <v>3357</v>
      </c>
      <c r="N26" s="3047" t="s">
        <v>3355</v>
      </c>
      <c r="O26" s="3047">
        <v>85900</v>
      </c>
      <c r="P26" s="3047">
        <v>1468.49</v>
      </c>
      <c r="Q26" s="3047">
        <v>8472.0400000000009</v>
      </c>
      <c r="R26" s="3047">
        <v>109.51</v>
      </c>
      <c r="S26" s="3047" t="s">
        <v>3227</v>
      </c>
      <c r="T26" s="3047" t="s">
        <v>3242</v>
      </c>
    </row>
    <row r="27" spans="1:20" ht="15.6">
      <c r="A27" s="3047" t="s">
        <v>3358</v>
      </c>
      <c r="B27" s="3047" t="s">
        <v>3218</v>
      </c>
      <c r="C27" s="3047" t="s">
        <v>3219</v>
      </c>
      <c r="D27" s="3047" t="s">
        <v>1327</v>
      </c>
      <c r="E27" s="3047" t="s">
        <v>3358</v>
      </c>
      <c r="F27" s="3047" t="s">
        <v>3220</v>
      </c>
      <c r="G27" s="3047" t="s">
        <v>3359</v>
      </c>
      <c r="H27" s="3047" t="s">
        <v>3347</v>
      </c>
      <c r="I27" s="3047">
        <v>56941</v>
      </c>
      <c r="J27" s="3047">
        <v>170823</v>
      </c>
      <c r="K27" s="3047" t="s">
        <v>3360</v>
      </c>
      <c r="L27" s="3047" t="s">
        <v>3361</v>
      </c>
      <c r="M27" s="3047" t="s">
        <v>3362</v>
      </c>
      <c r="N27" s="3047" t="s">
        <v>3363</v>
      </c>
      <c r="O27" s="3047">
        <v>51500</v>
      </c>
      <c r="P27" s="3047">
        <v>602.96</v>
      </c>
      <c r="Q27" s="3047">
        <v>3014.82</v>
      </c>
      <c r="R27" s="3047">
        <v>0.39</v>
      </c>
      <c r="S27" s="3047" t="s">
        <v>3227</v>
      </c>
      <c r="T27" s="3047" t="s">
        <v>3242</v>
      </c>
    </row>
    <row r="28" spans="1:20" ht="15.6">
      <c r="A28" s="3047" t="s">
        <v>3364</v>
      </c>
      <c r="B28" s="3047" t="s">
        <v>3218</v>
      </c>
      <c r="C28" s="3047" t="s">
        <v>3219</v>
      </c>
      <c r="D28" s="3047" t="s">
        <v>1327</v>
      </c>
      <c r="E28" s="3047" t="s">
        <v>3364</v>
      </c>
      <c r="F28" s="3047" t="s">
        <v>3220</v>
      </c>
      <c r="G28" s="3047" t="s">
        <v>3365</v>
      </c>
      <c r="H28" s="3047" t="s">
        <v>3219</v>
      </c>
      <c r="I28" s="3047">
        <v>29160.28</v>
      </c>
      <c r="J28" s="3047">
        <v>84564.81</v>
      </c>
      <c r="K28" s="3047" t="s">
        <v>3366</v>
      </c>
      <c r="L28" s="3047" t="s">
        <v>3367</v>
      </c>
      <c r="M28" s="3047" t="s">
        <v>3368</v>
      </c>
      <c r="N28" s="3047" t="s">
        <v>3369</v>
      </c>
      <c r="O28" s="3047">
        <v>28000</v>
      </c>
      <c r="P28" s="3047">
        <v>640.14</v>
      </c>
      <c r="Q28" s="3047">
        <v>3311.07</v>
      </c>
      <c r="R28" s="3047">
        <v>120.47</v>
      </c>
      <c r="S28" s="3047" t="s">
        <v>3227</v>
      </c>
      <c r="T28" s="3047" t="s">
        <v>3242</v>
      </c>
    </row>
    <row r="39" ht="21" customHeight="1"/>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4" sqref="G24"/>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2458</v>
      </c>
      <c r="B1" s="1577"/>
      <c r="C1" s="1578"/>
      <c r="D1" s="1576"/>
      <c r="E1" s="320"/>
      <c r="F1" s="320"/>
      <c r="G1" s="1577"/>
      <c r="H1" s="320"/>
      <c r="I1" s="320"/>
      <c r="J1" s="320"/>
      <c r="K1" s="320">
        <f>MATCH(C1,'数据-取费表'!A6:A16,0)+5</f>
        <v>10</v>
      </c>
    </row>
    <row r="2" spans="1:33" ht="18" customHeight="1">
      <c r="A2" s="245" t="s">
        <v>2326</v>
      </c>
      <c r="B2" s="248">
        <f ca="1">C32</f>
        <v>36537</v>
      </c>
      <c r="C2" s="320" t="s">
        <v>2459</v>
      </c>
      <c r="D2" s="320"/>
      <c r="E2" s="320"/>
      <c r="F2" s="320"/>
      <c r="G2" s="320"/>
      <c r="H2" s="320"/>
      <c r="I2" s="320"/>
      <c r="J2" s="320"/>
      <c r="K2" s="320"/>
    </row>
    <row r="3" spans="1:33" ht="18" customHeight="1" thickBot="1">
      <c r="A3" s="247" t="s">
        <v>2328</v>
      </c>
      <c r="B3" s="248">
        <f ca="1">ROUND(B2*10000/IF(C1="",'数据-汇总表'!E3,INDIRECT("'数据-取费表'!K"&amp;$K$1)),0)</f>
        <v>4375</v>
      </c>
      <c r="C3" s="320" t="s">
        <v>2460</v>
      </c>
      <c r="D3" s="320"/>
      <c r="E3" s="320"/>
      <c r="F3" s="320"/>
      <c r="G3" s="320"/>
      <c r="H3" s="320"/>
      <c r="I3" s="320"/>
      <c r="J3" s="320"/>
      <c r="K3" s="320"/>
    </row>
    <row r="4" spans="1:33" s="953" customFormat="1" ht="16.5" customHeight="1">
      <c r="A4" s="950" t="s">
        <v>2461</v>
      </c>
      <c r="B4" s="951"/>
      <c r="C4" s="993">
        <f ca="1">SUM(C8:K8)</f>
        <v>75459</v>
      </c>
      <c r="D4" s="951"/>
      <c r="E4" s="951"/>
      <c r="F4" s="951"/>
      <c r="G4" s="951"/>
      <c r="H4" s="951"/>
      <c r="I4" s="951"/>
      <c r="J4" s="951"/>
      <c r="K4" s="952"/>
    </row>
    <row r="5" spans="1:33" s="957" customFormat="1" ht="26.4">
      <c r="A5" s="954" t="s">
        <v>2462</v>
      </c>
      <c r="B5" s="955" t="s">
        <v>2463</v>
      </c>
      <c r="C5" s="2547" t="s">
        <v>3169</v>
      </c>
      <c r="D5" s="2547" t="s">
        <v>3171</v>
      </c>
      <c r="E5" s="2547" t="s">
        <v>1373</v>
      </c>
      <c r="F5" s="2547" t="s">
        <v>48</v>
      </c>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f>ROUND(D6*((100-'比较法-住宅'!K32)/100),0)</f>
        <v>20309</v>
      </c>
      <c r="D6" s="959">
        <f>'比较法-住宅'!C49</f>
        <v>22565</v>
      </c>
      <c r="E6" s="959">
        <f ca="1">'收益法（商业）'!B3</f>
        <v>19862</v>
      </c>
      <c r="F6" s="959">
        <f ca="1">'收益法（地下车库）'!B3</f>
        <v>2842</v>
      </c>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15523.33</v>
      </c>
      <c r="D7" s="321">
        <f>SUMIF('数据-汇总表'!$C19:$C33,假设开发法!D5,'数据-汇总表'!$E19:$E33)</f>
        <v>12317.76</v>
      </c>
      <c r="E7" s="321">
        <f>SUMIF('数据-汇总表'!$C19:$C33,假设开发法!E5,'数据-汇总表'!$E19:$E33)</f>
        <v>2969.42</v>
      </c>
      <c r="F7" s="321">
        <f>SUMIF('数据-汇总表'!$C19:$C33,假设开发法!F5,'数据-汇总表'!$E19:$E33)</f>
        <v>36026.980000000003</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2467</v>
      </c>
      <c r="B8" s="177" t="s">
        <v>2468</v>
      </c>
      <c r="C8" s="994">
        <f>ROUND(C6*C7/10000,0)</f>
        <v>31526</v>
      </c>
      <c r="D8" s="994">
        <f>'比较法-住宅'!B2</f>
        <v>27795</v>
      </c>
      <c r="E8" s="994">
        <f ca="1">'收益法（商业）'!B2</f>
        <v>5898</v>
      </c>
      <c r="F8" s="994">
        <f ca="1">'收益法（地下车库）'!B2</f>
        <v>10240</v>
      </c>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1330</v>
      </c>
      <c r="B11" s="969" t="s">
        <v>2476</v>
      </c>
      <c r="C11" s="323">
        <f ca="1">IF(C1="",'数据-取费表'!P16,INDIRECT("'数据-取费表'!p"&amp;$K$1)+INDIRECT("'数据-取费表'!ar"&amp;$K$1))</f>
        <v>17655</v>
      </c>
      <c r="D11" s="970"/>
      <c r="E11" s="375"/>
      <c r="F11" s="971">
        <f ca="1">1-IF('数据-取费表'!B24=0,1,IF(C1="",'数据-取费表'!N16,INDIRECT("'数据-取费表'!n"&amp;$K$1)))</f>
        <v>0.90600000000000003</v>
      </c>
      <c r="G11" s="8"/>
      <c r="H11" s="965"/>
      <c r="I11" s="965"/>
      <c r="J11" s="965"/>
      <c r="K11" s="966"/>
    </row>
    <row r="12" spans="1:33" s="972" customFormat="1" ht="13.5" customHeight="1">
      <c r="A12" s="968" t="s">
        <v>1331</v>
      </c>
      <c r="B12" s="969" t="s">
        <v>2477</v>
      </c>
      <c r="C12" s="24">
        <f ca="1">ROUND(C11*F12,0)</f>
        <v>530</v>
      </c>
      <c r="D12" s="970"/>
      <c r="E12" s="375"/>
      <c r="F12" s="973">
        <f>'数据-取费表'!B33</f>
        <v>0.03</v>
      </c>
      <c r="G12" s="8" t="s">
        <v>2478</v>
      </c>
      <c r="H12" s="965"/>
      <c r="I12" s="965"/>
      <c r="J12" s="965"/>
      <c r="K12" s="966"/>
    </row>
    <row r="13" spans="1:33" s="972" customFormat="1" ht="13.5" customHeight="1">
      <c r="A13" s="968" t="s">
        <v>1332</v>
      </c>
      <c r="B13" s="969" t="s">
        <v>2479</v>
      </c>
      <c r="C13" s="24">
        <f ca="1">ROUND(IF(C1="",SUMIF('数据-取费表'!C:C,"住宅",'数据-取费表'!P:P)*F13,IF(INDIRECT("'数据-取费表'!c"&amp;$K$1)="住宅",INDIRECT("'数据-取费表'!P"&amp;$K$1)*F13,0)),0)</f>
        <v>405</v>
      </c>
      <c r="D13" s="1030"/>
      <c r="E13" s="375"/>
      <c r="F13" s="973">
        <f>'数据-取费表'!B34</f>
        <v>0.05</v>
      </c>
      <c r="G13" s="8" t="s">
        <v>2480</v>
      </c>
      <c r="H13" s="965"/>
      <c r="I13" s="965"/>
      <c r="J13" s="965"/>
      <c r="K13" s="966"/>
    </row>
    <row r="14" spans="1:33" s="974" customFormat="1" ht="13.5" customHeight="1">
      <c r="A14" s="968" t="s">
        <v>1333</v>
      </c>
      <c r="B14" s="969" t="s">
        <v>2481</v>
      </c>
      <c r="C14" s="24">
        <f ca="1">ROUND(D14*E14*F11/10000,0)</f>
        <v>1513</v>
      </c>
      <c r="D14" s="1030">
        <f ca="1">IF(C1="",'数据-汇总表'!E3,INDIRECT("'数据-取费表'!K"&amp;$K$1)+INDIRECT("'数据-取费表'!S"&amp;$K$1))</f>
        <v>83517</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2483</v>
      </c>
      <c r="C15" s="980">
        <f ca="1">ROUND(C11*F15,0)</f>
        <v>265</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20368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83517</v>
      </c>
      <c r="E17" s="24">
        <f>'数据-取费表'!B32</f>
        <v>0</v>
      </c>
      <c r="F17" s="975"/>
      <c r="G17" s="140" t="s">
        <v>2487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2488</v>
      </c>
      <c r="C18" s="24">
        <f ca="1">C19+C20-IF(C1="",'数据-取费表'!B29,IF(G18="已全部缴纳",C19+C20,H18))</f>
        <v>835</v>
      </c>
      <c r="D18" s="1030"/>
      <c r="E18" s="24"/>
      <c r="F18" s="973"/>
      <c r="G18" s="2549"/>
      <c r="H18" s="1573"/>
      <c r="I18" s="2550" t="s">
        <v>2489</v>
      </c>
      <c r="J18" s="976"/>
      <c r="K18" s="977"/>
    </row>
    <row r="19" spans="1:33" s="972" customFormat="1" ht="13.5" customHeight="1">
      <c r="A19" s="968" t="s">
        <v>805</v>
      </c>
      <c r="B19" s="969" t="s">
        <v>2490</v>
      </c>
      <c r="C19" s="24">
        <f ca="1">ROUND(D19*E19/10000,0)</f>
        <v>223</v>
      </c>
      <c r="D19" s="1030">
        <f ca="1">IF(C1="",'数据-汇总表'!E5,IF(INDIRECT("'数据-取费表'!c"&amp;$K$1)="住宅",INDIRECT("'数据-取费表'!k"&amp;$K$1),0))</f>
        <v>27841.09</v>
      </c>
      <c r="E19" s="24">
        <f>'数据-取费表'!B27</f>
        <v>80</v>
      </c>
      <c r="F19" s="973"/>
      <c r="G19" s="15"/>
      <c r="H19" s="1575"/>
      <c r="I19" s="978"/>
      <c r="J19" s="978"/>
      <c r="K19" s="979"/>
    </row>
    <row r="20" spans="1:33" s="972" customFormat="1" ht="13.5" customHeight="1">
      <c r="A20" s="968" t="s">
        <v>806</v>
      </c>
      <c r="B20" s="969" t="s">
        <v>2491</v>
      </c>
      <c r="C20" s="24">
        <f ca="1">ROUND(D20*E20/10000,0)</f>
        <v>612</v>
      </c>
      <c r="D20" s="1030">
        <f ca="1">IF(C1="",'数据-汇总表'!E6,IF(INDIRECT("'数据-取费表'!c"&amp;$K$1)="住宅",INDIRECT("'数据-取费表'!s"&amp;$K$1),INDIRECT("'数据-取费表'!k"&amp;$K$1)+INDIRECT("'数据-取费表'!s"&amp;$K$1)))</f>
        <v>55675.91</v>
      </c>
      <c r="E20" s="24">
        <f>'数据-取费表'!B28</f>
        <v>110</v>
      </c>
      <c r="F20" s="973"/>
      <c r="G20" s="15"/>
      <c r="H20" s="978"/>
      <c r="I20" s="978"/>
      <c r="J20" s="978"/>
      <c r="K20" s="979"/>
    </row>
    <row r="21" spans="1:33" s="972" customFormat="1" ht="13.5" customHeight="1">
      <c r="A21" s="958" t="s">
        <v>802</v>
      </c>
      <c r="B21" s="982" t="s">
        <v>2492</v>
      </c>
      <c r="C21" s="983">
        <f ca="1">C16+C17+C18</f>
        <v>21203</v>
      </c>
      <c r="D21" s="984"/>
      <c r="E21" s="325"/>
      <c r="F21" s="325"/>
      <c r="G21" s="140" t="s">
        <v>2493</v>
      </c>
      <c r="H21" s="976"/>
      <c r="I21" s="976"/>
      <c r="J21" s="976"/>
      <c r="K21" s="977"/>
    </row>
    <row r="22" spans="1:33" s="972" customFormat="1" ht="13.5" customHeight="1">
      <c r="A22" s="958" t="s">
        <v>2465</v>
      </c>
      <c r="B22" s="982" t="s">
        <v>2494</v>
      </c>
      <c r="C22" s="983">
        <f ca="1">ROUND(C21*F22,0)</f>
        <v>424</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2051</v>
      </c>
      <c r="D23" s="325"/>
      <c r="E23" s="325"/>
      <c r="F23" s="985">
        <f>'数据-取费表'!B38</f>
        <v>0.03</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953</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8.4500000000000006E-2</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953</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2505</v>
      </c>
      <c r="B28" s="2552" t="s">
        <v>2506</v>
      </c>
      <c r="C28" s="331">
        <f ca="1">C30</f>
        <v>2605</v>
      </c>
      <c r="D28" s="324">
        <f ca="1">C29</f>
        <v>9.6199999999999994E-2</v>
      </c>
      <c r="E28" s="326" t="s">
        <v>15</v>
      </c>
      <c r="F28" s="332">
        <f ca="1">IF(C1="",'数据-取费表'!Q16,INDIRECT("'数据-取费表'!q"&amp;$K$1))</f>
        <v>0.11</v>
      </c>
      <c r="G28" s="986"/>
      <c r="H28" s="987"/>
      <c r="I28" s="987"/>
      <c r="J28" s="987"/>
      <c r="K28" s="988"/>
    </row>
    <row r="29" spans="1:33" s="335" customFormat="1" ht="13.5" customHeight="1">
      <c r="A29" s="968" t="s">
        <v>803</v>
      </c>
      <c r="B29" s="991" t="s">
        <v>2507</v>
      </c>
      <c r="C29" s="328">
        <f ca="1">ROUND((1+C24)*F28*'数据-取费表'!B24/'数据-取费表'!B20,4)</f>
        <v>9.6199999999999994E-2</v>
      </c>
      <c r="D29" s="328"/>
      <c r="E29" s="329"/>
      <c r="F29" s="334"/>
      <c r="G29" s="140" t="s">
        <v>2508</v>
      </c>
      <c r="H29" s="976"/>
      <c r="I29" s="976"/>
      <c r="J29" s="976"/>
      <c r="K29" s="977"/>
    </row>
    <row r="30" spans="1:33" s="335" customFormat="1" ht="13.5" customHeight="1">
      <c r="A30" s="968" t="s">
        <v>804</v>
      </c>
      <c r="B30" s="991" t="s">
        <v>2509</v>
      </c>
      <c r="C30" s="336">
        <f ca="1">ROUND((C21+C22+C23)*F28,0)</f>
        <v>2605</v>
      </c>
      <c r="D30" s="328"/>
      <c r="E30" s="329"/>
      <c r="F30" s="334"/>
      <c r="G30" s="140"/>
      <c r="H30" s="976"/>
      <c r="I30" s="976"/>
      <c r="J30" s="976"/>
      <c r="K30" s="977"/>
    </row>
    <row r="31" spans="1:33" s="972" customFormat="1" ht="13.5" customHeight="1" thickBot="1">
      <c r="A31" s="2553" t="s">
        <v>2510</v>
      </c>
      <c r="B31" s="1002" t="s">
        <v>2511</v>
      </c>
      <c r="C31" s="1003">
        <f ca="1">ROUND(C4*F31/(1+'数据-取费表'!C42),0)</f>
        <v>4024</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36537</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c r="D1" s="1816"/>
      <c r="E1" s="1817" t="s">
        <v>1383</v>
      </c>
      <c r="F1" s="1280" t="b">
        <f>J53</f>
        <v>0</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4"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9">
        <f ca="1">C6+C10+C12</f>
        <v>0</v>
      </c>
      <c r="D5" s="1818" t="s">
        <v>1597</v>
      </c>
      <c r="E5" s="1290"/>
      <c r="F5" s="1291"/>
      <c r="G5" s="1847"/>
      <c r="H5" s="344">
        <v>1</v>
      </c>
      <c r="I5" s="345" t="s">
        <v>1596</v>
      </c>
      <c r="J5" s="1289">
        <f ca="1">J6+J10+J12</f>
        <v>0</v>
      </c>
      <c r="K5" s="1818" t="s">
        <v>1597</v>
      </c>
      <c r="L5" s="1290"/>
      <c r="M5" s="1291"/>
    </row>
    <row r="6" spans="1:37" ht="18" customHeight="1">
      <c r="A6" s="1288" t="s">
        <v>1032</v>
      </c>
      <c r="B6" s="3336" t="s">
        <v>1399</v>
      </c>
      <c r="C6" s="1293">
        <f ca="1">ROUND(F6*F8*F7*(1-F9),0)</f>
        <v>0</v>
      </c>
      <c r="D6" s="164" t="s">
        <v>3026</v>
      </c>
      <c r="E6" s="347" t="s">
        <v>1401</v>
      </c>
      <c r="F6" s="348">
        <f ca="1">INDIRECT("'数据-取费表'!u"&amp;$G$1)</f>
        <v>0</v>
      </c>
      <c r="G6" s="1847"/>
      <c r="H6" s="1288" t="s">
        <v>1032</v>
      </c>
      <c r="I6" s="3336" t="s">
        <v>1399</v>
      </c>
      <c r="J6" s="346">
        <f ca="1">ROUND(M6*M8*M7*(1-M9),0)</f>
        <v>0</v>
      </c>
      <c r="K6" s="1830" t="s">
        <v>3027</v>
      </c>
      <c r="L6" s="347" t="s">
        <v>1401</v>
      </c>
      <c r="M6" s="348">
        <f ca="1">INDIRECT("'数据-取费表'!z"&amp;$G$1)</f>
        <v>0</v>
      </c>
    </row>
    <row r="7" spans="1:37" ht="18" customHeight="1">
      <c r="A7" s="1292"/>
      <c r="B7" s="3337"/>
      <c r="C7" s="1294"/>
      <c r="D7" s="352"/>
      <c r="E7" s="1295" t="s">
        <v>1402</v>
      </c>
      <c r="F7" s="348">
        <f ca="1">IF(INDIRECT("'数据-取费表'!ah"&amp;$G$1)="",INDIRECT("'数据-取费表'!k"&amp;$G$1),INDIRECT("'数据-取费表'!ah"&amp;$G$1))</f>
        <v>0</v>
      </c>
      <c r="G7" s="1847"/>
      <c r="H7" s="349"/>
      <c r="I7" s="3337"/>
      <c r="J7" s="351"/>
      <c r="K7" s="352"/>
      <c r="L7" s="347" t="s">
        <v>1402</v>
      </c>
      <c r="M7" s="348">
        <f ca="1">F7</f>
        <v>0</v>
      </c>
    </row>
    <row r="8" spans="1:37" ht="18" customHeight="1">
      <c r="A8" s="349"/>
      <c r="B8" s="3337"/>
      <c r="C8" s="351"/>
      <c r="D8" s="352"/>
      <c r="E8" s="347" t="s">
        <v>1403</v>
      </c>
      <c r="F8" s="348">
        <f ca="1">INDIRECT("'数据-取费表'!ai"&amp;$G$1)</f>
        <v>0</v>
      </c>
      <c r="G8" s="1847"/>
      <c r="H8" s="349"/>
      <c r="I8" s="3337"/>
      <c r="J8" s="351"/>
      <c r="K8" s="352"/>
      <c r="L8" s="347" t="s">
        <v>1403</v>
      </c>
      <c r="M8" s="348">
        <f ca="1">INDIRECT("'数据-取费表'!ai"&amp;$G$1)</f>
        <v>0</v>
      </c>
    </row>
    <row r="9" spans="1:37" ht="18" customHeight="1">
      <c r="A9" s="349"/>
      <c r="B9" s="3338"/>
      <c r="C9" s="351"/>
      <c r="D9" s="352"/>
      <c r="E9" s="347" t="s">
        <v>1404</v>
      </c>
      <c r="F9" s="357">
        <f ca="1">INDIRECT("'数据-取费表'!w"&amp;$G$1)</f>
        <v>0</v>
      </c>
      <c r="G9" s="1847"/>
      <c r="H9" s="349"/>
      <c r="I9" s="3338"/>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3037</v>
      </c>
      <c r="E10" s="358" t="s">
        <v>1406</v>
      </c>
      <c r="F10" s="1363"/>
      <c r="G10" s="1847"/>
      <c r="H10" s="1288" t="s">
        <v>1036</v>
      </c>
      <c r="I10" s="1819" t="s">
        <v>1405</v>
      </c>
      <c r="J10" s="346">
        <f ca="1">ROUND(IF(M10="押一",J6/12*M11,IF(M10="押二",J6/12*2*M11,IF(M10="押三",J6/12*3*M11,J11*M11))),0)</f>
        <v>0</v>
      </c>
      <c r="K10" s="1831" t="s">
        <v>3039</v>
      </c>
      <c r="L10" s="358" t="s">
        <v>1406</v>
      </c>
      <c r="M10" s="1363"/>
    </row>
    <row r="11" spans="1:37" ht="18" customHeight="1">
      <c r="A11" s="353"/>
      <c r="B11" s="1821" t="s">
        <v>1598</v>
      </c>
      <c r="C11" s="1175"/>
      <c r="D11" s="352"/>
      <c r="E11" s="358" t="s">
        <v>1408</v>
      </c>
      <c r="F11" s="359">
        <f ca="1">'数据-取费表'!B39</f>
        <v>1.4999999999999999E-2</v>
      </c>
      <c r="G11" s="1847"/>
      <c r="H11" s="1296"/>
      <c r="I11" s="1821" t="s">
        <v>1599</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7" t="s">
        <v>1413</v>
      </c>
      <c r="C14" s="363">
        <f ca="1">ROUND(INDIRECT("'数据-取费表'!l"&amp;$G$1)*F43+'数据-取费表'!L14*INDIRECT("'数据-取费表'!S"&amp;$G$1),0)</f>
        <v>0</v>
      </c>
      <c r="D14" s="1796" t="s">
        <v>1414</v>
      </c>
      <c r="E14" s="1790"/>
      <c r="F14" s="364"/>
      <c r="G14" s="1847"/>
      <c r="H14" s="1198" t="s">
        <v>1032</v>
      </c>
      <c r="I14" s="347" t="s">
        <v>1415</v>
      </c>
      <c r="J14" s="24">
        <f ca="1">C29</f>
        <v>0</v>
      </c>
      <c r="K14" s="15"/>
      <c r="L14" s="976"/>
      <c r="M14" s="977"/>
    </row>
    <row r="15" spans="1:37" s="1854" customFormat="1" ht="18" customHeight="1" thickBot="1">
      <c r="A15" s="1198" t="s">
        <v>1033</v>
      </c>
      <c r="B15" s="347" t="s">
        <v>1416</v>
      </c>
      <c r="C15" s="24">
        <f ca="1">ROUND(C14*F15,0)</f>
        <v>0</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7"/>
      <c r="H16" s="1326" t="s">
        <v>1027</v>
      </c>
      <c r="I16" s="1327" t="s">
        <v>1420</v>
      </c>
      <c r="J16" s="355">
        <f ca="1">ROUND(J17+J22+J23+J24,0)</f>
        <v>0</v>
      </c>
      <c r="K16" s="1334" t="s">
        <v>1421</v>
      </c>
      <c r="L16" s="1335"/>
      <c r="M16" s="1291"/>
    </row>
    <row r="17" spans="1:37" s="1854" customFormat="1" ht="18" customHeight="1">
      <c r="A17" s="1198" t="s">
        <v>1386</v>
      </c>
      <c r="B17" s="347" t="s">
        <v>1422</v>
      </c>
      <c r="C17" s="24">
        <f ca="1">ROUND(F17*(F43+INDIRECT("'数据-取费表'!S"&amp;$G$1)),0)</f>
        <v>0</v>
      </c>
      <c r="D17" s="347" t="s">
        <v>1423</v>
      </c>
      <c r="E17" s="347" t="s">
        <v>1424</v>
      </c>
      <c r="F17" s="26">
        <f>'数据-取费表'!B35</f>
        <v>200</v>
      </c>
      <c r="G17" s="1850"/>
      <c r="H17" s="1198"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0</v>
      </c>
      <c r="D18" s="347" t="s">
        <v>1417</v>
      </c>
      <c r="E18" s="347" t="s">
        <v>1418</v>
      </c>
      <c r="F18" s="367">
        <f>'数据-取费表'!B36</f>
        <v>1.4999999999999999E-2</v>
      </c>
      <c r="G18" s="1850"/>
      <c r="H18" s="1198"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0</v>
      </c>
      <c r="D19" s="140" t="s">
        <v>1432</v>
      </c>
      <c r="E19" s="1814"/>
      <c r="F19" s="26"/>
      <c r="G19" s="1847"/>
      <c r="H19" s="1198"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198" t="s">
        <v>1036</v>
      </c>
      <c r="B20" s="347" t="s">
        <v>1435</v>
      </c>
      <c r="C20" s="24">
        <f ca="1">ROUND(C19*F20,0)</f>
        <v>0</v>
      </c>
      <c r="D20" s="369" t="s">
        <v>1436</v>
      </c>
      <c r="E20" s="347" t="s">
        <v>1418</v>
      </c>
      <c r="F20" s="367">
        <f>'数据-取费表'!B37</f>
        <v>0.02</v>
      </c>
      <c r="G20" s="1850"/>
      <c r="H20" s="1198" t="s">
        <v>1385</v>
      </c>
      <c r="I20" s="164" t="s">
        <v>1437</v>
      </c>
      <c r="J20" s="25">
        <f ca="1">ROUND(M20*M21,0)</f>
        <v>0</v>
      </c>
      <c r="K20" s="370" t="s">
        <v>1438</v>
      </c>
      <c r="L20" s="347" t="s">
        <v>1439</v>
      </c>
      <c r="M20" s="371">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v>
      </c>
      <c r="D21" s="369" t="s">
        <v>1441</v>
      </c>
      <c r="E21" s="347" t="s">
        <v>1442</v>
      </c>
      <c r="F21" s="367">
        <f>'数据-取费表'!B38</f>
        <v>0.03</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ROUND(J14*M22,0)</f>
        <v>0</v>
      </c>
      <c r="K22" s="1794" t="s">
        <v>1446</v>
      </c>
      <c r="L22" s="347" t="s">
        <v>1418</v>
      </c>
      <c r="M22" s="374">
        <f ca="1">INDIRECT("'数据-取费表'!Ak"&amp;$G$1)</f>
        <v>0</v>
      </c>
    </row>
    <row r="23" spans="1:37" s="1854"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7" t="s">
        <v>1457</v>
      </c>
      <c r="C25" s="24"/>
      <c r="D25" s="140" t="s">
        <v>1458</v>
      </c>
      <c r="E25" s="1814"/>
      <c r="F25" s="26"/>
      <c r="G25" s="1847"/>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0</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IF(项目基本情况!B11="自然人","——",ROUND(C5*F32/(1+'数据-取费表'!C42),0))</f>
        <v>0</v>
      </c>
      <c r="D32" s="1794"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8" t="s">
        <v>1385</v>
      </c>
      <c r="B34" s="164" t="s">
        <v>1437</v>
      </c>
      <c r="C34" s="25">
        <f ca="1">IF(项目基本情况!B11="自然人","——",ROUND(F34*F35,))</f>
        <v>0</v>
      </c>
      <c r="D34" s="370" t="s">
        <v>1438</v>
      </c>
      <c r="E34" s="347" t="s">
        <v>1439</v>
      </c>
      <c r="F34" s="371">
        <f>'数据-取费表'!B52</f>
        <v>8</v>
      </c>
      <c r="G34" s="1847"/>
      <c r="H34" s="745"/>
      <c r="I34" s="1856"/>
      <c r="J34" s="1857"/>
      <c r="K34" s="1859"/>
      <c r="L34" s="1860"/>
      <c r="M34" s="1860"/>
    </row>
    <row r="35" spans="1:18" ht="18" customHeight="1">
      <c r="A35" s="1350"/>
      <c r="B35" s="1348"/>
      <c r="C35" s="29"/>
      <c r="D35" s="373"/>
      <c r="E35" s="347" t="s">
        <v>1443</v>
      </c>
      <c r="F35" s="348">
        <f ca="1">INDIRECT("'数据-取费表'!r"&amp;$G$1)</f>
        <v>0</v>
      </c>
      <c r="G35" s="1847"/>
      <c r="H35" s="745"/>
      <c r="I35" s="1856"/>
      <c r="J35" s="1857"/>
      <c r="K35" s="1858"/>
      <c r="L35" s="1855"/>
      <c r="M35" s="1855"/>
    </row>
    <row r="36" spans="1:18" ht="18" customHeight="1">
      <c r="A36" s="1349" t="s">
        <v>1036</v>
      </c>
      <c r="B36" s="347" t="s">
        <v>1445</v>
      </c>
      <c r="C36" s="24">
        <f ca="1">ROUND(C29*F36,0)</f>
        <v>0</v>
      </c>
      <c r="D36" s="1794" t="s">
        <v>1478</v>
      </c>
      <c r="E36" s="347" t="s">
        <v>1418</v>
      </c>
      <c r="F36" s="374">
        <f ca="1">INDIRECT("'数据-取费表'!Ak"&amp;$G$1)</f>
        <v>0</v>
      </c>
      <c r="G36" s="1847"/>
      <c r="H36" s="1855"/>
      <c r="I36" s="1856"/>
      <c r="J36" s="1857"/>
      <c r="K36" s="751"/>
      <c r="L36" s="1855"/>
      <c r="M36" s="1855"/>
    </row>
    <row r="37" spans="1:18" ht="18" customHeight="1">
      <c r="A37" s="1198" t="s">
        <v>1072</v>
      </c>
      <c r="B37" s="347" t="s">
        <v>1449</v>
      </c>
      <c r="C37" s="24">
        <f ca="1">ROUND(C13*F37,0)</f>
        <v>0</v>
      </c>
      <c r="D37" s="1794" t="s">
        <v>1450</v>
      </c>
      <c r="E37" s="347" t="s">
        <v>1451</v>
      </c>
      <c r="F37" s="376">
        <f ca="1">INDIRECT("'数据-取费表'!Al"&amp;$G$1)</f>
        <v>0</v>
      </c>
      <c r="G37" s="1847"/>
      <c r="H37" s="1855"/>
      <c r="I37" s="1856"/>
      <c r="J37" s="1857"/>
      <c r="K37" s="751"/>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5">
        <f ca="1">C5-C30</f>
        <v>0</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1473</v>
      </c>
      <c r="F42" s="357">
        <f ca="1">INDIRECT("'数据-取费表'!v"&amp;$G$1)</f>
        <v>0</v>
      </c>
      <c r="G42" s="1847"/>
      <c r="H42" s="732"/>
      <c r="I42" s="1856"/>
      <c r="J42" s="1857"/>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2" t="s">
        <v>1392</v>
      </c>
      <c r="B47" s="1194" t="s">
        <v>1393</v>
      </c>
      <c r="C47" s="1194" t="s">
        <v>1394</v>
      </c>
      <c r="D47" s="1194" t="s">
        <v>1395</v>
      </c>
      <c r="E47" s="1276" t="s">
        <v>1396</v>
      </c>
      <c r="F47" s="1277"/>
      <c r="G47" s="792"/>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7" t="s">
        <v>1132</v>
      </c>
      <c r="B48" s="345" t="s">
        <v>1397</v>
      </c>
      <c r="C48" s="1813">
        <f ca="1">C49+C53+C55</f>
        <v>0</v>
      </c>
      <c r="D48" s="1359"/>
      <c r="E48" s="1360"/>
      <c r="F48" s="1178"/>
      <c r="G48" s="792"/>
      <c r="H48" s="793"/>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1" t="s">
        <v>1133</v>
      </c>
      <c r="B49" s="1825" t="s">
        <v>1486</v>
      </c>
      <c r="C49" s="1361">
        <f ca="1">ROUND(F49*F51*F50*(1-F52),0)</f>
        <v>0</v>
      </c>
      <c r="D49" s="1273" t="s">
        <v>1400</v>
      </c>
      <c r="E49" s="1826" t="s">
        <v>1487</v>
      </c>
      <c r="F49" s="1278"/>
      <c r="G49" s="1887"/>
      <c r="H49" s="793"/>
      <c r="I49" s="1883" t="s">
        <v>1530</v>
      </c>
      <c r="J49" s="1888"/>
      <c r="K49" s="1885" t="s">
        <v>1531</v>
      </c>
      <c r="L49" s="1889"/>
      <c r="O49" s="1890" t="s">
        <v>1039</v>
      </c>
      <c r="P49" s="1881" t="s">
        <v>1532</v>
      </c>
      <c r="Q49" s="1882">
        <f ca="1">C29</f>
        <v>0</v>
      </c>
      <c r="R49" s="1882" t="s">
        <v>1525</v>
      </c>
    </row>
    <row r="50" spans="1:18" s="1838" customFormat="1" ht="13.8" thickBot="1">
      <c r="A50" s="1192"/>
      <c r="B50" s="1195"/>
      <c r="C50" s="1196"/>
      <c r="D50" s="1169"/>
      <c r="E50" s="1274" t="s">
        <v>1402</v>
      </c>
      <c r="F50" s="1275">
        <f ca="1">F7</f>
        <v>0</v>
      </c>
      <c r="H50" s="793"/>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3"/>
      <c r="B51" s="1195"/>
      <c r="C51" s="1196"/>
      <c r="D51" s="1169"/>
      <c r="E51" s="1197"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9" t="s">
        <v>1405</v>
      </c>
      <c r="C53" s="361">
        <f ca="1">ROUND(IF(F53="押一",C49/12*F11,IF(F53="押二",C49/12*2*F11,IF(F53="押三",C49/12*3*F11,C54*F11))),0)</f>
        <v>0</v>
      </c>
      <c r="D53" s="1820" t="s">
        <v>3040</v>
      </c>
      <c r="E53" s="358"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339" t="s">
        <v>1544</v>
      </c>
      <c r="L53" s="3340"/>
      <c r="O53" s="1880" t="s">
        <v>1043</v>
      </c>
      <c r="P53" s="1881" t="s">
        <v>1545</v>
      </c>
      <c r="Q53" s="1882" t="e">
        <f ca="1">Q47+Q48</f>
        <v>#DIV/0!</v>
      </c>
      <c r="R53" s="1882" t="s">
        <v>1044</v>
      </c>
    </row>
    <row r="54" spans="1:18" s="1838" customFormat="1" ht="13.8"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30" t="s">
        <v>1072</v>
      </c>
      <c r="B55" s="1823" t="s">
        <v>1409</v>
      </c>
      <c r="C55" s="1331"/>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6"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60" t="s">
        <v>1027</v>
      </c>
      <c r="B58" s="1174" t="s">
        <v>1420</v>
      </c>
      <c r="C58" s="361">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IF(项目基本情况!B11="自然人","——",ROUND(C48*F60/(1+'数据-取费表'!C42),0))</f>
        <v>0</v>
      </c>
      <c r="D60" s="1180" t="s">
        <v>1430</v>
      </c>
      <c r="E60" s="1166" t="s">
        <v>1418</v>
      </c>
      <c r="F60" s="377">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IF(项目基本情况!B11="自然人","——",ROUND(F62*F63,0))</f>
        <v>0</v>
      </c>
      <c r="D62" s="1181" t="s">
        <v>1493</v>
      </c>
      <c r="E62" s="1166" t="s">
        <v>1494</v>
      </c>
      <c r="F62" s="371">
        <f t="shared" si="0"/>
        <v>8</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72"/>
      <c r="B63" s="1172"/>
      <c r="C63" s="29"/>
      <c r="D63" s="1182"/>
      <c r="E63" s="1166" t="s">
        <v>1495</v>
      </c>
      <c r="F63" s="348">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ROUND(C57*F64,0)</f>
        <v>0</v>
      </c>
      <c r="D64" s="1180" t="s">
        <v>1498</v>
      </c>
      <c r="E64" s="1166"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ROUND(C56*F65,0)</f>
        <v>0</v>
      </c>
      <c r="D65" s="1180" t="s">
        <v>1450</v>
      </c>
      <c r="E65" s="1166"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8" t="s">
        <v>1500</v>
      </c>
      <c r="B66" s="1166" t="s">
        <v>1435</v>
      </c>
      <c r="C66" s="24">
        <f ca="1">ROUND(C48*F66,0)</f>
        <v>0</v>
      </c>
      <c r="D66" s="1180" t="s">
        <v>1501</v>
      </c>
      <c r="E66" s="1166" t="s">
        <v>1418</v>
      </c>
      <c r="F66" s="357">
        <f t="shared" ca="1" si="0"/>
        <v>0</v>
      </c>
      <c r="O66" s="1880" t="s">
        <v>1038</v>
      </c>
      <c r="P66" s="1881" t="s">
        <v>1554</v>
      </c>
      <c r="Q66" s="1882" t="e">
        <f ca="1">L60</f>
        <v>#DIV/0!</v>
      </c>
      <c r="R66" s="1882" t="s">
        <v>1577</v>
      </c>
    </row>
    <row r="67" spans="1:18" s="1838" customFormat="1" ht="24.6" thickBot="1">
      <c r="A67" s="1173" t="s">
        <v>1028</v>
      </c>
      <c r="B67" s="1183" t="s">
        <v>1459</v>
      </c>
      <c r="C67" s="361">
        <f ca="1">C48-C58</f>
        <v>0</v>
      </c>
      <c r="D67" s="1179" t="s">
        <v>1460</v>
      </c>
      <c r="E67" s="1184"/>
      <c r="F67" s="1185"/>
      <c r="O67" s="1890" t="s">
        <v>1039</v>
      </c>
      <c r="P67" s="1881" t="s">
        <v>1558</v>
      </c>
      <c r="Q67" s="1929">
        <f ca="1">L51</f>
        <v>0</v>
      </c>
      <c r="R67" s="1882" t="s">
        <v>1578</v>
      </c>
    </row>
    <row r="68" spans="1:18" s="1838" customFormat="1" ht="16.2" thickBot="1">
      <c r="A68" s="1163" t="s">
        <v>1029</v>
      </c>
      <c r="B68" s="1164" t="s">
        <v>1481</v>
      </c>
      <c r="C68" s="346" t="e">
        <f ca="1">ROUND(C67*(1-((1+F70)/(1+F68))^F69)/(F68-F70),0)</f>
        <v>#DIV/0!</v>
      </c>
      <c r="D68" s="1181" t="s">
        <v>1465</v>
      </c>
      <c r="E68" s="1166" t="s">
        <v>1466</v>
      </c>
      <c r="F68" s="357">
        <f ca="1">F40</f>
        <v>0</v>
      </c>
      <c r="O68" s="1890" t="s">
        <v>1040</v>
      </c>
      <c r="P68" s="1930" t="s">
        <v>1579</v>
      </c>
      <c r="Q68" s="1882">
        <f ca="1">ROUND(Q69-Q70*Q71,0)</f>
        <v>0</v>
      </c>
      <c r="R68" s="1882" t="s">
        <v>1048</v>
      </c>
    </row>
    <row r="69" spans="1:18" s="1838" customFormat="1" ht="13.8" thickBot="1">
      <c r="A69" s="1167"/>
      <c r="B69" s="1168"/>
      <c r="C69" s="351"/>
      <c r="D69" s="1186" t="s">
        <v>1469</v>
      </c>
      <c r="E69" s="1166" t="s">
        <v>1470</v>
      </c>
      <c r="F69" s="379">
        <f ca="1">F41</f>
        <v>0</v>
      </c>
      <c r="O69" s="1890" t="s">
        <v>1045</v>
      </c>
      <c r="P69" s="1930" t="s">
        <v>1580</v>
      </c>
      <c r="Q69" s="1882">
        <f ca="1">C39</f>
        <v>0</v>
      </c>
      <c r="R69" s="1882" t="s">
        <v>1525</v>
      </c>
    </row>
    <row r="70" spans="1:18" s="1838" customFormat="1" ht="13.8" thickBot="1">
      <c r="A70" s="1170"/>
      <c r="B70" s="1171"/>
      <c r="C70" s="355"/>
      <c r="D70" s="1182"/>
      <c r="E70" s="1166" t="s">
        <v>1473</v>
      </c>
      <c r="F70" s="1272">
        <f ca="1">F42</f>
        <v>0</v>
      </c>
      <c r="O70" s="1890" t="s">
        <v>1046</v>
      </c>
      <c r="P70" s="1930" t="s">
        <v>1581</v>
      </c>
      <c r="Q70" s="1882">
        <f ca="1">C13</f>
        <v>0</v>
      </c>
      <c r="R70" s="1882" t="s">
        <v>1525</v>
      </c>
    </row>
    <row r="71" spans="1:18" s="1838" customFormat="1" ht="13.8" thickBot="1">
      <c r="A71" s="1187" t="s">
        <v>1030</v>
      </c>
      <c r="B71" s="1188" t="s">
        <v>1483</v>
      </c>
      <c r="C71" s="382" t="e">
        <f ca="1">ROUND(C68/F71,0)</f>
        <v>#DIV/0!</v>
      </c>
      <c r="D71" s="1189" t="s">
        <v>1484</v>
      </c>
      <c r="E71" s="1190" t="s">
        <v>1485</v>
      </c>
      <c r="F71" s="385">
        <f ca="1">F43</f>
        <v>0</v>
      </c>
      <c r="O71" s="1890" t="s">
        <v>1047</v>
      </c>
      <c r="P71" s="1930" t="s">
        <v>1582</v>
      </c>
      <c r="Q71" s="1893">
        <f ca="1">C76</f>
        <v>0</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4" t="s">
        <v>2522</v>
      </c>
      <c r="B1" s="2555"/>
      <c r="C1" s="2555"/>
      <c r="D1" s="2555"/>
      <c r="E1" s="2556"/>
    </row>
    <row r="2" spans="1:6" ht="15.6">
      <c r="A2" s="2557" t="s">
        <v>2326</v>
      </c>
      <c r="B2" s="2558">
        <f ca="1">SUMIF(B6:B13,"&lt;&gt;#ref!",B6:B13)</f>
        <v>16138</v>
      </c>
      <c r="C2" s="2559" t="s">
        <v>2515</v>
      </c>
      <c r="D2" s="2560" t="s">
        <v>2516</v>
      </c>
      <c r="E2" s="2561">
        <f>SUM(E6:E13)</f>
        <v>48728.08</v>
      </c>
    </row>
    <row r="3" spans="1:6" ht="15.6">
      <c r="A3" s="2557" t="s">
        <v>1391</v>
      </c>
      <c r="B3" s="2558">
        <f ca="1">ROUND(B2*10000/E2,0)</f>
        <v>3312</v>
      </c>
      <c r="C3" s="2559" t="s">
        <v>2523</v>
      </c>
      <c r="D3" s="2562"/>
      <c r="E3" s="2563"/>
    </row>
    <row r="4" spans="1:6" ht="15.6">
      <c r="A4" s="2564"/>
      <c r="B4" s="2562"/>
      <c r="C4" s="2562"/>
      <c r="D4" s="2562"/>
      <c r="E4" s="2563"/>
    </row>
    <row r="5" spans="1:6" ht="14.4">
      <c r="A5" s="2565" t="s">
        <v>2517</v>
      </c>
      <c r="B5" s="3341" t="s">
        <v>2518</v>
      </c>
      <c r="C5" s="3341"/>
      <c r="D5" s="2566"/>
      <c r="E5" s="2567" t="s">
        <v>2519</v>
      </c>
      <c r="F5" s="2568" t="s">
        <v>2520</v>
      </c>
    </row>
    <row r="6" spans="1:6" ht="14.4">
      <c r="A6" s="2569">
        <f>'数据-取费表'!AN6</f>
        <v>0</v>
      </c>
      <c r="B6" s="2568" t="e">
        <f ca="1">IF(F6="是",'数据-取费表'!AO6,0)</f>
        <v>#REF!</v>
      </c>
      <c r="C6" s="2559" t="s">
        <v>2515</v>
      </c>
      <c r="D6" s="2562"/>
      <c r="E6" s="2570">
        <f>IF(OR(A6=0,F6="否"),0,'数据-取费表'!K6+'数据-取费表'!S6)</f>
        <v>0</v>
      </c>
      <c r="F6" s="2571" t="s">
        <v>2521</v>
      </c>
    </row>
    <row r="7" spans="1:6" ht="14.4">
      <c r="A7" s="2569">
        <f>'数据-取费表'!AN7</f>
        <v>0</v>
      </c>
      <c r="B7" s="2568" t="e">
        <f ca="1">IF(F7="是",'数据-取费表'!AO7,0)</f>
        <v>#REF!</v>
      </c>
      <c r="C7" s="2559" t="s">
        <v>2515</v>
      </c>
      <c r="D7" s="2562"/>
      <c r="E7" s="2570">
        <f>IF(OR(A7=0,F7="否"),0,'数据-取费表'!K7+'数据-取费表'!S7)</f>
        <v>0</v>
      </c>
      <c r="F7" s="2571" t="s">
        <v>2521</v>
      </c>
    </row>
    <row r="8" spans="1:6" ht="14.4">
      <c r="A8" s="2569" t="str">
        <f>'数据-取费表'!AN8</f>
        <v>收益法（商业）</v>
      </c>
      <c r="B8" s="2568">
        <f ca="1">IF(F8="是",'数据-取费表'!AO8,0)</f>
        <v>5898</v>
      </c>
      <c r="C8" s="2559" t="s">
        <v>2515</v>
      </c>
      <c r="D8" s="2562"/>
      <c r="E8" s="2570">
        <f>IF(OR(A8=0,F8="否"),0,'数据-取费表'!K8+'数据-取费表'!S8)</f>
        <v>3710.45</v>
      </c>
      <c r="F8" s="2571" t="s">
        <v>2521</v>
      </c>
    </row>
    <row r="9" spans="1:6" ht="14.4">
      <c r="A9" s="2569" t="str">
        <f>'数据-取费表'!AN9</f>
        <v>收益法（地下车库）</v>
      </c>
      <c r="B9" s="2568">
        <f ca="1">IF(F9="是",'数据-取费表'!AO9,0)</f>
        <v>10240</v>
      </c>
      <c r="C9" s="2559" t="s">
        <v>2515</v>
      </c>
      <c r="D9" s="2562"/>
      <c r="E9" s="2570">
        <f>IF(OR(A9=0,F9="否"),0,'数据-取费表'!K9+'数据-取费表'!S9)</f>
        <v>45017.630000000005</v>
      </c>
      <c r="F9" s="2571" t="s">
        <v>2521</v>
      </c>
    </row>
    <row r="10" spans="1:6" ht="14.4">
      <c r="A10" s="2569">
        <f>'数据-取费表'!AN10</f>
        <v>0</v>
      </c>
      <c r="B10" s="2568" t="e">
        <f ca="1">IF(F10="是",'数据-取费表'!AO10,0)</f>
        <v>#REF!</v>
      </c>
      <c r="C10" s="2559" t="s">
        <v>2515</v>
      </c>
      <c r="D10" s="2562"/>
      <c r="E10" s="2570">
        <f>IF(OR(A10=0,F10="否"),0,'数据-取费表'!K10+'数据-取费表'!S10)</f>
        <v>0</v>
      </c>
      <c r="F10" s="2571" t="s">
        <v>2521</v>
      </c>
    </row>
    <row r="11" spans="1:6" ht="14.4">
      <c r="A11" s="2569">
        <f>'数据-取费表'!AN11</f>
        <v>0</v>
      </c>
      <c r="B11" s="2568" t="e">
        <f ca="1">IF(F11="是",'数据-取费表'!AO11,0)</f>
        <v>#REF!</v>
      </c>
      <c r="C11" s="2559" t="s">
        <v>2515</v>
      </c>
      <c r="D11" s="2562"/>
      <c r="E11" s="2570">
        <f>IF(OR(A11=0,F11="否"),0,'数据-取费表'!K11+'数据-取费表'!S11)</f>
        <v>0</v>
      </c>
      <c r="F11" s="2571" t="s">
        <v>2521</v>
      </c>
    </row>
    <row r="12" spans="1:6" ht="14.4">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4.4"/>
  <cols>
    <col min="1" max="1" width="10.44140625" customWidth="1"/>
    <col min="2" max="2" width="12.88671875" customWidth="1"/>
    <col min="3" max="3" width="8.77734375" customWidth="1"/>
  </cols>
  <sheetData>
    <row r="1" spans="1:9" ht="15.6">
      <c r="A1" s="3342" t="s">
        <v>1073</v>
      </c>
      <c r="B1" s="3343"/>
      <c r="C1" s="3344"/>
      <c r="D1" s="3345">
        <f>SUM(I10,I15,I20,I21,I23)</f>
        <v>0</v>
      </c>
      <c r="E1" s="3345"/>
      <c r="F1" s="3345"/>
      <c r="G1" s="3345"/>
      <c r="H1" s="3345"/>
      <c r="I1" s="3346"/>
    </row>
    <row r="2" spans="1:9">
      <c r="A2" s="3347" t="s">
        <v>1074</v>
      </c>
      <c r="B2" s="3348" t="s">
        <v>1075</v>
      </c>
      <c r="C2" s="3348"/>
      <c r="D2" s="1298" t="s">
        <v>1076</v>
      </c>
      <c r="E2" s="1298" t="s">
        <v>1077</v>
      </c>
      <c r="F2" s="1298" t="s">
        <v>1078</v>
      </c>
      <c r="G2" s="1298" t="s">
        <v>1079</v>
      </c>
      <c r="H2" s="1298" t="s">
        <v>1080</v>
      </c>
      <c r="I2" s="1299" t="s">
        <v>1081</v>
      </c>
    </row>
    <row r="3" spans="1:9">
      <c r="A3" s="3347"/>
      <c r="B3" s="3348" t="s">
        <v>1082</v>
      </c>
      <c r="C3" s="3348"/>
      <c r="D3" s="1300"/>
      <c r="E3" s="1298"/>
      <c r="F3" s="1301"/>
      <c r="G3" s="1301"/>
      <c r="H3" s="1302"/>
      <c r="I3" s="1303">
        <f>ROUND(D3*E3*F3*G3*H3/10000,0)</f>
        <v>0</v>
      </c>
    </row>
    <row r="4" spans="1:9">
      <c r="A4" s="3347"/>
      <c r="B4" s="3348" t="s">
        <v>1083</v>
      </c>
      <c r="C4" s="3348"/>
      <c r="D4" s="1300"/>
      <c r="E4" s="1298"/>
      <c r="F4" s="1301"/>
      <c r="G4" s="1301"/>
      <c r="H4" s="1302"/>
      <c r="I4" s="1303">
        <f t="shared" ref="I4:I9" si="0">ROUND(D4*E4*F4*G4*H4/10000,0)</f>
        <v>0</v>
      </c>
    </row>
    <row r="5" spans="1:9">
      <c r="A5" s="3347"/>
      <c r="B5" s="3348" t="s">
        <v>1084</v>
      </c>
      <c r="C5" s="3348"/>
      <c r="D5" s="1300"/>
      <c r="E5" s="1298"/>
      <c r="F5" s="1301"/>
      <c r="G5" s="1301"/>
      <c r="H5" s="1302"/>
      <c r="I5" s="1303">
        <f t="shared" si="0"/>
        <v>0</v>
      </c>
    </row>
    <row r="6" spans="1:9">
      <c r="A6" s="3347"/>
      <c r="B6" s="3348" t="s">
        <v>1085</v>
      </c>
      <c r="C6" s="3348"/>
      <c r="D6" s="1300"/>
      <c r="E6" s="1298"/>
      <c r="F6" s="1301"/>
      <c r="G6" s="1301"/>
      <c r="H6" s="1302"/>
      <c r="I6" s="1303">
        <f t="shared" si="0"/>
        <v>0</v>
      </c>
    </row>
    <row r="7" spans="1:9">
      <c r="A7" s="3347"/>
      <c r="B7" s="3348" t="s">
        <v>1086</v>
      </c>
      <c r="C7" s="3348"/>
      <c r="D7" s="1300"/>
      <c r="E7" s="1298"/>
      <c r="F7" s="1301"/>
      <c r="G7" s="1301"/>
      <c r="H7" s="1302"/>
      <c r="I7" s="1303">
        <f t="shared" si="0"/>
        <v>0</v>
      </c>
    </row>
    <row r="8" spans="1:9">
      <c r="A8" s="3347"/>
      <c r="B8" s="3348" t="s">
        <v>1087</v>
      </c>
      <c r="C8" s="3348"/>
      <c r="D8" s="1300"/>
      <c r="E8" s="1298"/>
      <c r="F8" s="1301"/>
      <c r="G8" s="1301"/>
      <c r="H8" s="1302"/>
      <c r="I8" s="1303">
        <f t="shared" si="0"/>
        <v>0</v>
      </c>
    </row>
    <row r="9" spans="1:9">
      <c r="A9" s="3347"/>
      <c r="B9" s="3348" t="s">
        <v>1088</v>
      </c>
      <c r="C9" s="3348"/>
      <c r="D9" s="1300"/>
      <c r="E9" s="1298"/>
      <c r="F9" s="1301"/>
      <c r="G9" s="1301"/>
      <c r="H9" s="1302"/>
      <c r="I9" s="1303">
        <f t="shared" si="0"/>
        <v>0</v>
      </c>
    </row>
    <row r="10" spans="1:9">
      <c r="A10" s="3347"/>
      <c r="B10" s="3349" t="s">
        <v>1089</v>
      </c>
      <c r="C10" s="3349"/>
      <c r="D10" s="1304"/>
      <c r="E10" s="1304" t="e">
        <f>ROUND(D1*10000/D10/H9,0)</f>
        <v>#DIV/0!</v>
      </c>
      <c r="F10" s="1305"/>
      <c r="G10" s="1305"/>
      <c r="H10" s="1306"/>
      <c r="I10" s="1307">
        <f>SUM(I3:I9)</f>
        <v>0</v>
      </c>
    </row>
    <row r="11" spans="1:9" ht="15.6">
      <c r="A11" s="3347" t="s">
        <v>1090</v>
      </c>
      <c r="B11" s="3348" t="s">
        <v>1091</v>
      </c>
      <c r="C11" s="3348"/>
      <c r="D11" s="1300" t="s">
        <v>1092</v>
      </c>
      <c r="E11" s="1300" t="s">
        <v>1093</v>
      </c>
      <c r="F11" s="1301" t="s">
        <v>1094</v>
      </c>
      <c r="G11" s="1301" t="s">
        <v>1080</v>
      </c>
      <c r="H11" s="1308" t="s">
        <v>1095</v>
      </c>
      <c r="I11" s="1299" t="s">
        <v>1081</v>
      </c>
    </row>
    <row r="12" spans="1:9">
      <c r="A12" s="3347"/>
      <c r="B12" s="3348" t="s">
        <v>1096</v>
      </c>
      <c r="C12" s="3348"/>
      <c r="D12" s="1300"/>
      <c r="E12" s="1300"/>
      <c r="F12" s="1301"/>
      <c r="G12" s="1302"/>
      <c r="H12" s="1309"/>
      <c r="I12" s="1299">
        <f>ROUND(D12*E12*F12*G12/10000,0)</f>
        <v>0</v>
      </c>
    </row>
    <row r="13" spans="1:9">
      <c r="A13" s="3347"/>
      <c r="B13" s="3348" t="s">
        <v>1097</v>
      </c>
      <c r="C13" s="3348"/>
      <c r="D13" s="1300"/>
      <c r="E13" s="1300"/>
      <c r="F13" s="1301"/>
      <c r="G13" s="1302"/>
      <c r="H13" s="1309"/>
      <c r="I13" s="1299">
        <f>ROUND(D13*E13*F13*G13/10000,0)</f>
        <v>0</v>
      </c>
    </row>
    <row r="14" spans="1:9">
      <c r="A14" s="3347"/>
      <c r="B14" s="3348" t="s">
        <v>1098</v>
      </c>
      <c r="C14" s="3348"/>
      <c r="D14" s="1300"/>
      <c r="E14" s="1300"/>
      <c r="F14" s="1301"/>
      <c r="G14" s="1302"/>
      <c r="H14" s="1309"/>
      <c r="I14" s="1299">
        <f>ROUND(D14*E14*F14*G14/10000,0)</f>
        <v>0</v>
      </c>
    </row>
    <row r="15" spans="1:9">
      <c r="A15" s="3347"/>
      <c r="B15" s="3349" t="s">
        <v>1089</v>
      </c>
      <c r="C15" s="3349"/>
      <c r="D15" s="1304"/>
      <c r="E15" s="1304">
        <f>SUM(E12:E14)</f>
        <v>0</v>
      </c>
      <c r="F15" s="1305"/>
      <c r="G15" s="1302"/>
      <c r="H15" s="1309"/>
      <c r="I15" s="1310">
        <f>SUM(I12:I14)</f>
        <v>0</v>
      </c>
    </row>
    <row r="16" spans="1:9" ht="24">
      <c r="A16" s="3347" t="s">
        <v>1099</v>
      </c>
      <c r="B16" s="3348" t="s">
        <v>1100</v>
      </c>
      <c r="C16" s="3348"/>
      <c r="D16" s="1300" t="s">
        <v>1076</v>
      </c>
      <c r="E16" s="1311" t="s">
        <v>1101</v>
      </c>
      <c r="F16" s="1301" t="s">
        <v>1102</v>
      </c>
      <c r="G16" s="1302" t="s">
        <v>1080</v>
      </c>
      <c r="H16" s="1308" t="s">
        <v>1095</v>
      </c>
      <c r="I16" s="1299" t="s">
        <v>1081</v>
      </c>
    </row>
    <row r="17" spans="1:9" ht="15.6">
      <c r="A17" s="3347"/>
      <c r="B17" s="3348" t="s">
        <v>1103</v>
      </c>
      <c r="C17" s="3348"/>
      <c r="D17" s="1300"/>
      <c r="E17" s="1300"/>
      <c r="F17" s="1301"/>
      <c r="G17" s="1302"/>
      <c r="H17" s="1312"/>
      <c r="I17" s="1313">
        <f>ROUND(D17*E17*F17*G17/10000,0)</f>
        <v>0</v>
      </c>
    </row>
    <row r="18" spans="1:9" ht="15.6">
      <c r="A18" s="3347"/>
      <c r="B18" s="3348" t="s">
        <v>1104</v>
      </c>
      <c r="C18" s="3348"/>
      <c r="D18" s="1300"/>
      <c r="E18" s="1300"/>
      <c r="F18" s="1301"/>
      <c r="G18" s="1302"/>
      <c r="H18" s="1312"/>
      <c r="I18" s="1313">
        <f>ROUND(D18*E18*F18*G18/10000,0)</f>
        <v>0</v>
      </c>
    </row>
    <row r="19" spans="1:9" ht="15.6">
      <c r="A19" s="3347"/>
      <c r="B19" s="3348" t="s">
        <v>1105</v>
      </c>
      <c r="C19" s="3348"/>
      <c r="D19" s="1300"/>
      <c r="E19" s="1300"/>
      <c r="F19" s="1301"/>
      <c r="G19" s="1302"/>
      <c r="H19" s="1312"/>
      <c r="I19" s="1313">
        <f>ROUND(D19*E19*F19*G19/10000,0)</f>
        <v>0</v>
      </c>
    </row>
    <row r="20" spans="1:9">
      <c r="A20" s="3347"/>
      <c r="B20" s="3349" t="s">
        <v>1089</v>
      </c>
      <c r="C20" s="3349"/>
      <c r="D20" s="1304">
        <f>SUM(D17:D19)</f>
        <v>0</v>
      </c>
      <c r="E20" s="1304"/>
      <c r="F20" s="1305"/>
      <c r="G20" s="1302"/>
      <c r="H20" s="1309"/>
      <c r="I20" s="1310">
        <f>SUM(I17:I19)</f>
        <v>0</v>
      </c>
    </row>
    <row r="21" spans="1:9">
      <c r="A21" s="3347" t="s">
        <v>1106</v>
      </c>
      <c r="B21" s="3351"/>
      <c r="C21" s="3351"/>
      <c r="D21" s="3351"/>
      <c r="E21" s="3351"/>
      <c r="F21" s="3351"/>
      <c r="G21" s="3351"/>
      <c r="H21" s="1761">
        <v>0.1</v>
      </c>
      <c r="I21" s="1307">
        <f>ROUND(I10*H21,0)</f>
        <v>0</v>
      </c>
    </row>
    <row r="22" spans="1:9" ht="15.6">
      <c r="A22" s="3352" t="s">
        <v>1107</v>
      </c>
      <c r="B22" s="3353"/>
      <c r="C22" s="3354"/>
      <c r="D22" s="1314" t="s">
        <v>1108</v>
      </c>
      <c r="E22" s="1314" t="s">
        <v>1109</v>
      </c>
      <c r="F22" s="1315" t="s">
        <v>1110</v>
      </c>
      <c r="G22" s="1315" t="s">
        <v>1111</v>
      </c>
      <c r="H22" s="1308" t="s">
        <v>1112</v>
      </c>
      <c r="I22" s="1299" t="s">
        <v>1113</v>
      </c>
    </row>
    <row r="23" spans="1:9" ht="15" thickBot="1">
      <c r="A23" s="3355"/>
      <c r="B23" s="3356"/>
      <c r="C23" s="3357"/>
      <c r="D23" s="1316"/>
      <c r="E23" s="1316"/>
      <c r="F23" s="1316"/>
      <c r="G23" s="1317"/>
      <c r="H23" s="1318"/>
      <c r="I23" s="1319">
        <f>ROUND(E23*D23*F23*(1-G23)/10000,0)</f>
        <v>0</v>
      </c>
    </row>
    <row r="26" spans="1:9">
      <c r="A26" s="1320" t="s">
        <v>1114</v>
      </c>
      <c r="B26" s="1320"/>
      <c r="C26" s="1320"/>
      <c r="D26" s="1320"/>
      <c r="E26" s="3358">
        <f>C27-C30-C31-C32</f>
        <v>0</v>
      </c>
      <c r="F26" s="3358"/>
      <c r="G26" s="3358"/>
      <c r="H26" s="1733" t="s">
        <v>1336</v>
      </c>
    </row>
    <row r="27" spans="1:9">
      <c r="A27" s="1321">
        <v>1</v>
      </c>
      <c r="B27" s="1322" t="s">
        <v>1115</v>
      </c>
      <c r="C27" s="1322">
        <f>C28+C29</f>
        <v>0</v>
      </c>
      <c r="D27" s="1322"/>
      <c r="E27" s="3359"/>
      <c r="F27" s="3359"/>
      <c r="G27" s="3359"/>
    </row>
    <row r="28" spans="1:9">
      <c r="A28" s="1323" t="s">
        <v>1116</v>
      </c>
      <c r="B28" s="1322" t="s">
        <v>1117</v>
      </c>
      <c r="C28" s="1322"/>
      <c r="D28" s="1322"/>
      <c r="E28" s="3359"/>
      <c r="F28" s="3359"/>
      <c r="G28" s="3359"/>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50"/>
      <c r="F32" s="3350"/>
      <c r="G32" s="3350"/>
    </row>
    <row r="33" spans="1:7" hidden="1">
      <c r="A33" s="3360" t="s">
        <v>1126</v>
      </c>
      <c r="B33" s="3361"/>
      <c r="C33" s="3361"/>
      <c r="D33" s="3362"/>
      <c r="E33" s="3358"/>
      <c r="F33" s="3358"/>
      <c r="G33" s="3358"/>
    </row>
    <row r="34" spans="1:7" hidden="1">
      <c r="A34" s="1325">
        <v>1</v>
      </c>
      <c r="B34" s="1322" t="s">
        <v>1127</v>
      </c>
      <c r="C34" s="1322"/>
      <c r="D34" s="1322"/>
      <c r="E34" s="3359"/>
      <c r="F34" s="3359"/>
      <c r="G34" s="3359"/>
    </row>
    <row r="35" spans="1:7" hidden="1">
      <c r="A35" s="1325">
        <v>2</v>
      </c>
      <c r="B35" s="1322" t="s">
        <v>1128</v>
      </c>
      <c r="C35" s="1322"/>
      <c r="D35" s="1322"/>
      <c r="E35" s="3359"/>
      <c r="F35" s="3359"/>
      <c r="G35" s="3359"/>
    </row>
    <row r="36" spans="1:7" hidden="1">
      <c r="A36" s="1325">
        <v>3</v>
      </c>
      <c r="B36" s="1322" t="s">
        <v>1129</v>
      </c>
      <c r="C36" s="1322"/>
      <c r="D36" s="1322"/>
      <c r="E36" s="3359"/>
      <c r="F36" s="3359"/>
      <c r="G36" s="3359"/>
    </row>
    <row r="37" spans="1:7" hidden="1">
      <c r="A37" s="1325">
        <v>4</v>
      </c>
      <c r="B37" s="1322" t="s">
        <v>1130</v>
      </c>
      <c r="C37" s="1322"/>
      <c r="D37" s="1322"/>
      <c r="E37" s="3359"/>
      <c r="F37" s="3359"/>
      <c r="G37" s="3359"/>
    </row>
    <row r="38" spans="1:7" hidden="1">
      <c r="A38" s="3360" t="s">
        <v>1131</v>
      </c>
      <c r="B38" s="3361"/>
      <c r="C38" s="3361"/>
      <c r="D38" s="3362"/>
      <c r="E38" s="3358"/>
      <c r="F38" s="3358"/>
      <c r="G38" s="33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浙商金汇信托股份有限公司：</v>
      </c>
    </row>
    <row r="4" spans="1:1" ht="52.2">
      <c r="A4" s="1944" t="str">
        <f>"受贵公司委托，我公司对"&amp;项目基本情况!S1&amp;"进行了预评估。"</f>
        <v>受贵公司委托，我公司对福建省福州市闽侯县南屿镇晓岐村、元峰村“南屿滨江城”项目出让国有建设用地使用权及在建建筑物房地产抵押价值进行了预评估。</v>
      </c>
    </row>
    <row r="5" spans="1:1" ht="17.399999999999999">
      <c r="A5" s="1945" t="s">
        <v>1608</v>
      </c>
    </row>
    <row r="6" spans="1:1" ht="17.399999999999999">
      <c r="A6" s="1946" t="s">
        <v>1609</v>
      </c>
    </row>
    <row r="7" spans="1:1" ht="69.59999999999999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闽侯县南屿镇晓岐村、元峰村“南屿滨江城”项目出让国有建设用地使用权及在建建筑物房地产，为福建宏辉房地产开发有限公司所有。根据，估价对象（分摊）出让国有建设用地使用权面积为37123.45平方米，建筑面积为83517平方米。</v>
      </c>
    </row>
    <row r="8" spans="1:1" ht="54.6">
      <c r="A8" s="1947" t="s">
        <v>1610</v>
      </c>
    </row>
    <row r="9" spans="1:1" ht="17.399999999999999">
      <c r="A9" s="1946" t="s">
        <v>1611</v>
      </c>
    </row>
    <row r="10" spans="1:1" ht="87">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闽侯县南屿镇晓岐村、元峰村“南屿滨江城”项目出让国有建设用地使用权及在建建筑物房地产,属福建宏辉房地产开发有限公司开发建设的，该项目尚在开发建设中。根据，估价对象（分摊）出让国有建设用地使用权面积为37123.45平方米，规划建筑面积为83517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福建宏辉房地产开发有限公司拟使用福建省福州市闽侯县南屿镇晓岐村、元峰村“南屿滨江城”项目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2019年6月13日（评估专业人员实地查勘之日）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I47" sqref="I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2524</v>
      </c>
      <c r="B1" s="2575" t="s">
        <v>2525</v>
      </c>
      <c r="C1" s="1630" t="s">
        <v>2526</v>
      </c>
      <c r="D1" s="1617" t="s">
        <v>3171</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3" customFormat="1" ht="28.5" customHeight="1" thickTop="1">
      <c r="A2" s="1613" t="s">
        <v>1390</v>
      </c>
      <c r="B2" s="1415">
        <f>IF(C2="——",ROUND(C49*D3/10000,0),ROUND(C49*D3/10000,0)-D2)</f>
        <v>27795</v>
      </c>
      <c r="C2" s="2579" t="s">
        <v>70</v>
      </c>
      <c r="D2" s="1362" t="e">
        <f ca="1">SUMIF(INDIRECT("'"&amp;F2&amp;"'"&amp;"!A:A"),"承租人权益价值",INDIRECT("'"&amp;F2&amp;"'"&amp;"!c:c"))</f>
        <v>#REF!</v>
      </c>
      <c r="E2" s="2580" t="s">
        <v>2529</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22565</v>
      </c>
      <c r="C3" s="400" t="s">
        <v>2530</v>
      </c>
      <c r="D3" s="399">
        <f>IF(D1="",'数据-汇总表'!E3,SUMIF('数据-汇总表'!$C19:$C33,D1,'数据-汇总表'!$E19:$E33))</f>
        <v>12317.76</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1" t="s">
        <v>2531</v>
      </c>
      <c r="B4" s="402"/>
      <c r="C4" s="3311" t="s">
        <v>2532</v>
      </c>
      <c r="D4" s="3312"/>
      <c r="E4" s="3313" t="s">
        <v>2533</v>
      </c>
      <c r="F4" s="3314"/>
      <c r="G4" s="3311" t="s">
        <v>2534</v>
      </c>
      <c r="H4" s="3312"/>
      <c r="I4" s="3311" t="s">
        <v>2535</v>
      </c>
      <c r="J4" s="3312"/>
      <c r="K4" s="2589" t="s">
        <v>2536</v>
      </c>
      <c r="L4" s="1127"/>
      <c r="M4" s="1128"/>
      <c r="N4" s="1128"/>
      <c r="O4" s="1128"/>
      <c r="P4" s="3315" t="s">
        <v>2537</v>
      </c>
      <c r="Q4" s="3316"/>
      <c r="R4" s="3298" t="s">
        <v>2533</v>
      </c>
      <c r="S4" s="3299"/>
      <c r="T4" s="3298" t="s">
        <v>2534</v>
      </c>
      <c r="U4" s="3299"/>
      <c r="V4" s="3323" t="s">
        <v>2535</v>
      </c>
      <c r="W4" s="3323"/>
      <c r="X4" s="1809"/>
      <c r="Y4" s="3298" t="s">
        <v>2537</v>
      </c>
      <c r="Z4" s="3299"/>
      <c r="AA4" s="3293" t="s">
        <v>2533</v>
      </c>
      <c r="AB4" s="3293" t="s">
        <v>2534</v>
      </c>
      <c r="AC4" s="3293" t="s">
        <v>2535</v>
      </c>
    </row>
    <row r="5" spans="1:29">
      <c r="A5" s="404"/>
      <c r="B5" s="405"/>
      <c r="C5" s="3304" t="s">
        <v>2538</v>
      </c>
      <c r="D5" s="3305"/>
      <c r="E5" s="3363" t="s">
        <v>3475</v>
      </c>
      <c r="F5" s="3303"/>
      <c r="G5" s="3364" t="s">
        <v>3476</v>
      </c>
      <c r="H5" s="3305"/>
      <c r="I5" s="3364" t="s">
        <v>3436</v>
      </c>
      <c r="J5" s="3305"/>
      <c r="K5" s="2590"/>
      <c r="L5" s="1127"/>
      <c r="M5" s="1128"/>
      <c r="N5" s="1128"/>
      <c r="O5" s="1128"/>
      <c r="P5" s="3317"/>
      <c r="Q5" s="3318"/>
      <c r="R5" s="3300"/>
      <c r="S5" s="3301"/>
      <c r="T5" s="3300"/>
      <c r="U5" s="3301"/>
      <c r="V5" s="3323"/>
      <c r="W5" s="3323"/>
      <c r="X5" s="1809"/>
      <c r="Y5" s="3300"/>
      <c r="Z5" s="3301"/>
      <c r="AA5" s="3294"/>
      <c r="AB5" s="3294"/>
      <c r="AC5" s="3294"/>
    </row>
    <row r="6" spans="1:29" ht="15" thickBot="1">
      <c r="A6" s="406"/>
      <c r="B6" s="407"/>
      <c r="C6" s="3306" t="s">
        <v>2542</v>
      </c>
      <c r="D6" s="3307"/>
      <c r="E6" s="3308" t="s">
        <v>2542</v>
      </c>
      <c r="F6" s="3309"/>
      <c r="G6" s="3306" t="s">
        <v>2542</v>
      </c>
      <c r="H6" s="3307"/>
      <c r="I6" s="3306" t="s">
        <v>2542</v>
      </c>
      <c r="J6" s="3307"/>
      <c r="K6" s="2590" t="s">
        <v>2543</v>
      </c>
      <c r="L6" s="1127"/>
      <c r="M6" s="1128"/>
      <c r="N6" s="1128"/>
      <c r="O6" s="1128"/>
      <c r="P6" s="3319"/>
      <c r="Q6" s="3320"/>
      <c r="R6" s="3300"/>
      <c r="S6" s="3301"/>
      <c r="T6" s="3321"/>
      <c r="U6" s="3322"/>
      <c r="V6" s="3323"/>
      <c r="W6" s="3323"/>
      <c r="X6" s="1809"/>
      <c r="Y6" s="3321"/>
      <c r="Z6" s="3322"/>
      <c r="AA6" s="3295"/>
      <c r="AB6" s="3295"/>
      <c r="AC6" s="3295"/>
    </row>
    <row r="7" spans="1:29" s="117" customFormat="1" ht="15" thickBot="1">
      <c r="A7" s="408" t="s">
        <v>2544</v>
      </c>
      <c r="B7" s="409"/>
      <c r="C7" s="410">
        <f>'数据-取费表'!B2</f>
        <v>43629</v>
      </c>
      <c r="D7" s="411">
        <v>100</v>
      </c>
      <c r="E7" s="412">
        <f>C7</f>
        <v>43629</v>
      </c>
      <c r="F7" s="413">
        <f>SUMIF(58:58,YEAR(E7)&amp;"-"&amp;MONTH(E7),59:59)</f>
        <v>100</v>
      </c>
      <c r="G7" s="412">
        <f>C7</f>
        <v>43629</v>
      </c>
      <c r="H7" s="411">
        <f>SUMIF(58:58,YEAR(G7)&amp;"-"&amp;MONTH(G7),59:59)</f>
        <v>100</v>
      </c>
      <c r="I7" s="412">
        <f>C7</f>
        <v>43629</v>
      </c>
      <c r="J7" s="411">
        <f>SUMIF(58:58,YEAR(I7)&amp;"-"&amp;MONTH(I7),59:59)</f>
        <v>100</v>
      </c>
      <c r="K7" s="2591"/>
      <c r="L7" s="1129"/>
      <c r="M7" s="1130"/>
      <c r="N7" s="1130"/>
      <c r="O7" s="1130"/>
      <c r="P7" s="3296" t="s">
        <v>2545</v>
      </c>
      <c r="Q7" s="3324"/>
      <c r="R7" s="770" t="s">
        <v>23</v>
      </c>
      <c r="S7" s="771">
        <f t="shared" ref="S7:S15" si="0">F7</f>
        <v>100</v>
      </c>
      <c r="T7" s="770" t="s">
        <v>23</v>
      </c>
      <c r="U7" s="771">
        <f t="shared" ref="U7:U15" si="1">H7</f>
        <v>100</v>
      </c>
      <c r="V7" s="770" t="s">
        <v>23</v>
      </c>
      <c r="W7" s="771">
        <f t="shared" ref="W7:W15" si="2">J7</f>
        <v>100</v>
      </c>
      <c r="X7" s="772"/>
      <c r="Y7" s="3296" t="s">
        <v>2545</v>
      </c>
      <c r="Z7" s="3297"/>
      <c r="AA7" s="773">
        <f>D7/F7</f>
        <v>1</v>
      </c>
      <c r="AB7" s="773">
        <f>D7/H7</f>
        <v>1</v>
      </c>
      <c r="AC7" s="773">
        <f>D7/J7</f>
        <v>1</v>
      </c>
    </row>
    <row r="8" spans="1:29" s="117" customFormat="1" ht="15" thickBot="1">
      <c r="A8" s="408" t="s">
        <v>2546</v>
      </c>
      <c r="B8" s="409"/>
      <c r="C8" s="414" t="s">
        <v>3435</v>
      </c>
      <c r="D8" s="411">
        <v>100</v>
      </c>
      <c r="E8" s="414" t="s">
        <v>3435</v>
      </c>
      <c r="F8" s="413">
        <f>SUMIF(61:61,E8,62:62)-SUMIF(61:61,C8,62:62)+100</f>
        <v>100</v>
      </c>
      <c r="G8" s="414" t="s">
        <v>3435</v>
      </c>
      <c r="H8" s="411">
        <f>SUMIF(61:61,G8,62:62)-SUMIF(61:61,C8,62:62)+100</f>
        <v>100</v>
      </c>
      <c r="I8" s="414" t="s">
        <v>3435</v>
      </c>
      <c r="J8" s="411">
        <f>SUMIF(61:61,I8,62:62)-SUMIF(61:61,C8,62:62)+100</f>
        <v>100</v>
      </c>
      <c r="K8" s="2591"/>
      <c r="L8" s="1129"/>
      <c r="M8" s="1130"/>
      <c r="N8" s="1130"/>
      <c r="O8" s="1130"/>
      <c r="P8" s="3296" t="s">
        <v>2548</v>
      </c>
      <c r="Q8" s="3297"/>
      <c r="R8" s="770" t="s">
        <v>23</v>
      </c>
      <c r="S8" s="771">
        <f t="shared" si="0"/>
        <v>100</v>
      </c>
      <c r="T8" s="770" t="s">
        <v>23</v>
      </c>
      <c r="U8" s="771">
        <f t="shared" si="1"/>
        <v>100</v>
      </c>
      <c r="V8" s="770" t="s">
        <v>23</v>
      </c>
      <c r="W8" s="771">
        <f t="shared" si="2"/>
        <v>100</v>
      </c>
      <c r="X8" s="772"/>
      <c r="Y8" s="3296" t="s">
        <v>2548</v>
      </c>
      <c r="Z8" s="3297"/>
      <c r="AA8" s="773">
        <f t="shared" ref="AA8:AA19" si="3">D8/F8</f>
        <v>1</v>
      </c>
      <c r="AB8" s="773">
        <f t="shared" ref="AB8:AB19" si="4">D8/H8</f>
        <v>1</v>
      </c>
      <c r="AC8" s="773">
        <f t="shared" ref="AC8:AC19" si="5">D8/J8</f>
        <v>1</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334" t="s">
        <v>2551</v>
      </c>
      <c r="Q9" s="1791" t="str">
        <f t="shared" ref="Q9:Q15" si="6">B9</f>
        <v>用途</v>
      </c>
      <c r="R9" s="770" t="s">
        <v>17</v>
      </c>
      <c r="S9" s="771">
        <f t="shared" si="0"/>
        <v>100</v>
      </c>
      <c r="T9" s="770" t="s">
        <v>17</v>
      </c>
      <c r="U9" s="771">
        <f t="shared" si="1"/>
        <v>100</v>
      </c>
      <c r="V9" s="770" t="s">
        <v>17</v>
      </c>
      <c r="W9" s="771">
        <f t="shared" si="2"/>
        <v>100</v>
      </c>
      <c r="X9" s="772"/>
      <c r="Y9" s="3157" t="s">
        <v>2552</v>
      </c>
      <c r="Z9" s="55" t="str">
        <f t="shared" ref="Z9:Z15" si="7">Q9</f>
        <v>用途</v>
      </c>
      <c r="AA9" s="773">
        <f t="shared" si="3"/>
        <v>1</v>
      </c>
      <c r="AB9" s="773">
        <f t="shared" si="4"/>
        <v>1</v>
      </c>
      <c r="AC9" s="773">
        <f t="shared" si="5"/>
        <v>1</v>
      </c>
    </row>
    <row r="10" spans="1:29" s="427" customFormat="1" ht="28.8">
      <c r="A10" s="421"/>
      <c r="B10" s="422" t="s">
        <v>2553</v>
      </c>
      <c r="C10" s="423" t="s">
        <v>3447</v>
      </c>
      <c r="D10" s="136">
        <v>100</v>
      </c>
      <c r="E10" s="423" t="s">
        <v>3447</v>
      </c>
      <c r="F10" s="425">
        <f>SUMIF(65:65,E10,66:66)-SUMIF(65:65,C10,66:66)+100</f>
        <v>100</v>
      </c>
      <c r="G10" s="423" t="s">
        <v>3447</v>
      </c>
      <c r="H10" s="136">
        <f>SUMIF(65:65,G10,66:66)-SUMIF(65:65,C10,66:66)+100</f>
        <v>100</v>
      </c>
      <c r="I10" s="423" t="s">
        <v>3447</v>
      </c>
      <c r="J10" s="136">
        <f>SUMIF(65:65,I10,66:66)-SUMIF(65:65,C10,66:66)+100</f>
        <v>100</v>
      </c>
      <c r="K10" s="426">
        <v>1</v>
      </c>
      <c r="L10" s="1132"/>
      <c r="M10" s="1133"/>
      <c r="N10" s="1133"/>
      <c r="O10" s="1133"/>
      <c r="P10" s="3334"/>
      <c r="Q10" s="1791" t="str">
        <f t="shared" si="6"/>
        <v>土地使用年限（年）</v>
      </c>
      <c r="R10" s="770" t="s">
        <v>17</v>
      </c>
      <c r="S10" s="771">
        <f t="shared" si="0"/>
        <v>100</v>
      </c>
      <c r="T10" s="770" t="s">
        <v>17</v>
      </c>
      <c r="U10" s="771">
        <f t="shared" si="1"/>
        <v>100</v>
      </c>
      <c r="V10" s="770" t="s">
        <v>17</v>
      </c>
      <c r="W10" s="771">
        <f t="shared" si="2"/>
        <v>100</v>
      </c>
      <c r="X10" s="772"/>
      <c r="Y10" s="3157"/>
      <c r="Z10" s="55" t="str">
        <f t="shared" si="7"/>
        <v>土地使用年限（年）</v>
      </c>
      <c r="AA10" s="773">
        <f t="shared" si="3"/>
        <v>1</v>
      </c>
      <c r="AB10" s="773">
        <f t="shared" si="4"/>
        <v>1</v>
      </c>
      <c r="AC10" s="773">
        <f t="shared" si="5"/>
        <v>1</v>
      </c>
    </row>
    <row r="11" spans="1:29" ht="15.6" thickBot="1">
      <c r="A11" s="428"/>
      <c r="B11" s="422" t="s">
        <v>2554</v>
      </c>
      <c r="C11" s="429">
        <f>'数据-汇总表'!I7</f>
        <v>1.6</v>
      </c>
      <c r="D11" s="136">
        <v>100</v>
      </c>
      <c r="E11" s="430">
        <v>1.6</v>
      </c>
      <c r="F11" s="425">
        <f>LOOKUP(E11,68:68,69:69)-LOOKUP(C11,68:68,69:69)+100</f>
        <v>100</v>
      </c>
      <c r="G11" s="429">
        <v>1.5</v>
      </c>
      <c r="H11" s="136">
        <f>LOOKUP(G11,68:68,69:69)-LOOKUP(C11,68:68,69:69)+100</f>
        <v>100</v>
      </c>
      <c r="I11" s="429">
        <v>0.35</v>
      </c>
      <c r="J11" s="136">
        <f>LOOKUP(I11,68:68,69:69)-LOOKUP(C11,68:68,69:69)+100</f>
        <v>105</v>
      </c>
      <c r="K11" s="426">
        <v>5</v>
      </c>
      <c r="L11" s="1135"/>
      <c r="M11" s="1128"/>
      <c r="N11" s="1128"/>
      <c r="O11" s="1128"/>
      <c r="P11" s="3334"/>
      <c r="Q11" s="1791" t="str">
        <f t="shared" si="6"/>
        <v>容积率</v>
      </c>
      <c r="R11" s="770" t="s">
        <v>21</v>
      </c>
      <c r="S11" s="771">
        <f t="shared" si="0"/>
        <v>100</v>
      </c>
      <c r="T11" s="770" t="s">
        <v>21</v>
      </c>
      <c r="U11" s="771">
        <f t="shared" si="1"/>
        <v>100</v>
      </c>
      <c r="V11" s="770" t="s">
        <v>21</v>
      </c>
      <c r="W11" s="771">
        <f t="shared" si="2"/>
        <v>105</v>
      </c>
      <c r="X11" s="772"/>
      <c r="Y11" s="3157"/>
      <c r="Z11" s="55" t="str">
        <f t="shared" si="7"/>
        <v>容积率</v>
      </c>
      <c r="AA11" s="773">
        <f t="shared" si="3"/>
        <v>1</v>
      </c>
      <c r="AB11" s="773">
        <f t="shared" si="4"/>
        <v>1</v>
      </c>
      <c r="AC11" s="773">
        <f t="shared" si="5"/>
        <v>0.95238095238095233</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34"/>
      <c r="Q12" s="1791">
        <f t="shared" si="6"/>
        <v>111</v>
      </c>
      <c r="R12" s="770" t="s">
        <v>21</v>
      </c>
      <c r="S12" s="771">
        <f t="shared" si="0"/>
        <v>100</v>
      </c>
      <c r="T12" s="770" t="s">
        <v>21</v>
      </c>
      <c r="U12" s="771">
        <f t="shared" si="1"/>
        <v>100</v>
      </c>
      <c r="V12" s="770" t="s">
        <v>21</v>
      </c>
      <c r="W12" s="771">
        <f t="shared" si="2"/>
        <v>100</v>
      </c>
      <c r="X12" s="772"/>
      <c r="Y12" s="3157"/>
      <c r="Z12" s="55">
        <f t="shared" si="7"/>
        <v>111</v>
      </c>
      <c r="AA12" s="773">
        <f>D12/F12</f>
        <v>1</v>
      </c>
      <c r="AB12" s="773">
        <f>D12/H12</f>
        <v>1</v>
      </c>
      <c r="AC12" s="773">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34"/>
      <c r="Q13" s="1791">
        <f t="shared" si="6"/>
        <v>111</v>
      </c>
      <c r="R13" s="770" t="s">
        <v>21</v>
      </c>
      <c r="S13" s="771">
        <f t="shared" si="0"/>
        <v>100</v>
      </c>
      <c r="T13" s="770" t="s">
        <v>21</v>
      </c>
      <c r="U13" s="771">
        <f t="shared" si="1"/>
        <v>100</v>
      </c>
      <c r="V13" s="770" t="s">
        <v>21</v>
      </c>
      <c r="W13" s="771">
        <f t="shared" si="2"/>
        <v>100</v>
      </c>
      <c r="X13" s="772"/>
      <c r="Y13" s="3157"/>
      <c r="Z13" s="55">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34"/>
      <c r="Q14" s="1791">
        <f t="shared" si="6"/>
        <v>111</v>
      </c>
      <c r="R14" s="770" t="s">
        <v>21</v>
      </c>
      <c r="S14" s="771">
        <f t="shared" si="0"/>
        <v>100</v>
      </c>
      <c r="T14" s="770" t="s">
        <v>21</v>
      </c>
      <c r="U14" s="771">
        <f t="shared" si="1"/>
        <v>100</v>
      </c>
      <c r="V14" s="770" t="s">
        <v>21</v>
      </c>
      <c r="W14" s="771">
        <f t="shared" si="2"/>
        <v>100</v>
      </c>
      <c r="X14" s="772"/>
      <c r="Y14" s="3157"/>
      <c r="Z14" s="55">
        <f t="shared" si="7"/>
        <v>111</v>
      </c>
      <c r="AA14" s="773">
        <f t="shared" si="3"/>
        <v>1</v>
      </c>
      <c r="AB14" s="773">
        <f t="shared" si="4"/>
        <v>1</v>
      </c>
      <c r="AC14" s="773">
        <f t="shared" si="5"/>
        <v>1</v>
      </c>
    </row>
    <row r="15" spans="1:29" ht="96.6">
      <c r="A15" s="440" t="s">
        <v>2555</v>
      </c>
      <c r="B15" s="69" t="s">
        <v>2083</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95</v>
      </c>
      <c r="K15" s="445">
        <v>5</v>
      </c>
      <c r="L15" s="1137"/>
      <c r="M15" s="1128"/>
      <c r="N15" s="1128"/>
      <c r="O15" s="1128"/>
      <c r="P15" s="3371" t="s">
        <v>2556</v>
      </c>
      <c r="Q15" s="1806" t="str">
        <f t="shared" si="6"/>
        <v>居住社区成熟度</v>
      </c>
      <c r="R15" s="774" t="s">
        <v>21</v>
      </c>
      <c r="S15" s="775">
        <f t="shared" si="0"/>
        <v>100</v>
      </c>
      <c r="T15" s="774" t="s">
        <v>21</v>
      </c>
      <c r="U15" s="775">
        <f t="shared" si="1"/>
        <v>100</v>
      </c>
      <c r="V15" s="774" t="s">
        <v>21</v>
      </c>
      <c r="W15" s="775">
        <f t="shared" si="2"/>
        <v>95</v>
      </c>
      <c r="X15" s="1809"/>
      <c r="Y15" s="3325" t="s">
        <v>2556</v>
      </c>
      <c r="Z15" s="1810" t="str">
        <f t="shared" si="7"/>
        <v>居住社区成熟度</v>
      </c>
      <c r="AA15" s="1807">
        <f t="shared" si="3"/>
        <v>1</v>
      </c>
      <c r="AB15" s="1807">
        <f t="shared" si="4"/>
        <v>1</v>
      </c>
      <c r="AC15" s="1807">
        <f t="shared" si="5"/>
        <v>1.0526315789473684</v>
      </c>
    </row>
    <row r="16" spans="1:29" ht="15">
      <c r="A16" s="428"/>
      <c r="B16" s="446"/>
      <c r="C16" s="447" t="s">
        <v>3375</v>
      </c>
      <c r="D16" s="448"/>
      <c r="E16" s="2596" t="s">
        <v>3375</v>
      </c>
      <c r="F16" s="448"/>
      <c r="G16" s="2597" t="s">
        <v>3375</v>
      </c>
      <c r="H16" s="450"/>
      <c r="I16" s="2597" t="s">
        <v>3376</v>
      </c>
      <c r="J16" s="448"/>
      <c r="K16" s="2598"/>
      <c r="L16" s="1137"/>
      <c r="M16" s="1128"/>
      <c r="N16" s="1128"/>
      <c r="O16" s="1128"/>
      <c r="P16" s="3372"/>
      <c r="Q16" s="1806"/>
      <c r="R16" s="774"/>
      <c r="S16" s="775"/>
      <c r="T16" s="774"/>
      <c r="U16" s="775"/>
      <c r="V16" s="774"/>
      <c r="W16" s="775"/>
      <c r="X16" s="1809"/>
      <c r="Y16" s="3326"/>
      <c r="Z16" s="1810"/>
      <c r="AA16" s="1807">
        <v>1</v>
      </c>
      <c r="AB16" s="1807">
        <v>1</v>
      </c>
      <c r="AC16" s="1807">
        <v>1</v>
      </c>
    </row>
    <row r="17" spans="1:29" ht="82.8">
      <c r="A17" s="428"/>
      <c r="B17" s="451" t="s">
        <v>2095</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37"/>
      <c r="M17" s="1128"/>
      <c r="N17" s="1128"/>
      <c r="O17" s="1128"/>
      <c r="P17" s="3372"/>
      <c r="Q17" s="1806" t="str">
        <f>B17</f>
        <v>交通便捷度</v>
      </c>
      <c r="R17" s="774" t="s">
        <v>21</v>
      </c>
      <c r="S17" s="775">
        <f>F17</f>
        <v>100</v>
      </c>
      <c r="T17" s="774" t="s">
        <v>21</v>
      </c>
      <c r="U17" s="775">
        <f>H17</f>
        <v>100</v>
      </c>
      <c r="V17" s="774" t="s">
        <v>21</v>
      </c>
      <c r="W17" s="775">
        <f>J17</f>
        <v>100</v>
      </c>
      <c r="X17" s="1809"/>
      <c r="Y17" s="3326"/>
      <c r="Z17" s="1810" t="str">
        <f>Q17</f>
        <v>交通便捷度</v>
      </c>
      <c r="AA17" s="1807">
        <f t="shared" si="3"/>
        <v>1</v>
      </c>
      <c r="AB17" s="1807">
        <f t="shared" si="4"/>
        <v>1</v>
      </c>
      <c r="AC17" s="1807">
        <f t="shared" si="5"/>
        <v>1</v>
      </c>
    </row>
    <row r="18" spans="1:29" ht="15">
      <c r="A18" s="428"/>
      <c r="B18" s="456"/>
      <c r="C18" s="2600" t="s">
        <v>3376</v>
      </c>
      <c r="D18" s="450"/>
      <c r="E18" s="2600" t="s">
        <v>3376</v>
      </c>
      <c r="F18" s="450"/>
      <c r="G18" s="2600" t="s">
        <v>3376</v>
      </c>
      <c r="H18" s="448"/>
      <c r="I18" s="2602" t="s">
        <v>3376</v>
      </c>
      <c r="J18" s="448"/>
      <c r="K18" s="2598"/>
      <c r="L18" s="1137"/>
      <c r="M18" s="1128"/>
      <c r="N18" s="1128"/>
      <c r="O18" s="1128"/>
      <c r="P18" s="3372"/>
      <c r="Q18" s="1806"/>
      <c r="R18" s="774"/>
      <c r="S18" s="775"/>
      <c r="T18" s="774"/>
      <c r="U18" s="775"/>
      <c r="V18" s="774"/>
      <c r="W18" s="775"/>
      <c r="X18" s="1809"/>
      <c r="Y18" s="3326"/>
      <c r="Z18" s="1810"/>
      <c r="AA18" s="1807">
        <v>1</v>
      </c>
      <c r="AB18" s="1807">
        <v>1</v>
      </c>
      <c r="AC18" s="1807">
        <v>1</v>
      </c>
    </row>
    <row r="19" spans="1:29" ht="41.4">
      <c r="A19" s="428"/>
      <c r="B19" s="451" t="s">
        <v>2093</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37"/>
      <c r="M19" s="1128"/>
      <c r="N19" s="1128"/>
      <c r="O19" s="1128"/>
      <c r="P19" s="3372"/>
      <c r="Q19" s="1806" t="str">
        <f>B19</f>
        <v>公共配套设施</v>
      </c>
      <c r="R19" s="774" t="s">
        <v>21</v>
      </c>
      <c r="S19" s="775">
        <f>F19</f>
        <v>100</v>
      </c>
      <c r="T19" s="774" t="s">
        <v>21</v>
      </c>
      <c r="U19" s="775">
        <f>H19</f>
        <v>100</v>
      </c>
      <c r="V19" s="774" t="s">
        <v>21</v>
      </c>
      <c r="W19" s="775">
        <f>J19</f>
        <v>100</v>
      </c>
      <c r="X19" s="1809"/>
      <c r="Y19" s="3326"/>
      <c r="Z19" s="1810" t="str">
        <f>Q19</f>
        <v>公共配套设施</v>
      </c>
      <c r="AA19" s="1807">
        <f t="shared" si="3"/>
        <v>1</v>
      </c>
      <c r="AB19" s="1807">
        <f t="shared" si="4"/>
        <v>1</v>
      </c>
      <c r="AC19" s="1807">
        <f t="shared" si="5"/>
        <v>1</v>
      </c>
    </row>
    <row r="20" spans="1:29" ht="15">
      <c r="A20" s="428"/>
      <c r="B20" s="456"/>
      <c r="C20" s="447" t="s">
        <v>3376</v>
      </c>
      <c r="D20" s="448"/>
      <c r="E20" s="2596" t="s">
        <v>3376</v>
      </c>
      <c r="F20" s="448"/>
      <c r="G20" s="2597" t="s">
        <v>3376</v>
      </c>
      <c r="H20" s="448"/>
      <c r="I20" s="2597" t="s">
        <v>3376</v>
      </c>
      <c r="J20" s="448"/>
      <c r="K20" s="2598"/>
      <c r="L20" s="1137"/>
      <c r="M20" s="1128"/>
      <c r="N20" s="1128"/>
      <c r="O20" s="1128"/>
      <c r="P20" s="3372"/>
      <c r="Q20" s="1806"/>
      <c r="R20" s="774"/>
      <c r="S20" s="775"/>
      <c r="T20" s="774"/>
      <c r="U20" s="775"/>
      <c r="V20" s="774"/>
      <c r="W20" s="775"/>
      <c r="X20" s="1809"/>
      <c r="Y20" s="3326"/>
      <c r="Z20" s="1810"/>
      <c r="AA20" s="1807">
        <v>1</v>
      </c>
      <c r="AB20" s="1807">
        <v>1</v>
      </c>
      <c r="AC20" s="1807">
        <v>1</v>
      </c>
    </row>
    <row r="21" spans="1:29" ht="27.6">
      <c r="A21" s="428"/>
      <c r="B21" s="1381" t="s">
        <v>2096</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372"/>
      <c r="Q21" s="1806" t="str">
        <f>B21</f>
        <v>基础设施水平</v>
      </c>
      <c r="R21" s="774" t="s">
        <v>17</v>
      </c>
      <c r="S21" s="775">
        <f>F21</f>
        <v>100</v>
      </c>
      <c r="T21" s="774" t="s">
        <v>17</v>
      </c>
      <c r="U21" s="775">
        <f>H21</f>
        <v>100</v>
      </c>
      <c r="V21" s="774" t="s">
        <v>17</v>
      </c>
      <c r="W21" s="775">
        <f>J21</f>
        <v>100</v>
      </c>
      <c r="X21" s="1809"/>
      <c r="Y21" s="3326"/>
      <c r="Z21" s="1810" t="str">
        <f>Q21</f>
        <v>基础设施水平</v>
      </c>
      <c r="AA21" s="1807">
        <f t="shared" ref="AA21" si="8">D21/F21</f>
        <v>1</v>
      </c>
      <c r="AB21" s="1807">
        <f t="shared" ref="AB21" si="9">D21/H21</f>
        <v>1</v>
      </c>
      <c r="AC21" s="1807">
        <f t="shared" ref="AC21" si="10">D21/J21</f>
        <v>1</v>
      </c>
    </row>
    <row r="22" spans="1:29" ht="15">
      <c r="A22" s="428"/>
      <c r="B22" s="1381"/>
      <c r="C22" s="2600" t="s">
        <v>3378</v>
      </c>
      <c r="D22" s="448"/>
      <c r="E22" s="2600" t="s">
        <v>3378</v>
      </c>
      <c r="F22" s="448"/>
      <c r="G22" s="2600" t="s">
        <v>3378</v>
      </c>
      <c r="H22" s="448"/>
      <c r="I22" s="2600" t="s">
        <v>3378</v>
      </c>
      <c r="J22" s="448"/>
      <c r="K22" s="2604"/>
      <c r="L22" s="1137"/>
      <c r="M22" s="1128"/>
      <c r="N22" s="1128"/>
      <c r="O22" s="1128"/>
      <c r="P22" s="3372"/>
      <c r="Q22" s="1806"/>
      <c r="R22" s="774"/>
      <c r="S22" s="775"/>
      <c r="T22" s="774"/>
      <c r="U22" s="775"/>
      <c r="V22" s="774"/>
      <c r="W22" s="775"/>
      <c r="X22" s="1809"/>
      <c r="Y22" s="3326"/>
      <c r="Z22" s="1810"/>
      <c r="AA22" s="1807">
        <v>1</v>
      </c>
      <c r="AB22" s="1807">
        <v>1</v>
      </c>
      <c r="AC22" s="1807">
        <v>1</v>
      </c>
    </row>
    <row r="23" spans="1:29" ht="55.2">
      <c r="A23" s="428"/>
      <c r="B23" s="451" t="s">
        <v>2100</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105</v>
      </c>
      <c r="K23" s="445">
        <v>5</v>
      </c>
      <c r="L23" s="1137"/>
      <c r="M23" s="1128"/>
      <c r="N23" s="1128"/>
      <c r="O23" s="1128"/>
      <c r="P23" s="3372"/>
      <c r="Q23" s="1806" t="str">
        <f>B23</f>
        <v>自然及人文环境</v>
      </c>
      <c r="R23" s="774" t="s">
        <v>21</v>
      </c>
      <c r="S23" s="775">
        <f>F23</f>
        <v>100</v>
      </c>
      <c r="T23" s="774" t="s">
        <v>21</v>
      </c>
      <c r="U23" s="775">
        <f>H23</f>
        <v>100</v>
      </c>
      <c r="V23" s="774" t="s">
        <v>21</v>
      </c>
      <c r="W23" s="775">
        <f>J23</f>
        <v>105</v>
      </c>
      <c r="X23" s="1809"/>
      <c r="Y23" s="3326"/>
      <c r="Z23" s="1810" t="str">
        <f>Q23</f>
        <v>自然及人文环境</v>
      </c>
      <c r="AA23" s="1807">
        <f>D23/F23</f>
        <v>1</v>
      </c>
      <c r="AB23" s="1807">
        <f>D23/H23</f>
        <v>1</v>
      </c>
      <c r="AC23" s="1807">
        <f>D23/J23</f>
        <v>0.95238095238095233</v>
      </c>
    </row>
    <row r="24" spans="1:29" ht="15">
      <c r="A24" s="428"/>
      <c r="B24" s="456"/>
      <c r="C24" s="447" t="s">
        <v>3376</v>
      </c>
      <c r="D24" s="448"/>
      <c r="E24" s="447" t="s">
        <v>3376</v>
      </c>
      <c r="F24" s="448"/>
      <c r="G24" s="447" t="s">
        <v>3376</v>
      </c>
      <c r="H24" s="448"/>
      <c r="I24" s="2597" t="s">
        <v>3375</v>
      </c>
      <c r="J24" s="448"/>
      <c r="K24" s="2598"/>
      <c r="L24" s="1137"/>
      <c r="M24" s="1128"/>
      <c r="N24" s="1128"/>
      <c r="O24" s="1128"/>
      <c r="P24" s="3372"/>
      <c r="Q24" s="1806"/>
      <c r="R24" s="774"/>
      <c r="S24" s="775"/>
      <c r="T24" s="774"/>
      <c r="U24" s="775"/>
      <c r="V24" s="774"/>
      <c r="W24" s="775"/>
      <c r="X24" s="1809"/>
      <c r="Y24" s="3326"/>
      <c r="Z24" s="1810"/>
      <c r="AA24" s="1807">
        <v>1</v>
      </c>
      <c r="AB24" s="1807">
        <v>1</v>
      </c>
      <c r="AC24" s="1807">
        <v>1</v>
      </c>
    </row>
    <row r="25" spans="1:29" ht="15" hidden="1">
      <c r="A25" s="428"/>
      <c r="B25" s="422" t="s">
        <v>2557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72"/>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326"/>
      <c r="Z25" s="1810" t="str">
        <f>Q25</f>
        <v>楼层-1</v>
      </c>
      <c r="AA25" s="1807">
        <f t="shared" ref="AA25:AA46" si="15">D25/F25</f>
        <v>1</v>
      </c>
      <c r="AB25" s="1807">
        <f t="shared" ref="AB25:AB46" si="16">D25/H25</f>
        <v>1</v>
      </c>
      <c r="AC25" s="1807">
        <f t="shared" ref="AC25:AC46" si="17">D25/J25</f>
        <v>1</v>
      </c>
    </row>
    <row r="26" spans="1:29" ht="15" hidden="1">
      <c r="A26" s="428"/>
      <c r="B26" s="422" t="s">
        <v>2558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72"/>
      <c r="Q26" s="1806" t="str">
        <f t="shared" si="11"/>
        <v>朝向</v>
      </c>
      <c r="R26" s="774" t="s">
        <v>21</v>
      </c>
      <c r="S26" s="775">
        <f t="shared" si="12"/>
        <v>100</v>
      </c>
      <c r="T26" s="774" t="s">
        <v>21</v>
      </c>
      <c r="U26" s="775">
        <f t="shared" si="13"/>
        <v>100</v>
      </c>
      <c r="V26" s="774" t="s">
        <v>21</v>
      </c>
      <c r="W26" s="775">
        <f t="shared" si="14"/>
        <v>100</v>
      </c>
      <c r="X26" s="1809"/>
      <c r="Y26" s="3326"/>
      <c r="Z26" s="1810" t="str">
        <f>Q26</f>
        <v>朝向</v>
      </c>
      <c r="AA26" s="1807">
        <f t="shared" si="15"/>
        <v>1</v>
      </c>
      <c r="AB26" s="1807">
        <f t="shared" si="16"/>
        <v>1</v>
      </c>
      <c r="AC26" s="1807">
        <f t="shared" si="17"/>
        <v>1</v>
      </c>
    </row>
    <row r="27" spans="1:29" s="117" customFormat="1" ht="15">
      <c r="A27" s="431"/>
      <c r="B27" s="3081" t="s">
        <v>3449</v>
      </c>
      <c r="C27" s="432"/>
      <c r="D27" s="462">
        <v>100</v>
      </c>
      <c r="E27" s="465" t="s">
        <v>3452</v>
      </c>
      <c r="F27" s="462">
        <f>SUMIF(90:90,E27,91:91)-SUMIF(90:90,C27,91:91)+100</f>
        <v>100</v>
      </c>
      <c r="G27" s="463" t="s">
        <v>3454</v>
      </c>
      <c r="H27" s="462">
        <f>SUMIF(90:90,G27,91:91)-SUMIF(90:90,C27,91:91)+100</f>
        <v>100</v>
      </c>
      <c r="I27" s="463" t="s">
        <v>3459</v>
      </c>
      <c r="J27" s="462">
        <f>SUMIF(90:90,I27,91:91)-SUMIF(90:90,C27,91:91)+100</f>
        <v>100</v>
      </c>
      <c r="K27" s="2593"/>
      <c r="L27" s="1129"/>
      <c r="M27" s="1130"/>
      <c r="N27" s="1130"/>
      <c r="O27" s="1130"/>
      <c r="P27" s="3372"/>
      <c r="Q27" s="1791" t="str">
        <f t="shared" si="11"/>
        <v>产权面积</v>
      </c>
      <c r="R27" s="770" t="s">
        <v>21</v>
      </c>
      <c r="S27" s="771">
        <f t="shared" si="12"/>
        <v>100</v>
      </c>
      <c r="T27" s="770" t="s">
        <v>21</v>
      </c>
      <c r="U27" s="771">
        <f t="shared" si="13"/>
        <v>100</v>
      </c>
      <c r="V27" s="770" t="s">
        <v>21</v>
      </c>
      <c r="W27" s="771">
        <f t="shared" si="14"/>
        <v>100</v>
      </c>
      <c r="X27" s="772"/>
      <c r="Y27" s="3326"/>
      <c r="Z27" s="55" t="str">
        <f>Q27</f>
        <v>产权面积</v>
      </c>
      <c r="AA27" s="1807">
        <f t="shared" si="15"/>
        <v>1</v>
      </c>
      <c r="AB27" s="1807">
        <f t="shared" si="16"/>
        <v>1</v>
      </c>
      <c r="AC27" s="1807">
        <f t="shared" si="17"/>
        <v>1</v>
      </c>
    </row>
    <row r="28" spans="1:29" ht="43.2">
      <c r="A28" s="428"/>
      <c r="B28" s="3081" t="s">
        <v>3450</v>
      </c>
      <c r="C28" s="434"/>
      <c r="D28" s="435">
        <v>100</v>
      </c>
      <c r="E28" s="3082" t="s">
        <v>3455</v>
      </c>
      <c r="F28" s="435">
        <f>SUMIF(92:92,E28,93:93)-SUMIF(92:92,C28,93:93)+100</f>
        <v>100</v>
      </c>
      <c r="G28" s="3083" t="s">
        <v>3458</v>
      </c>
      <c r="H28" s="435">
        <f>SUMIF(92:92,G28,93:93)-SUMIF(92:92,C28,93:93)+100</f>
        <v>100</v>
      </c>
      <c r="I28" s="434" t="s">
        <v>3457</v>
      </c>
      <c r="J28" s="435">
        <f>SUMIF(92:92,I28,93:93)-SUMIF(92:92,C28,93:93)+100</f>
        <v>100</v>
      </c>
      <c r="K28" s="2593"/>
      <c r="L28" s="1137"/>
      <c r="M28" s="1128"/>
      <c r="N28" s="1128"/>
      <c r="O28" s="1128"/>
      <c r="P28" s="3372"/>
      <c r="Q28" s="1806" t="str">
        <f t="shared" si="11"/>
        <v>赠送部分</v>
      </c>
      <c r="R28" s="774" t="s">
        <v>21</v>
      </c>
      <c r="S28" s="775">
        <f t="shared" si="12"/>
        <v>100</v>
      </c>
      <c r="T28" s="774" t="s">
        <v>21</v>
      </c>
      <c r="U28" s="775">
        <f t="shared" si="13"/>
        <v>100</v>
      </c>
      <c r="V28" s="774" t="s">
        <v>21</v>
      </c>
      <c r="W28" s="775">
        <f t="shared" si="14"/>
        <v>100</v>
      </c>
      <c r="X28" s="1809"/>
      <c r="Y28" s="3326"/>
      <c r="Z28" s="1810" t="str">
        <f t="shared" ref="Z28:Z46" si="18">Q28</f>
        <v>赠送部分</v>
      </c>
      <c r="AA28" s="1807">
        <f t="shared" si="15"/>
        <v>1</v>
      </c>
      <c r="AB28" s="1807">
        <f t="shared" si="16"/>
        <v>1</v>
      </c>
      <c r="AC28" s="1807">
        <f t="shared" si="17"/>
        <v>1</v>
      </c>
    </row>
    <row r="29" spans="1:29" ht="15">
      <c r="A29" s="428"/>
      <c r="B29" s="3081" t="s">
        <v>3451</v>
      </c>
      <c r="C29" s="434"/>
      <c r="D29" s="435">
        <v>100</v>
      </c>
      <c r="E29" s="3082" t="s">
        <v>3453</v>
      </c>
      <c r="F29" s="435">
        <f>SUMIF(94:94,E29,95:95)-SUMIF(94:94,C29,95:95)+100</f>
        <v>100</v>
      </c>
      <c r="G29" s="2607">
        <v>30</v>
      </c>
      <c r="H29" s="435">
        <f>SUMIF(94:94,G29,95:95)-SUMIF(94:94,C29,95:95)+100</f>
        <v>100</v>
      </c>
      <c r="I29" s="434">
        <v>30</v>
      </c>
      <c r="J29" s="435">
        <f>SUMIF(94:94,I29,95:95)-SUMIF(94:94,C29,95:95)+100</f>
        <v>100</v>
      </c>
      <c r="K29" s="2593"/>
      <c r="L29" s="1137"/>
      <c r="M29" s="1128"/>
      <c r="N29" s="1128"/>
      <c r="O29" s="1128"/>
      <c r="P29" s="3372"/>
      <c r="Q29" s="1806" t="str">
        <f t="shared" si="11"/>
        <v>花园面积</v>
      </c>
      <c r="R29" s="774" t="s">
        <v>21</v>
      </c>
      <c r="S29" s="775">
        <f t="shared" si="12"/>
        <v>100</v>
      </c>
      <c r="T29" s="774" t="s">
        <v>21</v>
      </c>
      <c r="U29" s="775">
        <f t="shared" si="13"/>
        <v>100</v>
      </c>
      <c r="V29" s="774" t="s">
        <v>21</v>
      </c>
      <c r="W29" s="775">
        <f t="shared" si="14"/>
        <v>100</v>
      </c>
      <c r="X29" s="1809"/>
      <c r="Y29" s="3326"/>
      <c r="Z29" s="1810" t="str">
        <f t="shared" si="18"/>
        <v>花园面积</v>
      </c>
      <c r="AA29" s="1807">
        <f t="shared" si="15"/>
        <v>1</v>
      </c>
      <c r="AB29" s="1807">
        <f t="shared" si="16"/>
        <v>1</v>
      </c>
      <c r="AC29" s="1807">
        <f t="shared" si="17"/>
        <v>1</v>
      </c>
    </row>
    <row r="30" spans="1:29" ht="28.8">
      <c r="A30" s="428"/>
      <c r="B30" s="1383"/>
      <c r="C30" s="434"/>
      <c r="D30" s="435">
        <v>100</v>
      </c>
      <c r="E30" s="3082" t="s">
        <v>3466</v>
      </c>
      <c r="F30" s="435">
        <f>SUMIF(96:96,E30,97:97)-SUMIF(96:96,C30,97:97)+100</f>
        <v>100</v>
      </c>
      <c r="G30" s="3083" t="s">
        <v>3467</v>
      </c>
      <c r="H30" s="435">
        <f>SUMIF(96:96,G30,97:97)-SUMIF(96:96,C30,97:97)+100</f>
        <v>100</v>
      </c>
      <c r="I30" s="434"/>
      <c r="J30" s="435">
        <f>SUMIF(96:96,I30,97:97)-SUMIF(96:96,C30,97:97)+100</f>
        <v>100</v>
      </c>
      <c r="K30" s="2593"/>
      <c r="L30" s="1137"/>
      <c r="M30" s="1128"/>
      <c r="N30" s="1128"/>
      <c r="O30" s="1128"/>
      <c r="P30" s="3372"/>
      <c r="Q30" s="1806">
        <f t="shared" si="11"/>
        <v>0</v>
      </c>
      <c r="R30" s="774" t="s">
        <v>21</v>
      </c>
      <c r="S30" s="775">
        <f t="shared" si="12"/>
        <v>100</v>
      </c>
      <c r="T30" s="774" t="s">
        <v>21</v>
      </c>
      <c r="U30" s="775">
        <f t="shared" si="13"/>
        <v>100</v>
      </c>
      <c r="V30" s="774" t="s">
        <v>21</v>
      </c>
      <c r="W30" s="775">
        <f t="shared" si="14"/>
        <v>100</v>
      </c>
      <c r="X30" s="1809"/>
      <c r="Y30" s="3326"/>
      <c r="Z30" s="1810">
        <f t="shared" si="18"/>
        <v>0</v>
      </c>
      <c r="AA30" s="1807">
        <f t="shared" si="15"/>
        <v>1</v>
      </c>
      <c r="AB30" s="1807">
        <f t="shared" si="16"/>
        <v>1</v>
      </c>
      <c r="AC30" s="1807">
        <f t="shared" si="17"/>
        <v>1</v>
      </c>
    </row>
    <row r="31" spans="1:29" ht="15.6" thickBot="1">
      <c r="A31" s="436"/>
      <c r="B31" s="3081" t="s">
        <v>3460</v>
      </c>
      <c r="C31" s="3084" t="s">
        <v>3462</v>
      </c>
      <c r="D31" s="438">
        <v>100</v>
      </c>
      <c r="E31" s="3084" t="s">
        <v>3461</v>
      </c>
      <c r="F31" s="438">
        <f>SUMIF(98:98,E31,99:99)-SUMIF(98:98,C31,99:99)+100</f>
        <v>120</v>
      </c>
      <c r="G31" s="3085" t="s">
        <v>3461</v>
      </c>
      <c r="H31" s="438">
        <f>SUMIF(98:98,G31,99:99)-SUMIF(98:98,C31,99:99)+100</f>
        <v>120</v>
      </c>
      <c r="I31" s="3084" t="s">
        <v>3463</v>
      </c>
      <c r="J31" s="438">
        <f>SUMIF(98:98,I31,99:99)-SUMIF(98:98,C31,99:99)+100</f>
        <v>80</v>
      </c>
      <c r="K31" s="2593"/>
      <c r="L31" s="1137"/>
      <c r="M31" s="1128"/>
      <c r="N31" s="1128"/>
      <c r="O31" s="1128"/>
      <c r="P31" s="3372"/>
      <c r="Q31" s="1806" t="str">
        <f t="shared" si="11"/>
        <v>赠送面积</v>
      </c>
      <c r="R31" s="774" t="s">
        <v>21</v>
      </c>
      <c r="S31" s="775">
        <f t="shared" si="12"/>
        <v>120</v>
      </c>
      <c r="T31" s="774" t="s">
        <v>21</v>
      </c>
      <c r="U31" s="775">
        <f t="shared" si="13"/>
        <v>120</v>
      </c>
      <c r="V31" s="774" t="s">
        <v>21</v>
      </c>
      <c r="W31" s="775">
        <f t="shared" si="14"/>
        <v>80</v>
      </c>
      <c r="X31" s="1809"/>
      <c r="Y31" s="3326"/>
      <c r="Z31" s="1810" t="str">
        <f t="shared" si="18"/>
        <v>赠送面积</v>
      </c>
      <c r="AA31" s="1807">
        <f t="shared" si="15"/>
        <v>0.83333333333333337</v>
      </c>
      <c r="AB31" s="1807">
        <f t="shared" si="16"/>
        <v>0.83333333333333337</v>
      </c>
      <c r="AC31" s="1807">
        <f t="shared" si="17"/>
        <v>1.25</v>
      </c>
    </row>
    <row r="32" spans="1:29" ht="15">
      <c r="A32" s="440" t="s">
        <v>2559</v>
      </c>
      <c r="B32" s="71" t="s">
        <v>2560</v>
      </c>
      <c r="C32" s="2609" t="s">
        <v>3148</v>
      </c>
      <c r="D32" s="467">
        <v>100</v>
      </c>
      <c r="E32" s="2610" t="s">
        <v>3147</v>
      </c>
      <c r="F32" s="461">
        <f>SUMIF(100:100,E32,101:101)-SUMIF(100:100,C32,101:101)+100</f>
        <v>90</v>
      </c>
      <c r="G32" s="2609" t="s">
        <v>3147</v>
      </c>
      <c r="H32" s="467">
        <f>SUMIF(100:100,G32,101:101)-SUMIF(100:100,C32,101:101)+100</f>
        <v>90</v>
      </c>
      <c r="I32" s="2610" t="s">
        <v>3148</v>
      </c>
      <c r="J32" s="435">
        <f>SUMIF(100:100,I32,101:101)-SUMIF(100:100,C32,101:101)+100</f>
        <v>100</v>
      </c>
      <c r="K32" s="426">
        <v>10</v>
      </c>
      <c r="L32" s="1137"/>
      <c r="M32" s="1128"/>
      <c r="N32" s="1128"/>
      <c r="O32" s="1128"/>
      <c r="P32" s="3367" t="s">
        <v>2561</v>
      </c>
      <c r="Q32" s="1806" t="str">
        <f t="shared" si="11"/>
        <v>建筑类型</v>
      </c>
      <c r="R32" s="774" t="s">
        <v>21</v>
      </c>
      <c r="S32" s="775">
        <f t="shared" si="12"/>
        <v>90</v>
      </c>
      <c r="T32" s="774" t="s">
        <v>21</v>
      </c>
      <c r="U32" s="775">
        <f t="shared" si="13"/>
        <v>90</v>
      </c>
      <c r="V32" s="774" t="s">
        <v>21</v>
      </c>
      <c r="W32" s="775">
        <f t="shared" si="14"/>
        <v>100</v>
      </c>
      <c r="X32" s="1809"/>
      <c r="Y32" s="3328" t="s">
        <v>2561</v>
      </c>
      <c r="Z32" s="1810" t="str">
        <f t="shared" si="18"/>
        <v>建筑类型</v>
      </c>
      <c r="AA32" s="1807">
        <f t="shared" si="15"/>
        <v>1.1111111111111112</v>
      </c>
      <c r="AB32" s="1807">
        <f t="shared" si="16"/>
        <v>1.1111111111111112</v>
      </c>
      <c r="AC32" s="1807">
        <f t="shared" si="17"/>
        <v>1</v>
      </c>
    </row>
    <row r="33" spans="1:29" s="471" customFormat="1" ht="15">
      <c r="A33" s="468"/>
      <c r="B33" s="422" t="s">
        <v>2562</v>
      </c>
      <c r="C33" s="469">
        <f>'数据-基础表'!B3</f>
        <v>448562.9899999997</v>
      </c>
      <c r="D33" s="136">
        <v>100</v>
      </c>
      <c r="E33" s="430">
        <v>500531.4</v>
      </c>
      <c r="F33" s="425">
        <f>LOOKUP(E33,103:103,104:104)-LOOKUP(C33,103:103,104:104)+100</f>
        <v>100</v>
      </c>
      <c r="G33" s="429">
        <v>290000</v>
      </c>
      <c r="H33" s="136">
        <f>LOOKUP(G33,103:103,104:104)-LOOKUP(C33,103:103,104:104)+100</f>
        <v>100</v>
      </c>
      <c r="I33" s="430">
        <v>130000</v>
      </c>
      <c r="J33" s="136">
        <f>LOOKUP(I33,103:103,104:104)-LOOKUP(C33,103:103,104:104)+100</f>
        <v>100</v>
      </c>
      <c r="K33" s="2593"/>
      <c r="L33" s="1135"/>
      <c r="M33" s="1138"/>
      <c r="N33" s="1138"/>
      <c r="O33" s="1138"/>
      <c r="P33" s="3368"/>
      <c r="Q33" s="776" t="str">
        <f t="shared" si="11"/>
        <v>项目建筑规模</v>
      </c>
      <c r="R33" s="777" t="s">
        <v>21</v>
      </c>
      <c r="S33" s="778">
        <f t="shared" si="12"/>
        <v>100</v>
      </c>
      <c r="T33" s="777" t="s">
        <v>21</v>
      </c>
      <c r="U33" s="778">
        <f t="shared" si="13"/>
        <v>100</v>
      </c>
      <c r="V33" s="777" t="s">
        <v>21</v>
      </c>
      <c r="W33" s="778">
        <f t="shared" si="14"/>
        <v>100</v>
      </c>
      <c r="X33" s="779"/>
      <c r="Y33" s="3328"/>
      <c r="Z33" s="780" t="str">
        <f t="shared" si="18"/>
        <v>项目建筑规模</v>
      </c>
      <c r="AA33" s="1807">
        <f t="shared" si="15"/>
        <v>1</v>
      </c>
      <c r="AB33" s="1807">
        <f t="shared" si="16"/>
        <v>1</v>
      </c>
      <c r="AC33" s="1807">
        <f t="shared" si="17"/>
        <v>1</v>
      </c>
    </row>
    <row r="34" spans="1:29" ht="15">
      <c r="A34" s="472"/>
      <c r="B34" s="422" t="s">
        <v>2563</v>
      </c>
      <c r="C34" s="2611" t="s">
        <v>3195</v>
      </c>
      <c r="D34" s="435">
        <v>100</v>
      </c>
      <c r="E34" s="2611" t="s">
        <v>3195</v>
      </c>
      <c r="F34" s="461">
        <f>SUMIF(105:105,E34,106:106)-SUMIF(105:105,C34,106:106)+100</f>
        <v>100</v>
      </c>
      <c r="G34" s="2611" t="s">
        <v>3195</v>
      </c>
      <c r="H34" s="435">
        <f>SUMIF(105:105,G34,106:106)-SUMIF(105:105,C34,106:106)+100</f>
        <v>100</v>
      </c>
      <c r="I34" s="2611" t="s">
        <v>3195</v>
      </c>
      <c r="J34" s="435">
        <f>SUMIF(105:105,I34,106:106)-SUMIF(105:105,C34,106:106)+100</f>
        <v>100</v>
      </c>
      <c r="K34" s="426">
        <v>5</v>
      </c>
      <c r="L34" s="1137"/>
      <c r="M34" s="1128"/>
      <c r="N34" s="1128"/>
      <c r="O34" s="1128"/>
      <c r="P34" s="3368"/>
      <c r="Q34" s="1806" t="str">
        <f t="shared" si="11"/>
        <v>建筑结构</v>
      </c>
      <c r="R34" s="774" t="s">
        <v>21</v>
      </c>
      <c r="S34" s="775">
        <f t="shared" si="12"/>
        <v>100</v>
      </c>
      <c r="T34" s="774" t="s">
        <v>21</v>
      </c>
      <c r="U34" s="775">
        <f t="shared" si="13"/>
        <v>100</v>
      </c>
      <c r="V34" s="774" t="s">
        <v>21</v>
      </c>
      <c r="W34" s="775">
        <f t="shared" si="14"/>
        <v>100</v>
      </c>
      <c r="X34" s="1809"/>
      <c r="Y34" s="3328"/>
      <c r="Z34" s="1810" t="str">
        <f t="shared" si="18"/>
        <v>建筑结构</v>
      </c>
      <c r="AA34" s="1807">
        <f t="shared" si="15"/>
        <v>1</v>
      </c>
      <c r="AB34" s="1807">
        <f t="shared" si="16"/>
        <v>1</v>
      </c>
      <c r="AC34" s="1807">
        <f t="shared" si="17"/>
        <v>1</v>
      </c>
    </row>
    <row r="35" spans="1:29" ht="15">
      <c r="A35" s="472"/>
      <c r="B35" s="422" t="s">
        <v>2564</v>
      </c>
      <c r="C35" s="2605" t="s">
        <v>3376</v>
      </c>
      <c r="D35" s="435">
        <v>100</v>
      </c>
      <c r="E35" s="2606" t="s">
        <v>3375</v>
      </c>
      <c r="F35" s="461">
        <f>SUMIF(107:107,E35,108:108)-SUMIF(107:107,C35,108:108)+100</f>
        <v>105</v>
      </c>
      <c r="G35" s="2606" t="s">
        <v>3375</v>
      </c>
      <c r="H35" s="435">
        <f>SUMIF(107:107,G35,108:108)-SUMIF(107:107,C35,108:108)+100</f>
        <v>105</v>
      </c>
      <c r="I35" s="2606" t="s">
        <v>3375</v>
      </c>
      <c r="J35" s="435">
        <f>SUMIF(107:107,I35,108:108)-SUMIF(107:107,C35,108:108)+100</f>
        <v>105</v>
      </c>
      <c r="K35" s="426">
        <v>5</v>
      </c>
      <c r="L35" s="1137"/>
      <c r="M35" s="1128"/>
      <c r="N35" s="1128"/>
      <c r="O35" s="1128"/>
      <c r="P35" s="3368"/>
      <c r="Q35" s="1806" t="str">
        <f t="shared" si="11"/>
        <v>建筑品质</v>
      </c>
      <c r="R35" s="774" t="s">
        <v>21</v>
      </c>
      <c r="S35" s="775">
        <f t="shared" si="12"/>
        <v>105</v>
      </c>
      <c r="T35" s="774" t="s">
        <v>21</v>
      </c>
      <c r="U35" s="775">
        <f t="shared" si="13"/>
        <v>105</v>
      </c>
      <c r="V35" s="774" t="s">
        <v>21</v>
      </c>
      <c r="W35" s="775">
        <f t="shared" si="14"/>
        <v>105</v>
      </c>
      <c r="X35" s="1809"/>
      <c r="Y35" s="3328"/>
      <c r="Z35" s="1810" t="str">
        <f t="shared" si="18"/>
        <v>建筑品质</v>
      </c>
      <c r="AA35" s="1807">
        <f t="shared" si="15"/>
        <v>0.95238095238095233</v>
      </c>
      <c r="AB35" s="1807">
        <f t="shared" si="16"/>
        <v>0.95238095238095233</v>
      </c>
      <c r="AC35" s="1807">
        <f t="shared" si="17"/>
        <v>0.95238095238095233</v>
      </c>
    </row>
    <row r="36" spans="1:29" ht="15">
      <c r="A36" s="472"/>
      <c r="B36" s="422" t="s">
        <v>2565</v>
      </c>
      <c r="C36" s="2605" t="s">
        <v>3442</v>
      </c>
      <c r="D36" s="435">
        <v>100</v>
      </c>
      <c r="E36" s="2605" t="s">
        <v>3442</v>
      </c>
      <c r="F36" s="461">
        <f>SUMIF(109:109,E36,110:110)-SUMIF(109:109,C36,110:110)+100</f>
        <v>100</v>
      </c>
      <c r="G36" s="2605" t="s">
        <v>3442</v>
      </c>
      <c r="H36" s="435">
        <f>SUMIF(109:109,G36,110:110)-SUMIF(109:109,C36,110:110)+100</f>
        <v>100</v>
      </c>
      <c r="I36" s="2605" t="s">
        <v>3442</v>
      </c>
      <c r="J36" s="435">
        <f>SUMIF(109:109,I36,110:110)-SUMIF(109:109,C36,110:110)+100</f>
        <v>100</v>
      </c>
      <c r="K36" s="426">
        <v>3</v>
      </c>
      <c r="L36" s="1137"/>
      <c r="M36" s="1128"/>
      <c r="N36" s="1128"/>
      <c r="O36" s="1128"/>
      <c r="P36" s="3368"/>
      <c r="Q36" s="1806" t="str">
        <f t="shared" si="11"/>
        <v>公共部分装修</v>
      </c>
      <c r="R36" s="774" t="s">
        <v>21</v>
      </c>
      <c r="S36" s="775">
        <f t="shared" si="12"/>
        <v>100</v>
      </c>
      <c r="T36" s="774" t="s">
        <v>21</v>
      </c>
      <c r="U36" s="775">
        <f t="shared" si="13"/>
        <v>100</v>
      </c>
      <c r="V36" s="774" t="s">
        <v>21</v>
      </c>
      <c r="W36" s="775">
        <f t="shared" si="14"/>
        <v>100</v>
      </c>
      <c r="X36" s="1809"/>
      <c r="Y36" s="3328"/>
      <c r="Z36" s="1810" t="str">
        <f t="shared" si="18"/>
        <v>公共部分装修</v>
      </c>
      <c r="AA36" s="1807">
        <f t="shared" si="15"/>
        <v>1</v>
      </c>
      <c r="AB36" s="1807">
        <f t="shared" si="16"/>
        <v>1</v>
      </c>
      <c r="AC36" s="1807">
        <f t="shared" si="17"/>
        <v>1</v>
      </c>
    </row>
    <row r="37" spans="1:29" s="117" customFormat="1" ht="15">
      <c r="A37" s="473"/>
      <c r="B37" s="422" t="s">
        <v>2566</v>
      </c>
      <c r="C37" s="474">
        <v>1</v>
      </c>
      <c r="D37" s="136">
        <v>100</v>
      </c>
      <c r="E37" s="474">
        <f>ROUND(1-(2019-2015)/60,2)</f>
        <v>0.93</v>
      </c>
      <c r="F37" s="425">
        <f>LOOKUP(E37,112:112,113:113)-LOOKUP(C37,112:112,113:113)+100</f>
        <v>100</v>
      </c>
      <c r="G37" s="476">
        <f>ROUND(1-(2019-2012)/60,2)</f>
        <v>0.88</v>
      </c>
      <c r="H37" s="136">
        <f>LOOKUP(G37,112:112,113:113)-LOOKUP(C37,112:112,113:113)+100</f>
        <v>99</v>
      </c>
      <c r="I37" s="475">
        <v>1</v>
      </c>
      <c r="J37" s="136">
        <f>LOOKUP(I37,112:112,113:113)-LOOKUP(C37,112:112,113:113)+100</f>
        <v>100</v>
      </c>
      <c r="K37" s="426">
        <v>1</v>
      </c>
      <c r="L37" s="1129"/>
      <c r="M37" s="1130"/>
      <c r="N37" s="1130"/>
      <c r="O37" s="1130"/>
      <c r="P37" s="3368"/>
      <c r="Q37" s="1791" t="str">
        <f t="shared" si="11"/>
        <v>成新度</v>
      </c>
      <c r="R37" s="770" t="s">
        <v>21</v>
      </c>
      <c r="S37" s="771">
        <f t="shared" si="12"/>
        <v>100</v>
      </c>
      <c r="T37" s="770" t="s">
        <v>21</v>
      </c>
      <c r="U37" s="771">
        <f t="shared" si="13"/>
        <v>99</v>
      </c>
      <c r="V37" s="770" t="s">
        <v>21</v>
      </c>
      <c r="W37" s="771">
        <f t="shared" si="14"/>
        <v>100</v>
      </c>
      <c r="X37" s="772"/>
      <c r="Y37" s="3328"/>
      <c r="Z37" s="55" t="str">
        <f t="shared" si="18"/>
        <v>成新度</v>
      </c>
      <c r="AA37" s="773">
        <f t="shared" si="15"/>
        <v>1</v>
      </c>
      <c r="AB37" s="773">
        <f t="shared" si="16"/>
        <v>1.0101010101010102</v>
      </c>
      <c r="AC37" s="773">
        <f t="shared" si="17"/>
        <v>1</v>
      </c>
    </row>
    <row r="38" spans="1:29" ht="15">
      <c r="A38" s="472"/>
      <c r="B38" s="422" t="s">
        <v>2567</v>
      </c>
      <c r="C38" s="2605" t="s">
        <v>3444</v>
      </c>
      <c r="D38" s="435">
        <v>100</v>
      </c>
      <c r="E38" s="2605" t="s">
        <v>3444</v>
      </c>
      <c r="F38" s="461">
        <f>SUMIF(114:114,E38,115:115)-SUMIF(114:114,C38,115:115)+100</f>
        <v>100</v>
      </c>
      <c r="G38" s="2605" t="s">
        <v>3444</v>
      </c>
      <c r="H38" s="435">
        <f>SUMIF(114:114,G38,115:115)-SUMIF(114:114,C38,115:115)+100</f>
        <v>100</v>
      </c>
      <c r="I38" s="2605" t="s">
        <v>3444</v>
      </c>
      <c r="J38" s="435">
        <f>SUMIF(114:114,I38,115:115)-SUMIF(114:114,C38,115:115)+100</f>
        <v>100</v>
      </c>
      <c r="K38" s="426">
        <v>3</v>
      </c>
      <c r="L38" s="1137"/>
      <c r="M38" s="1128"/>
      <c r="N38" s="1128"/>
      <c r="O38" s="1128"/>
      <c r="P38" s="3368" t="s">
        <v>2561</v>
      </c>
      <c r="Q38" s="1806" t="str">
        <f t="shared" si="11"/>
        <v>物业管理</v>
      </c>
      <c r="R38" s="774" t="s">
        <v>21</v>
      </c>
      <c r="S38" s="775">
        <f t="shared" si="12"/>
        <v>100</v>
      </c>
      <c r="T38" s="774" t="s">
        <v>21</v>
      </c>
      <c r="U38" s="775">
        <f t="shared" si="13"/>
        <v>100</v>
      </c>
      <c r="V38" s="774" t="s">
        <v>21</v>
      </c>
      <c r="W38" s="775">
        <f t="shared" si="14"/>
        <v>100</v>
      </c>
      <c r="X38" s="1809"/>
      <c r="Y38" s="3328" t="s">
        <v>2561</v>
      </c>
      <c r="Z38" s="1810" t="str">
        <f t="shared" si="18"/>
        <v>物业管理</v>
      </c>
      <c r="AA38" s="1807">
        <f t="shared" si="15"/>
        <v>1</v>
      </c>
      <c r="AB38" s="1807">
        <f t="shared" si="16"/>
        <v>1</v>
      </c>
      <c r="AC38" s="1807">
        <f t="shared" si="17"/>
        <v>1</v>
      </c>
    </row>
    <row r="39" spans="1:29" ht="15">
      <c r="A39" s="472"/>
      <c r="B39" s="422" t="s">
        <v>2568</v>
      </c>
      <c r="C39" s="2605" t="s">
        <v>3378</v>
      </c>
      <c r="D39" s="435">
        <v>100</v>
      </c>
      <c r="E39" s="2605" t="s">
        <v>3378</v>
      </c>
      <c r="F39" s="461">
        <f>SUMIF(116:116,E39,117:117)-SUMIF(116:116,C39,117:117)+100</f>
        <v>100</v>
      </c>
      <c r="G39" s="2605" t="s">
        <v>3378</v>
      </c>
      <c r="H39" s="435">
        <f>SUMIF(116:116,G39,117:117)-SUMIF(116:116,C39,117:117)+100</f>
        <v>100</v>
      </c>
      <c r="I39" s="2605" t="s">
        <v>3378</v>
      </c>
      <c r="J39" s="435">
        <f>SUMIF(116:116,I39,117:117)-SUMIF(116:116,C39,117:117)+100</f>
        <v>100</v>
      </c>
      <c r="K39" s="426">
        <v>3</v>
      </c>
      <c r="L39" s="1137"/>
      <c r="M39" s="1128"/>
      <c r="N39" s="1128"/>
      <c r="O39" s="1128"/>
      <c r="P39" s="3368"/>
      <c r="Q39" s="1806" t="str">
        <f t="shared" si="11"/>
        <v>市政基础设施</v>
      </c>
      <c r="R39" s="774" t="s">
        <v>21</v>
      </c>
      <c r="S39" s="775">
        <f t="shared" si="12"/>
        <v>100</v>
      </c>
      <c r="T39" s="774" t="s">
        <v>21</v>
      </c>
      <c r="U39" s="775">
        <f t="shared" si="13"/>
        <v>100</v>
      </c>
      <c r="V39" s="774" t="s">
        <v>21</v>
      </c>
      <c r="W39" s="775">
        <f t="shared" si="14"/>
        <v>100</v>
      </c>
      <c r="X39" s="1809"/>
      <c r="Y39" s="3328"/>
      <c r="Z39" s="1810" t="str">
        <f t="shared" si="18"/>
        <v>市政基础设施</v>
      </c>
      <c r="AA39" s="1807">
        <f t="shared" si="15"/>
        <v>1</v>
      </c>
      <c r="AB39" s="1807">
        <f t="shared" si="16"/>
        <v>1</v>
      </c>
      <c r="AC39" s="1807">
        <f t="shared" si="17"/>
        <v>1</v>
      </c>
    </row>
    <row r="40" spans="1:29" ht="15" hidden="1">
      <c r="A40" s="472"/>
      <c r="B40" s="422" t="s">
        <v>2569</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7"/>
      <c r="M40" s="1128"/>
      <c r="N40" s="1128"/>
      <c r="O40" s="1128"/>
      <c r="P40" s="3368"/>
      <c r="Q40" s="1806" t="str">
        <f t="shared" si="11"/>
        <v>房型</v>
      </c>
      <c r="R40" s="774" t="s">
        <v>21</v>
      </c>
      <c r="S40" s="775">
        <f t="shared" si="12"/>
        <v>100</v>
      </c>
      <c r="T40" s="774" t="s">
        <v>21</v>
      </c>
      <c r="U40" s="775">
        <f t="shared" si="13"/>
        <v>100</v>
      </c>
      <c r="V40" s="774" t="s">
        <v>21</v>
      </c>
      <c r="W40" s="775">
        <f t="shared" si="14"/>
        <v>100</v>
      </c>
      <c r="X40" s="1809"/>
      <c r="Y40" s="3328"/>
      <c r="Z40" s="1810" t="str">
        <f t="shared" si="18"/>
        <v>房型</v>
      </c>
      <c r="AA40" s="1807">
        <f t="shared" si="15"/>
        <v>1</v>
      </c>
      <c r="AB40" s="1807">
        <f t="shared" si="16"/>
        <v>1</v>
      </c>
      <c r="AC40" s="1807">
        <f t="shared" si="17"/>
        <v>1</v>
      </c>
    </row>
    <row r="41" spans="1:29" s="471" customFormat="1" ht="28.8" hidden="1">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5"/>
      <c r="M41" s="1138"/>
      <c r="N41" s="1138"/>
      <c r="O41" s="1138"/>
      <c r="P41" s="3368"/>
      <c r="Q41" s="776" t="str">
        <f t="shared" si="11"/>
        <v>单套/主力户型建筑面积</v>
      </c>
      <c r="R41" s="777" t="s">
        <v>21</v>
      </c>
      <c r="S41" s="778">
        <f t="shared" si="12"/>
        <v>100</v>
      </c>
      <c r="T41" s="777" t="s">
        <v>21</v>
      </c>
      <c r="U41" s="778">
        <f t="shared" si="13"/>
        <v>100</v>
      </c>
      <c r="V41" s="777" t="s">
        <v>21</v>
      </c>
      <c r="W41" s="778">
        <f t="shared" si="14"/>
        <v>100</v>
      </c>
      <c r="X41" s="779"/>
      <c r="Y41" s="3328"/>
      <c r="Z41" s="780" t="str">
        <f t="shared" si="18"/>
        <v>单套/主力户型建筑面积</v>
      </c>
      <c r="AA41" s="1807">
        <f t="shared" si="15"/>
        <v>1</v>
      </c>
      <c r="AB41" s="1807">
        <f t="shared" si="16"/>
        <v>1</v>
      </c>
      <c r="AC41" s="1807">
        <f t="shared" si="17"/>
        <v>1</v>
      </c>
    </row>
    <row r="42" spans="1:29" ht="15">
      <c r="A42" s="472"/>
      <c r="B42" s="422" t="s">
        <v>2571</v>
      </c>
      <c r="C42" s="2605" t="s">
        <v>3407</v>
      </c>
      <c r="D42" s="435">
        <v>100</v>
      </c>
      <c r="E42" s="2605" t="s">
        <v>3407</v>
      </c>
      <c r="F42" s="461">
        <f>SUMIF(122:122,E42,123:123)-SUMIF(122:122,C42,123:123)+100</f>
        <v>100</v>
      </c>
      <c r="G42" s="2605" t="s">
        <v>3407</v>
      </c>
      <c r="H42" s="435">
        <f>SUMIF(122:122,G42,123:123)-SUMIF(122:122,C42,123:123)+100</f>
        <v>100</v>
      </c>
      <c r="I42" s="2605" t="s">
        <v>3407</v>
      </c>
      <c r="J42" s="435">
        <f>SUMIF(122:122,I42,123:123)-SUMIF(122:122,C42,123:123)+100</f>
        <v>100</v>
      </c>
      <c r="K42" s="426"/>
      <c r="L42" s="1137"/>
      <c r="M42" s="1128"/>
      <c r="N42" s="1128"/>
      <c r="O42" s="1128"/>
      <c r="P42" s="3368"/>
      <c r="Q42" s="1806" t="str">
        <f t="shared" si="11"/>
        <v>内部装修</v>
      </c>
      <c r="R42" s="774" t="s">
        <v>21</v>
      </c>
      <c r="S42" s="775">
        <f t="shared" si="12"/>
        <v>100</v>
      </c>
      <c r="T42" s="774" t="s">
        <v>21</v>
      </c>
      <c r="U42" s="775">
        <f t="shared" si="13"/>
        <v>100</v>
      </c>
      <c r="V42" s="774" t="s">
        <v>21</v>
      </c>
      <c r="W42" s="775">
        <f t="shared" si="14"/>
        <v>100</v>
      </c>
      <c r="X42" s="1809"/>
      <c r="Y42" s="3328"/>
      <c r="Z42" s="1810" t="str">
        <f t="shared" si="18"/>
        <v>内部装修</v>
      </c>
      <c r="AA42" s="1807">
        <f t="shared" si="15"/>
        <v>1</v>
      </c>
      <c r="AB42" s="1807">
        <f t="shared" si="16"/>
        <v>1</v>
      </c>
      <c r="AC42" s="1807">
        <f t="shared" si="17"/>
        <v>1</v>
      </c>
    </row>
    <row r="43" spans="1:29" ht="28.8">
      <c r="A43" s="472"/>
      <c r="B43" s="422" t="s">
        <v>2572</v>
      </c>
      <c r="C43" s="2605" t="s">
        <v>3375</v>
      </c>
      <c r="D43" s="435">
        <v>100</v>
      </c>
      <c r="E43" s="2605" t="s">
        <v>3375</v>
      </c>
      <c r="F43" s="461">
        <f>SUMIF(124:124,E43,125:125)-SUMIF(124:124,C43,125:125)+100</f>
        <v>100</v>
      </c>
      <c r="G43" s="2605" t="s">
        <v>3375</v>
      </c>
      <c r="H43" s="435">
        <f>SUMIF(124:124,G43,125:125)-SUMIF(124:124,C43,125:125)+100</f>
        <v>100</v>
      </c>
      <c r="I43" s="2605" t="s">
        <v>3375</v>
      </c>
      <c r="J43" s="435">
        <f>SUMIF(124:124,I43,125:125)-SUMIF(124:124,C43,125:125)+100</f>
        <v>100</v>
      </c>
      <c r="K43" s="426"/>
      <c r="L43" s="1137"/>
      <c r="M43" s="1128"/>
      <c r="N43" s="1128"/>
      <c r="O43" s="1128"/>
      <c r="P43" s="3368"/>
      <c r="Q43" s="1806" t="str">
        <f t="shared" si="11"/>
        <v>内部装修维护情况</v>
      </c>
      <c r="R43" s="774" t="s">
        <v>21</v>
      </c>
      <c r="S43" s="775">
        <f t="shared" si="12"/>
        <v>100</v>
      </c>
      <c r="T43" s="774" t="s">
        <v>21</v>
      </c>
      <c r="U43" s="775">
        <f t="shared" si="13"/>
        <v>100</v>
      </c>
      <c r="V43" s="774" t="s">
        <v>21</v>
      </c>
      <c r="W43" s="775">
        <f t="shared" si="14"/>
        <v>100</v>
      </c>
      <c r="X43" s="1809"/>
      <c r="Y43" s="3328"/>
      <c r="Z43" s="1810" t="str">
        <f t="shared" si="18"/>
        <v>内部装修维护情况</v>
      </c>
      <c r="AA43" s="1807">
        <f t="shared" si="15"/>
        <v>1</v>
      </c>
      <c r="AB43" s="1807">
        <f t="shared" si="16"/>
        <v>1</v>
      </c>
      <c r="AC43" s="1807">
        <f t="shared" si="17"/>
        <v>1</v>
      </c>
    </row>
    <row r="44" spans="1:29" s="117" customFormat="1" ht="15.6" thickBot="1">
      <c r="A44" s="473"/>
      <c r="B44" s="3081" t="s">
        <v>3471</v>
      </c>
      <c r="C44" s="3087" t="s">
        <v>3472</v>
      </c>
      <c r="D44" s="136">
        <v>100</v>
      </c>
      <c r="E44" s="3087" t="s">
        <v>3473</v>
      </c>
      <c r="F44" s="425">
        <f>SUMIF(126:126,E44,127:127)-SUMIF(126:126,C44,127:127)+100</f>
        <v>110</v>
      </c>
      <c r="G44" s="3087" t="s">
        <v>3473</v>
      </c>
      <c r="H44" s="136">
        <f>SUMIF(126:126,G44,127:127)-SUMIF(126:126,C44,127:127)+100</f>
        <v>110</v>
      </c>
      <c r="I44" s="3087" t="s">
        <v>3472</v>
      </c>
      <c r="J44" s="136">
        <f>SUMIF(126:126,I44,127:127)-SUMIF(126:126,C44,127:127)+100</f>
        <v>100</v>
      </c>
      <c r="K44" s="2593"/>
      <c r="L44" s="1129"/>
      <c r="M44" s="1130"/>
      <c r="N44" s="1130"/>
      <c r="O44" s="1130"/>
      <c r="P44" s="3368"/>
      <c r="Q44" s="1791" t="str">
        <f t="shared" si="11"/>
        <v>状态</v>
      </c>
      <c r="R44" s="770" t="s">
        <v>21</v>
      </c>
      <c r="S44" s="771">
        <f t="shared" si="12"/>
        <v>110</v>
      </c>
      <c r="T44" s="770" t="s">
        <v>21</v>
      </c>
      <c r="U44" s="771">
        <f t="shared" si="13"/>
        <v>110</v>
      </c>
      <c r="V44" s="770" t="s">
        <v>21</v>
      </c>
      <c r="W44" s="771">
        <f t="shared" si="14"/>
        <v>100</v>
      </c>
      <c r="X44" s="772"/>
      <c r="Y44" s="3328"/>
      <c r="Z44" s="55" t="str">
        <f t="shared" si="18"/>
        <v>状态</v>
      </c>
      <c r="AA44" s="773">
        <f t="shared" si="15"/>
        <v>0.90909090909090906</v>
      </c>
      <c r="AB44" s="773">
        <f t="shared" si="16"/>
        <v>0.90909090909090906</v>
      </c>
      <c r="AC44" s="773">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68"/>
      <c r="Q45" s="1806">
        <f t="shared" si="11"/>
        <v>111</v>
      </c>
      <c r="R45" s="774" t="s">
        <v>21</v>
      </c>
      <c r="S45" s="775">
        <f t="shared" si="12"/>
        <v>100</v>
      </c>
      <c r="T45" s="774" t="s">
        <v>21</v>
      </c>
      <c r="U45" s="775">
        <f t="shared" si="13"/>
        <v>100</v>
      </c>
      <c r="V45" s="774" t="s">
        <v>21</v>
      </c>
      <c r="W45" s="775">
        <f t="shared" si="14"/>
        <v>100</v>
      </c>
      <c r="X45" s="1809"/>
      <c r="Y45" s="3328"/>
      <c r="Z45" s="1810">
        <f t="shared" si="18"/>
        <v>111</v>
      </c>
      <c r="AA45" s="1807">
        <f t="shared" si="15"/>
        <v>1</v>
      </c>
      <c r="AB45" s="1807">
        <f t="shared" si="16"/>
        <v>1</v>
      </c>
      <c r="AC45" s="1807">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69"/>
      <c r="Q46" s="1806">
        <f t="shared" si="11"/>
        <v>111</v>
      </c>
      <c r="R46" s="774" t="s">
        <v>20</v>
      </c>
      <c r="S46" s="775">
        <f t="shared" si="12"/>
        <v>100</v>
      </c>
      <c r="T46" s="774" t="s">
        <v>20</v>
      </c>
      <c r="U46" s="775">
        <f t="shared" si="13"/>
        <v>100</v>
      </c>
      <c r="V46" s="774" t="s">
        <v>20</v>
      </c>
      <c r="W46" s="775">
        <f t="shared" si="14"/>
        <v>100</v>
      </c>
      <c r="X46" s="1809"/>
      <c r="Y46" s="3370"/>
      <c r="Z46" s="1810">
        <f t="shared" si="18"/>
        <v>111</v>
      </c>
      <c r="AA46" s="1807">
        <f t="shared" si="15"/>
        <v>1</v>
      </c>
      <c r="AB46" s="1807">
        <f t="shared" si="16"/>
        <v>1</v>
      </c>
      <c r="AC46" s="1807">
        <f t="shared" si="17"/>
        <v>1</v>
      </c>
    </row>
    <row r="47" spans="1:29" ht="14.4">
      <c r="A47" s="479" t="s">
        <v>2573</v>
      </c>
      <c r="B47" s="480"/>
      <c r="C47" s="1404" t="s">
        <v>19</v>
      </c>
      <c r="D47" s="1405"/>
      <c r="E47" s="1406">
        <f>ROUND((852-E51)/280*10000*C51,0)</f>
        <v>27550</v>
      </c>
      <c r="F47" s="1407"/>
      <c r="G47" s="1408">
        <f>ROUND((520-G51)/180*10000*C51,0)</f>
        <v>26389</v>
      </c>
      <c r="H47" s="1409"/>
      <c r="I47" s="1406">
        <f>ROUND((550)/245*10000*C51,0)</f>
        <v>21327</v>
      </c>
      <c r="J47" s="1409"/>
      <c r="K47" s="2612"/>
      <c r="L47" s="1140"/>
      <c r="M47" s="1141"/>
      <c r="N47" s="1128"/>
      <c r="O47" s="1141"/>
      <c r="P47" s="3310" t="str">
        <f>A47</f>
        <v>成交单价（元/平方米）</v>
      </c>
      <c r="Q47" s="3310"/>
      <c r="R47" s="3366">
        <f>E47</f>
        <v>27550</v>
      </c>
      <c r="S47" s="3366"/>
      <c r="T47" s="3366">
        <f>G47</f>
        <v>26389</v>
      </c>
      <c r="U47" s="3366"/>
      <c r="V47" s="3366">
        <f>I47</f>
        <v>21327</v>
      </c>
      <c r="W47" s="3366"/>
      <c r="X47" s="759"/>
      <c r="Y47" s="781"/>
      <c r="Z47" s="759"/>
      <c r="AA47" s="759"/>
      <c r="AB47" s="759"/>
      <c r="AC47" s="759"/>
    </row>
    <row r="48" spans="1:29" ht="15" thickBot="1">
      <c r="A48" s="486" t="s">
        <v>2574</v>
      </c>
      <c r="B48" s="487"/>
      <c r="C48" s="1410">
        <f>R49</f>
        <v>22565</v>
      </c>
      <c r="D48" s="1411"/>
      <c r="E48" s="1412">
        <f>R48</f>
        <v>22086</v>
      </c>
      <c r="F48" s="1412"/>
      <c r="G48" s="1410">
        <f>T48</f>
        <v>21369</v>
      </c>
      <c r="H48" s="1411"/>
      <c r="I48" s="1412">
        <f>V48</f>
        <v>24241</v>
      </c>
      <c r="J48" s="1411"/>
      <c r="K48" s="2613"/>
      <c r="L48" s="1140"/>
      <c r="M48" s="1141"/>
      <c r="N48" s="1141"/>
      <c r="O48" s="1141"/>
      <c r="P48" s="3310" t="str">
        <f>A48</f>
        <v>比较价值（元/平方米）</v>
      </c>
      <c r="Q48" s="3310"/>
      <c r="R48" s="3366">
        <f>IF(F1="售价",ROUND(PRODUCT(R47,AA7:AA46),0),ROUND(PRODUCT(R47,AA7:AA46),1))</f>
        <v>22086</v>
      </c>
      <c r="S48" s="3366"/>
      <c r="T48" s="3366">
        <f>IF(F1="售价",ROUND(PRODUCT(T47,AB7:AB46),0),ROUND(PRODUCT(T47,AB7:AB46),1))</f>
        <v>21369</v>
      </c>
      <c r="U48" s="3366"/>
      <c r="V48" s="3366">
        <f>IF(F1="售价",ROUND(PRODUCT(V47,AC7:AC46),0),ROUND(PRODUCT(V47,AC7:AC46),1))</f>
        <v>24241</v>
      </c>
      <c r="W48" s="3366"/>
      <c r="X48" s="759"/>
      <c r="Y48" s="759"/>
      <c r="Z48" s="759"/>
      <c r="AA48" s="759"/>
      <c r="AB48" s="759"/>
      <c r="AC48" s="759"/>
    </row>
    <row r="49" spans="1:29" ht="15" thickBot="1">
      <c r="A49" s="492" t="s">
        <v>2575</v>
      </c>
      <c r="B49" s="493"/>
      <c r="C49" s="1413">
        <f>R49</f>
        <v>22565</v>
      </c>
      <c r="D49" s="1414"/>
      <c r="E49" s="1414"/>
      <c r="F49" s="1414"/>
      <c r="G49" s="1414"/>
      <c r="H49" s="1414"/>
      <c r="I49" s="1414"/>
      <c r="J49" s="1414"/>
      <c r="K49" s="2614"/>
      <c r="L49" s="1140"/>
      <c r="M49" s="1141"/>
      <c r="N49" s="1141"/>
      <c r="O49" s="1141"/>
      <c r="P49" s="3330" t="str">
        <f>A49</f>
        <v>估价对象XX用房的比较价值（楼面单价，元/平方米）</v>
      </c>
      <c r="Q49" s="3331"/>
      <c r="R49" s="3365">
        <f>IF(F1="售价",ROUND(AVERAGE(R48:V48),0),ROUND(AVERAGE(R48:V48),1))</f>
        <v>22565</v>
      </c>
      <c r="S49" s="3365"/>
      <c r="T49" s="3365"/>
      <c r="U49" s="3365"/>
      <c r="V49" s="3365"/>
      <c r="W49" s="3365"/>
      <c r="X49" s="759"/>
      <c r="Y49" s="759"/>
      <c r="Z49" s="759"/>
      <c r="AA49" s="759"/>
      <c r="AB49" s="759"/>
      <c r="AC49" s="759"/>
    </row>
    <row r="50" spans="1:29" ht="14.4">
      <c r="A50" s="1141"/>
      <c r="B50" s="1141"/>
      <c r="C50" s="3080" t="s">
        <v>3465</v>
      </c>
      <c r="D50" s="1141"/>
      <c r="E50" s="3080" t="s">
        <v>3448</v>
      </c>
      <c r="F50" s="1141"/>
      <c r="G50" s="3080" t="s">
        <v>3456</v>
      </c>
      <c r="H50" s="1141"/>
      <c r="I50" s="1141"/>
      <c r="J50" s="1141"/>
      <c r="K50" s="1102"/>
      <c r="L50" s="1103"/>
      <c r="M50" s="1141"/>
      <c r="N50" s="1141"/>
      <c r="O50" s="1141"/>
    </row>
    <row r="51" spans="1:29">
      <c r="A51" s="1141"/>
      <c r="B51" s="1141"/>
      <c r="C51" s="1141">
        <v>0.95</v>
      </c>
      <c r="D51" s="1141"/>
      <c r="E51" s="1141">
        <v>40</v>
      </c>
      <c r="F51" s="1141"/>
      <c r="G51" s="1141">
        <v>20</v>
      </c>
      <c r="H51" s="1141"/>
      <c r="I51" s="1141"/>
      <c r="J51" s="1141"/>
      <c r="K51" s="1102"/>
      <c r="L51" s="1103"/>
      <c r="M51" s="1141"/>
      <c r="N51" s="1141"/>
      <c r="O51" s="1141"/>
    </row>
    <row r="52" spans="1:29" ht="13.5" customHeight="1">
      <c r="A52" s="1141"/>
      <c r="B52" s="1141"/>
      <c r="C52" s="497" t="s">
        <v>2576</v>
      </c>
      <c r="D52" s="498"/>
      <c r="E52" s="499">
        <f>IF(E47&lt;E48,E48/E47-1,E47/E48-1)</f>
        <v>0.24739654079507378</v>
      </c>
      <c r="F52" s="500" t="str">
        <f>IF(OR(E52&gt;=0.3,E52&lt;=-0.3),"超过30%","")</f>
        <v/>
      </c>
      <c r="G52" s="499">
        <f>IF(G47&lt;G48,G48/G47-1,G47/G48-1)</f>
        <v>0.23491974355374601</v>
      </c>
      <c r="H52" s="500" t="str">
        <f>IF(OR(G52&gt;=0.3,G52&lt;=-0.3),"超过30%","")</f>
        <v/>
      </c>
      <c r="I52" s="499">
        <f>IF(I47&lt;I48,I48/I47-1,I47/I48-1)</f>
        <v>0.13663431331176445</v>
      </c>
      <c r="J52" s="500" t="str">
        <f>IF(OR(I52&gt;=0.3,I52&lt;=-0.3),"超过30%","")</f>
        <v/>
      </c>
      <c r="K52" s="1102"/>
      <c r="L52" s="1103"/>
      <c r="M52" s="1141"/>
      <c r="N52" s="1141"/>
      <c r="O52" s="1141"/>
    </row>
    <row r="53" spans="1:29" ht="13.5" customHeight="1">
      <c r="A53" s="1141"/>
      <c r="B53" s="1141"/>
      <c r="C53" s="497" t="s">
        <v>2577</v>
      </c>
      <c r="D53" s="501"/>
      <c r="E53" s="499">
        <f>IF(E48&lt;G48,G48/E48-1,E48/G48-1)</f>
        <v>3.3553278113154672E-2</v>
      </c>
      <c r="F53" s="500" t="str">
        <f>IF(OR(E53&gt;=0.2,E53&lt;=-0.2),"超过20%","")</f>
        <v/>
      </c>
      <c r="G53" s="499">
        <f>IF(G48&lt;I48,I48/G48-1,G48/I48-1)</f>
        <v>0.13440029949927457</v>
      </c>
      <c r="H53" s="500" t="str">
        <f>IF(OR(G53&gt;=0.2,G53&lt;=-0.2),"超过20%","")</f>
        <v/>
      </c>
      <c r="I53" s="499">
        <f>IF(I48&lt;E48,E48/I48-1,I48/E48-1)</f>
        <v>9.7573123245494831E-2</v>
      </c>
      <c r="J53" s="500" t="str">
        <f>IF(OR(I53&gt;=0.2,I53&lt;=-0.2),"超过20%","")</f>
        <v/>
      </c>
      <c r="K53" s="1102"/>
      <c r="L53" s="1103"/>
      <c r="M53" s="1141"/>
      <c r="N53" s="1141"/>
      <c r="O53" s="1141"/>
    </row>
    <row r="54" spans="1:29" s="502" customFormat="1" ht="13.5" customHeight="1">
      <c r="A54" s="1142"/>
      <c r="B54" s="1142"/>
      <c r="C54" s="497" t="s">
        <v>2578</v>
      </c>
      <c r="D54" s="501"/>
      <c r="E54" s="499">
        <f>IF(E47&lt;G47,G47/E47-1,E47/G47-1)</f>
        <v>4.3995604229034813E-2</v>
      </c>
      <c r="F54" s="500" t="str">
        <f>IF(OR(E54&gt;=0.3,E54&lt;=-0.3),"超过30%","")</f>
        <v/>
      </c>
      <c r="G54" s="499">
        <f>IF(G47&lt;I47,I47/G47-1,G47/I47-1)</f>
        <v>0.23735171379003139</v>
      </c>
      <c r="H54" s="500" t="str">
        <f>IF(OR(G54&gt;=0.3,G54&lt;=-0.3),"超过30%","")</f>
        <v/>
      </c>
      <c r="I54" s="499">
        <f>IF(I47&lt;E47,E47/I47-1,I47/E47-1)</f>
        <v>0.29178975008205565</v>
      </c>
      <c r="J54" s="500" t="str">
        <f>IF(OR(I54&gt;=0.3,I54&lt;=-0.3),"超过30%","")</f>
        <v/>
      </c>
      <c r="K54" s="1145"/>
      <c r="L54" s="1146"/>
      <c r="M54" s="1142"/>
      <c r="N54" s="1142"/>
      <c r="O54" s="1142"/>
      <c r="P54" s="2616"/>
    </row>
    <row r="55" spans="1:29" s="502"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3" t="s">
        <v>2579</v>
      </c>
      <c r="B57" s="759"/>
      <c r="C57" s="764"/>
      <c r="D57" s="764"/>
      <c r="E57" s="764"/>
      <c r="F57" s="765"/>
      <c r="G57" s="765"/>
      <c r="H57" s="764"/>
      <c r="I57" s="764"/>
      <c r="J57" s="764"/>
      <c r="K57" s="1157"/>
      <c r="L57" s="1158"/>
      <c r="M57" s="1156"/>
      <c r="N57" s="1156"/>
      <c r="O57" s="1156"/>
      <c r="P57" s="2617"/>
      <c r="Q57" s="504"/>
    </row>
    <row r="58" spans="1:29" s="508" customFormat="1" ht="14.4">
      <c r="A58" s="505" t="s">
        <v>2580</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c r="A59" s="509"/>
      <c r="B59" s="2618"/>
      <c r="C59" s="1569">
        <v>100</v>
      </c>
      <c r="D59" s="511"/>
      <c r="E59" s="512"/>
      <c r="F59" s="512"/>
      <c r="G59" s="512"/>
      <c r="H59" s="512"/>
      <c r="I59" s="512"/>
      <c r="J59" s="512"/>
      <c r="K59" s="512"/>
      <c r="L59" s="512"/>
      <c r="M59" s="513"/>
      <c r="N59" s="512"/>
      <c r="O59" s="513"/>
      <c r="P59" s="2619"/>
    </row>
    <row r="60" spans="1:29" s="117" customFormat="1" ht="15" thickBot="1">
      <c r="A60" s="515" t="s">
        <v>2581</v>
      </c>
      <c r="B60" s="516"/>
      <c r="C60" s="517"/>
      <c r="D60" s="518"/>
      <c r="E60" s="518"/>
      <c r="F60" s="518"/>
      <c r="G60" s="518"/>
      <c r="H60" s="518"/>
      <c r="I60" s="518"/>
      <c r="J60" s="518"/>
      <c r="K60" s="518"/>
      <c r="L60" s="518"/>
      <c r="M60" s="519"/>
      <c r="N60" s="518"/>
      <c r="O60" s="519"/>
      <c r="P60" s="2619"/>
      <c r="Q60" s="504"/>
    </row>
    <row r="61" spans="1:29" s="117" customFormat="1" ht="14.4">
      <c r="A61" s="521" t="s">
        <v>2582</v>
      </c>
      <c r="B61" s="510"/>
      <c r="C61" s="522" t="s">
        <v>2583</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2584</v>
      </c>
      <c r="B63" s="528" t="s">
        <v>2550</v>
      </c>
      <c r="C63" s="529">
        <f>C9</f>
        <v>0</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1"/>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1"/>
      <c r="Q66" s="504"/>
    </row>
    <row r="67" spans="1:17" ht="15" thickTop="1">
      <c r="A67" s="534"/>
      <c r="B67" s="546" t="s">
        <v>2554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0"/>
      <c r="O67" s="1150"/>
      <c r="P67" s="2621"/>
      <c r="Q67" s="504"/>
    </row>
    <row r="68" spans="1:17">
      <c r="A68" s="534"/>
      <c r="B68" s="548"/>
      <c r="C68" s="549">
        <v>0</v>
      </c>
      <c r="D68" s="549">
        <f>C68+1</f>
        <v>1</v>
      </c>
      <c r="E68" s="549">
        <f t="shared" ref="E68:J68" si="22">D68+1</f>
        <v>2</v>
      </c>
      <c r="F68" s="549">
        <f t="shared" si="22"/>
        <v>3</v>
      </c>
      <c r="G68" s="549">
        <f t="shared" si="22"/>
        <v>4</v>
      </c>
      <c r="H68" s="549">
        <f t="shared" si="22"/>
        <v>5</v>
      </c>
      <c r="I68" s="549">
        <f t="shared" si="22"/>
        <v>6</v>
      </c>
      <c r="J68" s="549">
        <f t="shared" si="22"/>
        <v>7</v>
      </c>
      <c r="K68" s="550"/>
      <c r="L68" s="551"/>
      <c r="M68" s="552"/>
      <c r="N68" s="1149"/>
      <c r="O68" s="1149"/>
      <c r="P68" s="2621"/>
      <c r="Q68" s="504"/>
    </row>
    <row r="69" spans="1:17" ht="14.4" thickBot="1">
      <c r="A69" s="534"/>
      <c r="B69" s="535"/>
      <c r="C69" s="544">
        <v>100</v>
      </c>
      <c r="D69" s="544">
        <f t="shared" ref="D69:M69" si="23">C69-$K11</f>
        <v>95</v>
      </c>
      <c r="E69" s="544">
        <f t="shared" si="23"/>
        <v>90</v>
      </c>
      <c r="F69" s="544">
        <f t="shared" si="23"/>
        <v>85</v>
      </c>
      <c r="G69" s="544">
        <f t="shared" si="23"/>
        <v>80</v>
      </c>
      <c r="H69" s="544">
        <f t="shared" si="23"/>
        <v>75</v>
      </c>
      <c r="I69" s="544">
        <f t="shared" si="23"/>
        <v>70</v>
      </c>
      <c r="J69" s="544">
        <f t="shared" si="23"/>
        <v>65</v>
      </c>
      <c r="K69" s="544">
        <f t="shared" si="23"/>
        <v>60</v>
      </c>
      <c r="L69" s="544">
        <f t="shared" si="23"/>
        <v>55</v>
      </c>
      <c r="M69" s="545">
        <f t="shared" si="23"/>
        <v>50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60"/>
      <c r="E73" s="560"/>
      <c r="F73" s="560"/>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5"/>
      <c r="Q76" s="504"/>
    </row>
    <row r="77" spans="1:17" ht="14.4" thickBot="1">
      <c r="A77" s="534"/>
      <c r="B77" s="543"/>
      <c r="C77" s="544">
        <v>100</v>
      </c>
      <c r="D77" s="544">
        <f>C77-$K15</f>
        <v>95</v>
      </c>
      <c r="E77" s="544">
        <f>D77-$K15</f>
        <v>90</v>
      </c>
      <c r="F77" s="544">
        <f>E77-$K15</f>
        <v>85</v>
      </c>
      <c r="G77" s="544">
        <f>F77-$K15</f>
        <v>80</v>
      </c>
      <c r="H77" s="544"/>
      <c r="I77" s="544"/>
      <c r="J77" s="544"/>
      <c r="K77" s="544"/>
      <c r="L77" s="544"/>
      <c r="M77" s="545"/>
      <c r="N77" s="1150"/>
      <c r="O77" s="1150"/>
      <c r="P77" s="2621"/>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1"/>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1"/>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1"/>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1"/>
      <c r="Q81" s="504"/>
    </row>
    <row r="82" spans="1:17" ht="15" thickTop="1">
      <c r="A82" s="534"/>
      <c r="B82" s="546" t="s">
        <v>2096</v>
      </c>
      <c r="C82" s="539" t="s">
        <v>2600</v>
      </c>
      <c r="D82" s="539" t="s">
        <v>2601</v>
      </c>
      <c r="E82" s="539" t="s">
        <v>2602</v>
      </c>
      <c r="F82" s="539" t="s">
        <v>2603</v>
      </c>
      <c r="G82" s="539" t="s">
        <v>2604</v>
      </c>
      <c r="H82" s="539"/>
      <c r="I82" s="539"/>
      <c r="J82" s="539"/>
      <c r="K82" s="539"/>
      <c r="L82" s="539"/>
      <c r="M82" s="1379"/>
      <c r="N82" s="1150"/>
      <c r="O82" s="1150"/>
      <c r="P82" s="2621"/>
      <c r="Q82" s="504"/>
    </row>
    <row r="83" spans="1:17" ht="14.4" thickBot="1">
      <c r="A83" s="534"/>
      <c r="B83" s="546"/>
      <c r="C83" s="660">
        <v>100</v>
      </c>
      <c r="D83" s="660">
        <f>C83-$K21</f>
        <v>97</v>
      </c>
      <c r="E83" s="660">
        <f t="shared" ref="E83:G83" si="24">D83-$K21</f>
        <v>94</v>
      </c>
      <c r="F83" s="660">
        <f t="shared" si="24"/>
        <v>91</v>
      </c>
      <c r="G83" s="660">
        <f t="shared" si="24"/>
        <v>88</v>
      </c>
      <c r="H83" s="660"/>
      <c r="I83" s="660"/>
      <c r="J83" s="660"/>
      <c r="K83" s="660"/>
      <c r="L83" s="660"/>
      <c r="M83" s="450"/>
      <c r="N83" s="1150"/>
      <c r="O83" s="1150"/>
      <c r="P83" s="2621"/>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1"/>
      <c r="Q84" s="504"/>
    </row>
    <row r="85" spans="1:17" ht="14.4" thickBot="1">
      <c r="A85" s="534"/>
      <c r="B85" s="543"/>
      <c r="C85" s="544">
        <v>100</v>
      </c>
      <c r="D85" s="544">
        <f>C85-$K23</f>
        <v>95</v>
      </c>
      <c r="E85" s="544">
        <f>D85-$K23</f>
        <v>90</v>
      </c>
      <c r="F85" s="544">
        <f>E85-$K23</f>
        <v>85</v>
      </c>
      <c r="G85" s="544">
        <f>F85-$K23</f>
        <v>80</v>
      </c>
      <c r="H85" s="544"/>
      <c r="I85" s="544"/>
      <c r="J85" s="544"/>
      <c r="K85" s="544"/>
      <c r="L85" s="544"/>
      <c r="M85" s="545"/>
      <c r="N85" s="1150"/>
      <c r="O85" s="1150"/>
      <c r="P85" s="2621"/>
      <c r="Q85" s="504"/>
    </row>
    <row r="86" spans="1:17" s="117" customFormat="1" ht="15" thickTop="1">
      <c r="A86" s="579"/>
      <c r="B86" s="538" t="s">
        <v>2606</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0"/>
      <c r="O87" s="1150"/>
      <c r="P87" s="2621"/>
      <c r="Q87" s="504"/>
    </row>
    <row r="88" spans="1:17" s="117" customFormat="1" ht="15" thickTop="1">
      <c r="A88" s="579"/>
      <c r="B88" s="538" t="s">
        <v>2607</v>
      </c>
      <c r="C88" s="554"/>
      <c r="D88" s="554"/>
      <c r="E88" s="554"/>
      <c r="F88" s="2626"/>
      <c r="G88" s="554"/>
      <c r="H88" s="554"/>
      <c r="I88" s="554"/>
      <c r="J88" s="554"/>
      <c r="K88" s="554"/>
      <c r="L88" s="554"/>
      <c r="M88" s="581"/>
      <c r="N88" s="1148"/>
      <c r="O88" s="1148"/>
      <c r="P88" s="2621"/>
      <c r="Q88" s="504"/>
    </row>
    <row r="89" spans="1:17" s="117" customFormat="1" ht="14.4"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0"/>
      <c r="O89" s="1150"/>
      <c r="P89" s="2621"/>
      <c r="Q89" s="504"/>
    </row>
    <row r="90" spans="1:17" s="471" customFormat="1" ht="14.4" thickTop="1">
      <c r="A90" s="553"/>
      <c r="B90" s="538" t="str">
        <f>B27</f>
        <v>产权面积</v>
      </c>
      <c r="C90" s="554"/>
      <c r="D90" s="554"/>
      <c r="E90" s="554"/>
      <c r="F90" s="554"/>
      <c r="G90" s="554"/>
      <c r="H90" s="555"/>
      <c r="I90" s="555"/>
      <c r="J90" s="555"/>
      <c r="K90" s="555"/>
      <c r="L90" s="556"/>
      <c r="M90" s="557"/>
      <c r="N90" s="1151"/>
      <c r="O90" s="1151"/>
      <c r="P90" s="2622"/>
      <c r="Q90" s="559"/>
    </row>
    <row r="91" spans="1:17" s="471" customFormat="1" ht="14.4" thickBot="1">
      <c r="A91" s="553"/>
      <c r="B91" s="543"/>
      <c r="C91" s="560"/>
      <c r="D91" s="560"/>
      <c r="E91" s="560"/>
      <c r="F91" s="560"/>
      <c r="G91" s="560"/>
      <c r="H91" s="562"/>
      <c r="I91" s="562"/>
      <c r="J91" s="562"/>
      <c r="K91" s="562"/>
      <c r="L91" s="562"/>
      <c r="M91" s="563"/>
      <c r="N91" s="1151"/>
      <c r="O91" s="1151"/>
      <c r="P91" s="2622"/>
      <c r="Q91" s="559"/>
    </row>
    <row r="92" spans="1:17" ht="14.4" thickTop="1">
      <c r="A92" s="534"/>
      <c r="B92" s="538" t="str">
        <f>B28</f>
        <v>赠送部分</v>
      </c>
      <c r="C92" s="554"/>
      <c r="D92" s="554"/>
      <c r="E92" s="554"/>
      <c r="F92" s="554"/>
      <c r="G92" s="583"/>
      <c r="H92" s="583"/>
      <c r="I92" s="583"/>
      <c r="J92" s="583"/>
      <c r="K92" s="584"/>
      <c r="L92" s="585"/>
      <c r="M92" s="586"/>
      <c r="N92" s="1149"/>
      <c r="O92" s="1149"/>
      <c r="P92" s="2621"/>
      <c r="Q92" s="504"/>
    </row>
    <row r="93" spans="1:17" ht="14.4" thickBot="1">
      <c r="A93" s="534"/>
      <c r="B93" s="543"/>
      <c r="C93" s="560"/>
      <c r="D93" s="536"/>
      <c r="E93" s="536"/>
      <c r="F93" s="536"/>
      <c r="G93" s="536"/>
      <c r="H93" s="536"/>
      <c r="I93" s="536"/>
      <c r="J93" s="536"/>
      <c r="K93" s="536"/>
      <c r="L93" s="536"/>
      <c r="M93" s="537"/>
      <c r="N93" s="1150"/>
      <c r="O93" s="1150"/>
      <c r="P93" s="2621"/>
      <c r="Q93" s="504"/>
    </row>
    <row r="94" spans="1:17" ht="14.4" thickTop="1">
      <c r="A94" s="534"/>
      <c r="B94" s="538" t="str">
        <f>B29</f>
        <v>花园面积</v>
      </c>
      <c r="C94" s="554"/>
      <c r="D94" s="554"/>
      <c r="E94" s="554"/>
      <c r="F94" s="554"/>
      <c r="G94" s="583"/>
      <c r="H94" s="583"/>
      <c r="I94" s="583"/>
      <c r="J94" s="583"/>
      <c r="K94" s="584"/>
      <c r="L94" s="585"/>
      <c r="M94" s="586"/>
      <c r="N94" s="1149"/>
      <c r="O94" s="1149"/>
      <c r="P94" s="2621"/>
      <c r="Q94" s="504"/>
    </row>
    <row r="95" spans="1:17" ht="14.4" thickBot="1">
      <c r="A95" s="534"/>
      <c r="B95" s="543"/>
      <c r="C95" s="560"/>
      <c r="D95" s="560"/>
      <c r="E95" s="560"/>
      <c r="F95" s="560"/>
      <c r="G95" s="536"/>
      <c r="H95" s="536"/>
      <c r="I95" s="536"/>
      <c r="J95" s="536"/>
      <c r="K95" s="536"/>
      <c r="L95" s="536"/>
      <c r="M95" s="537"/>
      <c r="N95" s="1150"/>
      <c r="O95" s="1150"/>
      <c r="P95" s="2621"/>
      <c r="Q95" s="504"/>
    </row>
    <row r="96" spans="1:17" ht="14.4" thickTop="1">
      <c r="A96" s="534"/>
      <c r="B96" s="538">
        <f>B30</f>
        <v>0</v>
      </c>
      <c r="C96" s="554"/>
      <c r="D96" s="554"/>
      <c r="E96" s="554"/>
      <c r="F96" s="554"/>
      <c r="G96" s="583"/>
      <c r="H96" s="583"/>
      <c r="I96" s="583"/>
      <c r="J96" s="583"/>
      <c r="K96" s="584"/>
      <c r="L96" s="585"/>
      <c r="M96" s="586"/>
      <c r="N96" s="1149"/>
      <c r="O96" s="1149"/>
      <c r="P96" s="2621"/>
      <c r="Q96" s="504"/>
    </row>
    <row r="97" spans="1:17" ht="14.4" thickBot="1">
      <c r="A97" s="534"/>
      <c r="B97" s="543"/>
      <c r="C97" s="570"/>
      <c r="D97" s="570"/>
      <c r="E97" s="570"/>
      <c r="F97" s="570"/>
      <c r="G97" s="536"/>
      <c r="H97" s="536"/>
      <c r="I97" s="536"/>
      <c r="J97" s="536"/>
      <c r="K97" s="536"/>
      <c r="L97" s="536"/>
      <c r="M97" s="537"/>
      <c r="N97" s="1150"/>
      <c r="O97" s="1150"/>
      <c r="P97" s="2621"/>
      <c r="Q97" s="504"/>
    </row>
    <row r="98" spans="1:17" ht="15" thickTop="1">
      <c r="A98" s="534"/>
      <c r="B98" s="546" t="str">
        <f>B31</f>
        <v>赠送面积</v>
      </c>
      <c r="C98" s="3086" t="s">
        <v>3461</v>
      </c>
      <c r="D98" s="3086" t="s">
        <v>3462</v>
      </c>
      <c r="E98" s="3086" t="s">
        <v>3463</v>
      </c>
      <c r="F98" s="587"/>
      <c r="G98" s="587"/>
      <c r="H98" s="587"/>
      <c r="I98" s="587"/>
      <c r="J98" s="587"/>
      <c r="K98" s="588"/>
      <c r="L98" s="589"/>
      <c r="M98" s="590"/>
      <c r="N98" s="1149"/>
      <c r="O98" s="1149"/>
      <c r="P98" s="2621"/>
      <c r="Q98" s="504"/>
    </row>
    <row r="99" spans="1:17" ht="14.4" thickBot="1">
      <c r="A99" s="2627"/>
      <c r="B99" s="569"/>
      <c r="C99" s="591">
        <v>100</v>
      </c>
      <c r="D99" s="591">
        <v>80</v>
      </c>
      <c r="E99" s="591">
        <v>60</v>
      </c>
      <c r="F99" s="591"/>
      <c r="G99" s="591"/>
      <c r="H99" s="591"/>
      <c r="I99" s="591"/>
      <c r="J99" s="591"/>
      <c r="K99" s="591"/>
      <c r="L99" s="591"/>
      <c r="M99" s="592"/>
      <c r="N99" s="1150"/>
      <c r="O99" s="1150"/>
      <c r="P99" s="2621"/>
      <c r="Q99" s="504"/>
    </row>
    <row r="100" spans="1:17" ht="14.4">
      <c r="A100" s="527" t="s">
        <v>2559</v>
      </c>
      <c r="B100" s="528" t="s">
        <v>2608</v>
      </c>
      <c r="C100" s="3049" t="s">
        <v>3437</v>
      </c>
      <c r="D100" s="3049" t="s">
        <v>3438</v>
      </c>
      <c r="E100" s="3049" t="s">
        <v>3439</v>
      </c>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7">C101-$K32</f>
        <v>90</v>
      </c>
      <c r="E101" s="544">
        <f t="shared" si="27"/>
        <v>80</v>
      </c>
      <c r="F101" s="544">
        <f t="shared" si="27"/>
        <v>70</v>
      </c>
      <c r="G101" s="544">
        <f t="shared" si="27"/>
        <v>60</v>
      </c>
      <c r="H101" s="544">
        <f t="shared" si="27"/>
        <v>50</v>
      </c>
      <c r="I101" s="544">
        <f t="shared" si="27"/>
        <v>40</v>
      </c>
      <c r="J101" s="544">
        <f t="shared" si="27"/>
        <v>30</v>
      </c>
      <c r="K101" s="544">
        <f t="shared" si="27"/>
        <v>20</v>
      </c>
      <c r="L101" s="544">
        <f t="shared" si="27"/>
        <v>10</v>
      </c>
      <c r="M101" s="544">
        <f t="shared" si="27"/>
        <v>0</v>
      </c>
      <c r="N101" s="1150"/>
      <c r="O101" s="1150"/>
      <c r="P101" s="2621"/>
      <c r="Q101" s="504"/>
    </row>
    <row r="102" spans="1:17" ht="28.2" thickTop="1">
      <c r="A102" s="534"/>
      <c r="B102" s="538" t="s">
        <v>2609</v>
      </c>
      <c r="C102" s="578" t="str">
        <f>C103&amp;"(含)"&amp;"-"&amp;D103</f>
        <v>0(含)-1000000</v>
      </c>
      <c r="D102" s="578" t="str">
        <f t="shared" ref="D102:L102" si="28">D103&amp;"(含)"&amp;"-"&amp;E103</f>
        <v>1000000(含)-</v>
      </c>
      <c r="E102" s="578" t="str">
        <f t="shared" si="28"/>
        <v>(含)-</v>
      </c>
      <c r="F102" s="578" t="str">
        <f t="shared" si="28"/>
        <v>(含)-</v>
      </c>
      <c r="G102" s="578" t="str">
        <f t="shared" si="28"/>
        <v>(含)-</v>
      </c>
      <c r="H102" s="578" t="str">
        <f t="shared" si="28"/>
        <v>(含)-</v>
      </c>
      <c r="I102" s="578" t="str">
        <f t="shared" si="28"/>
        <v>(含)-</v>
      </c>
      <c r="J102" s="578" t="str">
        <f t="shared" si="28"/>
        <v>(含)-</v>
      </c>
      <c r="K102" s="578" t="str">
        <f>K103&amp;"(含)"&amp;"-"&amp;L103</f>
        <v>(含)-</v>
      </c>
      <c r="L102" s="578" t="str">
        <f t="shared" si="28"/>
        <v>(含)-</v>
      </c>
      <c r="M102" s="578" t="str">
        <f>M103&amp;"(含)"&amp;"-"&amp;P103</f>
        <v>(含)-</v>
      </c>
      <c r="N102" s="1148"/>
      <c r="O102" s="1148"/>
      <c r="P102" s="2621"/>
      <c r="Q102" s="504"/>
    </row>
    <row r="103" spans="1:17" s="471" customFormat="1">
      <c r="A103" s="593"/>
      <c r="B103" s="594"/>
      <c r="C103" s="595">
        <v>0</v>
      </c>
      <c r="D103" s="595">
        <f>C103+1000000</f>
        <v>1000000</v>
      </c>
      <c r="E103" s="595"/>
      <c r="F103" s="595"/>
      <c r="G103" s="595"/>
      <c r="H103" s="595"/>
      <c r="I103" s="595"/>
      <c r="J103" s="596"/>
      <c r="K103" s="596"/>
      <c r="L103" s="597"/>
      <c r="M103" s="598"/>
      <c r="N103" s="1151"/>
      <c r="O103" s="1151"/>
      <c r="P103" s="2622"/>
      <c r="Q103" s="559"/>
    </row>
    <row r="104" spans="1:17" s="471" customFormat="1" ht="14.4" thickBot="1">
      <c r="A104" s="553"/>
      <c r="B104" s="543"/>
      <c r="C104" s="560">
        <v>100</v>
      </c>
      <c r="D104" s="536">
        <v>100</v>
      </c>
      <c r="E104" s="536"/>
      <c r="F104" s="536"/>
      <c r="G104" s="536"/>
      <c r="H104" s="536"/>
      <c r="I104" s="536"/>
      <c r="J104" s="536"/>
      <c r="K104" s="536"/>
      <c r="L104" s="536"/>
      <c r="M104" s="536"/>
      <c r="N104" s="1150"/>
      <c r="O104" s="1150"/>
      <c r="P104" s="2622"/>
      <c r="Q104" s="559"/>
    </row>
    <row r="105" spans="1:17" ht="15" thickTop="1">
      <c r="A105" s="599"/>
      <c r="B105" s="538" t="s">
        <v>2610</v>
      </c>
      <c r="C105" s="3051" t="s">
        <v>3440</v>
      </c>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9">C106-$K34</f>
        <v>95</v>
      </c>
      <c r="E106" s="544">
        <f t="shared" si="29"/>
        <v>90</v>
      </c>
      <c r="F106" s="544">
        <f t="shared" si="29"/>
        <v>85</v>
      </c>
      <c r="G106" s="544">
        <f t="shared" si="29"/>
        <v>80</v>
      </c>
      <c r="H106" s="544">
        <f t="shared" si="29"/>
        <v>75</v>
      </c>
      <c r="I106" s="544">
        <f t="shared" si="29"/>
        <v>70</v>
      </c>
      <c r="J106" s="544">
        <f t="shared" si="29"/>
        <v>65</v>
      </c>
      <c r="K106" s="544">
        <f t="shared" si="29"/>
        <v>60</v>
      </c>
      <c r="L106" s="544">
        <f t="shared" si="29"/>
        <v>55</v>
      </c>
      <c r="M106" s="544">
        <f t="shared" si="29"/>
        <v>50</v>
      </c>
      <c r="N106" s="1150"/>
      <c r="O106" s="1150"/>
      <c r="P106" s="2621"/>
      <c r="Q106" s="504"/>
    </row>
    <row r="107" spans="1:17" ht="15" thickTop="1">
      <c r="A107" s="599"/>
      <c r="B107" s="538" t="s">
        <v>2611</v>
      </c>
      <c r="C107" s="3050" t="s">
        <v>3441</v>
      </c>
      <c r="D107" s="3050" t="s">
        <v>3462</v>
      </c>
      <c r="E107" s="583"/>
      <c r="F107" s="583"/>
      <c r="G107" s="583"/>
      <c r="H107" s="583"/>
      <c r="I107" s="583"/>
      <c r="J107" s="583"/>
      <c r="K107" s="584"/>
      <c r="L107" s="585"/>
      <c r="M107" s="586"/>
      <c r="N107" s="1149"/>
      <c r="O107" s="1149"/>
      <c r="P107" s="2621"/>
      <c r="Q107" s="504"/>
    </row>
    <row r="108" spans="1:17" ht="14.4" thickBot="1">
      <c r="A108" s="534"/>
      <c r="B108" s="543"/>
      <c r="C108" s="544">
        <v>100</v>
      </c>
      <c r="D108" s="544">
        <f t="shared" ref="D108:M108" si="30">C108-$K35</f>
        <v>95</v>
      </c>
      <c r="E108" s="544">
        <f t="shared" si="30"/>
        <v>90</v>
      </c>
      <c r="F108" s="544">
        <f t="shared" si="30"/>
        <v>85</v>
      </c>
      <c r="G108" s="544">
        <f t="shared" si="30"/>
        <v>80</v>
      </c>
      <c r="H108" s="544">
        <f t="shared" si="30"/>
        <v>75</v>
      </c>
      <c r="I108" s="544">
        <f t="shared" si="30"/>
        <v>70</v>
      </c>
      <c r="J108" s="544">
        <f t="shared" si="30"/>
        <v>65</v>
      </c>
      <c r="K108" s="544">
        <f t="shared" si="30"/>
        <v>60</v>
      </c>
      <c r="L108" s="544">
        <f t="shared" si="30"/>
        <v>55</v>
      </c>
      <c r="M108" s="544">
        <f t="shared" si="30"/>
        <v>50</v>
      </c>
      <c r="N108" s="1150"/>
      <c r="O108" s="1150"/>
      <c r="P108" s="2621"/>
      <c r="Q108" s="504"/>
    </row>
    <row r="109" spans="1:17" ht="15" thickTop="1">
      <c r="A109" s="599"/>
      <c r="B109" s="538" t="s">
        <v>2612</v>
      </c>
      <c r="C109" s="3051" t="s">
        <v>3443</v>
      </c>
      <c r="D109" s="554"/>
      <c r="E109" s="554"/>
      <c r="F109" s="583"/>
      <c r="G109" s="583"/>
      <c r="H109" s="583"/>
      <c r="I109" s="583"/>
      <c r="J109" s="583"/>
      <c r="K109" s="584"/>
      <c r="L109" s="585"/>
      <c r="M109" s="586"/>
      <c r="N109" s="1149"/>
      <c r="O109" s="1149"/>
      <c r="P109" s="2621"/>
      <c r="Q109" s="504"/>
    </row>
    <row r="110" spans="1:17" ht="14.4" thickBot="1">
      <c r="A110" s="534"/>
      <c r="B110" s="543"/>
      <c r="C110" s="544">
        <v>100</v>
      </c>
      <c r="D110" s="544">
        <f t="shared" ref="D110:M110" si="31">C110-$K36</f>
        <v>97</v>
      </c>
      <c r="E110" s="544">
        <f t="shared" si="31"/>
        <v>94</v>
      </c>
      <c r="F110" s="544">
        <f t="shared" si="31"/>
        <v>91</v>
      </c>
      <c r="G110" s="544">
        <f t="shared" si="31"/>
        <v>88</v>
      </c>
      <c r="H110" s="544">
        <f t="shared" si="31"/>
        <v>85</v>
      </c>
      <c r="I110" s="544">
        <f t="shared" si="31"/>
        <v>82</v>
      </c>
      <c r="J110" s="544">
        <f t="shared" si="31"/>
        <v>79</v>
      </c>
      <c r="K110" s="544">
        <f t="shared" si="31"/>
        <v>76</v>
      </c>
      <c r="L110" s="544">
        <f t="shared" si="31"/>
        <v>73</v>
      </c>
      <c r="M110" s="544">
        <f t="shared" si="31"/>
        <v>70</v>
      </c>
      <c r="N110" s="1150"/>
      <c r="O110" s="1150"/>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2"/>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2"/>
      <c r="Q113" s="559"/>
    </row>
    <row r="114" spans="1:17" ht="15" thickTop="1">
      <c r="A114" s="599"/>
      <c r="B114" s="538" t="s">
        <v>2613</v>
      </c>
      <c r="C114" s="3051" t="s">
        <v>3445</v>
      </c>
      <c r="D114" s="554"/>
      <c r="E114" s="583"/>
      <c r="F114" s="583"/>
      <c r="G114" s="583"/>
      <c r="H114" s="583"/>
      <c r="I114" s="583"/>
      <c r="J114" s="583"/>
      <c r="K114" s="584"/>
      <c r="L114" s="585"/>
      <c r="M114" s="586"/>
      <c r="N114" s="1149"/>
      <c r="O114" s="1149"/>
      <c r="P114" s="2621"/>
      <c r="Q114" s="504"/>
    </row>
    <row r="115" spans="1:17" ht="14.4" thickBot="1">
      <c r="A115" s="534"/>
      <c r="B115" s="543"/>
      <c r="C115" s="544">
        <v>100</v>
      </c>
      <c r="D115" s="544">
        <f t="shared" ref="D115:M115" si="32">C115-$K38</f>
        <v>97</v>
      </c>
      <c r="E115" s="544">
        <f t="shared" si="32"/>
        <v>94</v>
      </c>
      <c r="F115" s="544">
        <f t="shared" si="32"/>
        <v>91</v>
      </c>
      <c r="G115" s="544">
        <f t="shared" si="32"/>
        <v>88</v>
      </c>
      <c r="H115" s="544">
        <f t="shared" si="32"/>
        <v>85</v>
      </c>
      <c r="I115" s="544">
        <f t="shared" si="32"/>
        <v>82</v>
      </c>
      <c r="J115" s="544">
        <f t="shared" si="32"/>
        <v>79</v>
      </c>
      <c r="K115" s="544">
        <f t="shared" si="32"/>
        <v>76</v>
      </c>
      <c r="L115" s="544">
        <f t="shared" si="32"/>
        <v>73</v>
      </c>
      <c r="M115" s="544">
        <f t="shared" si="32"/>
        <v>70</v>
      </c>
      <c r="N115" s="1150"/>
      <c r="O115" s="1150"/>
      <c r="P115" s="2621"/>
      <c r="Q115" s="504"/>
    </row>
    <row r="116" spans="1:17" ht="15" thickTop="1">
      <c r="A116" s="599"/>
      <c r="B116" s="538" t="s">
        <v>2614</v>
      </c>
      <c r="C116" s="3051" t="s">
        <v>3464</v>
      </c>
      <c r="D116" s="554"/>
      <c r="E116" s="554"/>
      <c r="F116" s="554"/>
      <c r="G116" s="554"/>
      <c r="H116" s="583"/>
      <c r="I116" s="583"/>
      <c r="J116" s="583"/>
      <c r="K116" s="584"/>
      <c r="L116" s="585"/>
      <c r="M116" s="586"/>
      <c r="N116" s="1149"/>
      <c r="O116" s="1149"/>
      <c r="P116" s="262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0"/>
      <c r="O117" s="1150"/>
      <c r="P117" s="2621"/>
      <c r="Q117" s="504"/>
    </row>
    <row r="118" spans="1:17" ht="15" thickTop="1">
      <c r="A118" s="599"/>
      <c r="B118" s="538" t="s">
        <v>2615</v>
      </c>
      <c r="C118" s="583"/>
      <c r="D118" s="583"/>
      <c r="E118" s="583"/>
      <c r="F118" s="583"/>
      <c r="G118" s="583"/>
      <c r="H118" s="583"/>
      <c r="I118" s="583"/>
      <c r="J118" s="583"/>
      <c r="K118" s="584"/>
      <c r="L118" s="585"/>
      <c r="M118" s="586"/>
      <c r="N118" s="1149"/>
      <c r="O118" s="1149"/>
      <c r="P118" s="2621"/>
      <c r="Q118" s="504"/>
    </row>
    <row r="119" spans="1:17" ht="14.4"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0"/>
      <c r="O119" s="1150"/>
      <c r="P119" s="2621"/>
      <c r="Q119" s="504"/>
    </row>
    <row r="120" spans="1:17" s="471" customFormat="1" ht="29.4" thickTop="1">
      <c r="A120" s="593"/>
      <c r="B120" s="538" t="s">
        <v>2570</v>
      </c>
      <c r="C120" s="554"/>
      <c r="D120" s="554"/>
      <c r="E120" s="554"/>
      <c r="F120" s="554"/>
      <c r="G120" s="554"/>
      <c r="H120" s="554"/>
      <c r="I120" s="554"/>
      <c r="J120" s="554"/>
      <c r="K120" s="554"/>
      <c r="L120" s="580"/>
      <c r="M120" s="581"/>
      <c r="N120" s="1151"/>
      <c r="O120" s="1151"/>
      <c r="P120" s="2622"/>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2"/>
      <c r="Q121" s="559"/>
    </row>
    <row r="122" spans="1:17" ht="15" thickTop="1">
      <c r="A122" s="599"/>
      <c r="B122" s="538" t="s">
        <v>2616</v>
      </c>
      <c r="C122" s="3051" t="s">
        <v>3446</v>
      </c>
      <c r="D122" s="554"/>
      <c r="E122" s="554"/>
      <c r="F122" s="583"/>
      <c r="G122" s="583"/>
      <c r="H122" s="583"/>
      <c r="I122" s="583"/>
      <c r="J122" s="583"/>
      <c r="K122" s="584"/>
      <c r="L122" s="585"/>
      <c r="M122" s="586"/>
      <c r="N122" s="1149"/>
      <c r="O122" s="1149"/>
      <c r="P122" s="2621"/>
      <c r="Q122" s="504"/>
    </row>
    <row r="123" spans="1:17" ht="14.4"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0"/>
      <c r="O123" s="1150"/>
      <c r="P123" s="2621"/>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1"/>
      <c r="Q125" s="504"/>
    </row>
    <row r="126" spans="1:17" s="471" customFormat="1" ht="15" thickTop="1">
      <c r="A126" s="593"/>
      <c r="B126" s="538" t="str">
        <f>B44</f>
        <v>状态</v>
      </c>
      <c r="C126" s="3051" t="s">
        <v>3473</v>
      </c>
      <c r="D126" s="3051" t="s">
        <v>3472</v>
      </c>
      <c r="E126" s="554"/>
      <c r="F126" s="554"/>
      <c r="G126" s="554"/>
      <c r="H126" s="555"/>
      <c r="I126" s="555"/>
      <c r="J126" s="555"/>
      <c r="K126" s="555"/>
      <c r="L126" s="556"/>
      <c r="M126" s="557"/>
      <c r="N126" s="1151"/>
      <c r="O126" s="1151"/>
      <c r="P126" s="2622"/>
      <c r="Q126" s="559"/>
    </row>
    <row r="127" spans="1:17" s="471" customFormat="1" ht="14.4" thickBot="1">
      <c r="A127" s="553"/>
      <c r="B127" s="543"/>
      <c r="C127" s="560">
        <v>100</v>
      </c>
      <c r="D127" s="536">
        <v>90</v>
      </c>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60"/>
      <c r="E129" s="560"/>
      <c r="F129" s="560"/>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6" t="s">
        <v>2621</v>
      </c>
      <c r="D138" s="146" t="s">
        <v>2622</v>
      </c>
      <c r="E138" s="2636" t="s">
        <v>2623</v>
      </c>
      <c r="F138" s="2637" t="s">
        <v>2624</v>
      </c>
      <c r="G138" s="146" t="s">
        <v>2622</v>
      </c>
      <c r="H138" s="147" t="s">
        <v>2623</v>
      </c>
      <c r="I138" s="2638"/>
      <c r="J138" s="146" t="s">
        <v>2625</v>
      </c>
      <c r="K138" s="147" t="s">
        <v>2626</v>
      </c>
    </row>
    <row r="139" spans="1:17" ht="15">
      <c r="B139" s="1081">
        <v>6</v>
      </c>
      <c r="C139" s="1082">
        <v>96</v>
      </c>
      <c r="D139" s="2639" t="s">
        <v>2627</v>
      </c>
      <c r="E139" s="1083">
        <v>100</v>
      </c>
      <c r="F139" s="1084">
        <v>102.5</v>
      </c>
      <c r="G139" s="2639" t="s">
        <v>2627</v>
      </c>
      <c r="H139" s="1085">
        <v>105</v>
      </c>
      <c r="I139" s="2640" t="s">
        <v>2628</v>
      </c>
      <c r="J139" s="1082">
        <v>20</v>
      </c>
      <c r="K139" s="1086">
        <f>C145/(J139-2)</f>
        <v>4.0555555555555553E-3</v>
      </c>
    </row>
    <row r="140" spans="1:17" ht="15">
      <c r="B140" s="1087">
        <v>5</v>
      </c>
      <c r="C140" s="1088">
        <v>100</v>
      </c>
      <c r="D140" s="1088"/>
      <c r="E140" s="1089"/>
      <c r="F140" s="1090">
        <v>102</v>
      </c>
      <c r="G140" s="1088"/>
      <c r="H140" s="1091"/>
      <c r="I140" s="2641" t="s">
        <v>2629</v>
      </c>
      <c r="J140" s="315">
        <f>ROUNDUP((J139-1)/2,0)</f>
        <v>10</v>
      </c>
      <c r="K140" s="1092">
        <v>100</v>
      </c>
    </row>
    <row r="141" spans="1:17" ht="15">
      <c r="B141" s="1087">
        <v>4</v>
      </c>
      <c r="C141" s="1088">
        <v>102</v>
      </c>
      <c r="D141" s="1088"/>
      <c r="E141" s="1089"/>
      <c r="F141" s="1090">
        <v>101.5</v>
      </c>
      <c r="G141" s="1088"/>
      <c r="H141" s="1091"/>
      <c r="I141" s="2641" t="s">
        <v>2630</v>
      </c>
      <c r="J141" s="315">
        <v>1</v>
      </c>
      <c r="K141" s="1093">
        <f>ROUND(100+(J141-J140)*K139*100,1)</f>
        <v>96.4</v>
      </c>
    </row>
    <row r="142" spans="1:17" ht="15">
      <c r="B142" s="1087">
        <v>3</v>
      </c>
      <c r="C142" s="1088">
        <v>103</v>
      </c>
      <c r="D142" s="1088"/>
      <c r="E142" s="1089"/>
      <c r="F142" s="1090">
        <v>101</v>
      </c>
      <c r="G142" s="1088"/>
      <c r="H142" s="1091"/>
      <c r="I142" s="2641" t="s">
        <v>2631</v>
      </c>
      <c r="J142" s="315">
        <f>J139</f>
        <v>20</v>
      </c>
      <c r="K142" s="1094">
        <v>95</v>
      </c>
    </row>
    <row r="143" spans="1:17" ht="15">
      <c r="B143" s="1087">
        <v>2</v>
      </c>
      <c r="C143" s="1088">
        <v>100</v>
      </c>
      <c r="D143" s="1088"/>
      <c r="E143" s="1089"/>
      <c r="F143" s="1090">
        <v>100.5</v>
      </c>
      <c r="G143" s="1088"/>
      <c r="H143" s="1091"/>
      <c r="I143" s="2641" t="s">
        <v>2632</v>
      </c>
      <c r="J143" s="1088">
        <v>15</v>
      </c>
      <c r="K143" s="1093">
        <f>ROUND(100+(J143-J140)*K139*100,1)</f>
        <v>102</v>
      </c>
    </row>
    <row r="144" spans="1:17" ht="15">
      <c r="B144" s="1087">
        <v>1</v>
      </c>
      <c r="C144" s="1088">
        <v>98</v>
      </c>
      <c r="D144" s="2642" t="s">
        <v>2633</v>
      </c>
      <c r="E144" s="1089">
        <v>102</v>
      </c>
      <c r="F144" s="1095">
        <v>100</v>
      </c>
      <c r="G144" s="2642" t="s">
        <v>2633</v>
      </c>
      <c r="H144" s="1091">
        <v>105</v>
      </c>
      <c r="I144" s="2641" t="s">
        <v>2632</v>
      </c>
      <c r="J144" s="1088">
        <v>18</v>
      </c>
      <c r="K144" s="1093">
        <f>ROUND(100+(J144-J140)*K139*100,1)</f>
        <v>103.2</v>
      </c>
    </row>
    <row r="145" spans="2:11" ht="16.2" thickBot="1">
      <c r="B145" s="2643" t="s">
        <v>2634</v>
      </c>
      <c r="C145" s="1096">
        <f>ROUND(MAX(C139:C144)/MIN(C139:C144)-1,3)</f>
        <v>7.2999999999999995E-2</v>
      </c>
      <c r="D145" s="1097"/>
      <c r="E145" s="1097"/>
      <c r="F145" s="2644" t="s">
        <v>2635</v>
      </c>
      <c r="G145" s="2645"/>
      <c r="H145" s="2646"/>
      <c r="I145" s="2647" t="s">
        <v>2632</v>
      </c>
      <c r="J145" s="1098">
        <v>8</v>
      </c>
      <c r="K145" s="1099">
        <f>ROUND(100+(J145-J140)*K139*100,1)</f>
        <v>99.2</v>
      </c>
    </row>
    <row r="147" spans="2:11" ht="14.4">
      <c r="B147" s="2628" t="s">
        <v>2636</v>
      </c>
    </row>
    <row r="148" spans="2:11" ht="14.4">
      <c r="B148" s="262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2524</v>
      </c>
      <c r="B1" s="2575" t="s">
        <v>2638</v>
      </c>
      <c r="C1" s="1630" t="s">
        <v>2526</v>
      </c>
      <c r="D1" s="1617"/>
      <c r="E1" s="2648"/>
      <c r="F1" s="2577"/>
      <c r="G1" s="1627" t="s">
        <v>2639</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8" customFormat="1" ht="28.5" customHeight="1" thickTop="1">
      <c r="A2" s="1613" t="s">
        <v>2326</v>
      </c>
      <c r="B2" s="1415" t="e">
        <f ca="1">IF(C2="——",ROUND(C49*D3/10000,0),ROUND(C49*D3/10000,0)-D2)</f>
        <v>#DIV/0!</v>
      </c>
      <c r="C2" s="2579"/>
      <c r="D2" s="1362" t="e">
        <f ca="1">SUMIF(INDIRECT("'"&amp;F2&amp;"'"&amp;"!A:A"),"承租人权益价值",INDIRECT("'"&amp;F2&amp;"'"&amp;"!c:c"))</f>
        <v>#REF!</v>
      </c>
      <c r="E2" s="2580" t="s">
        <v>2327</v>
      </c>
      <c r="F2" s="2581"/>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8" customFormat="1" ht="28.5" customHeight="1" thickBot="1">
      <c r="A3" s="247" t="s">
        <v>2328</v>
      </c>
      <c r="B3" s="609" t="e">
        <f ca="1">IF(C2="——",C49,ROUND(B2*10000/D3,0))</f>
        <v>#DIV/0!</v>
      </c>
      <c r="C3" s="400" t="s">
        <v>2640</v>
      </c>
      <c r="D3" s="399">
        <f>IF(D1="",'数据-汇总表'!E3,SUMIF('数据-汇总表'!$C19:$C33,D1,'数据-汇总表'!$E19:$E33))</f>
        <v>83517</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4.4">
      <c r="A4" s="401" t="s">
        <v>2641</v>
      </c>
      <c r="B4" s="402"/>
      <c r="C4" s="3311" t="s">
        <v>2642</v>
      </c>
      <c r="D4" s="3312"/>
      <c r="E4" s="3313" t="s">
        <v>2643</v>
      </c>
      <c r="F4" s="3314"/>
      <c r="G4" s="3311" t="s">
        <v>2644</v>
      </c>
      <c r="H4" s="3312"/>
      <c r="I4" s="3311" t="s">
        <v>2645</v>
      </c>
      <c r="J4" s="3312"/>
      <c r="K4" s="610" t="s">
        <v>2646</v>
      </c>
      <c r="L4" s="1127"/>
      <c r="M4" s="1128"/>
      <c r="N4" s="1128"/>
      <c r="O4" s="1128"/>
      <c r="P4" s="3315" t="s">
        <v>2647</v>
      </c>
      <c r="Q4" s="3316"/>
      <c r="R4" s="3298" t="s">
        <v>2643</v>
      </c>
      <c r="S4" s="3299"/>
      <c r="T4" s="3298" t="s">
        <v>2644</v>
      </c>
      <c r="U4" s="3299"/>
      <c r="V4" s="3323" t="s">
        <v>2645</v>
      </c>
      <c r="W4" s="3323"/>
      <c r="X4" s="1809"/>
      <c r="Y4" s="3298" t="s">
        <v>2647</v>
      </c>
      <c r="Z4" s="3299"/>
      <c r="AA4" s="3293" t="s">
        <v>2643</v>
      </c>
      <c r="AB4" s="3323" t="s">
        <v>2644</v>
      </c>
      <c r="AC4" s="3293" t="s">
        <v>2645</v>
      </c>
    </row>
    <row r="5" spans="1:29">
      <c r="A5" s="404"/>
      <c r="B5" s="405"/>
      <c r="C5" s="3304" t="s">
        <v>2538</v>
      </c>
      <c r="D5" s="3305"/>
      <c r="E5" s="3302" t="s">
        <v>2539</v>
      </c>
      <c r="F5" s="3303"/>
      <c r="G5" s="3304" t="s">
        <v>2540</v>
      </c>
      <c r="H5" s="3305"/>
      <c r="I5" s="3304" t="s">
        <v>2541</v>
      </c>
      <c r="J5" s="3305"/>
      <c r="K5" s="610"/>
      <c r="L5" s="1127"/>
      <c r="M5" s="1128"/>
      <c r="N5" s="1128"/>
      <c r="O5" s="1128"/>
      <c r="P5" s="3317"/>
      <c r="Q5" s="3318"/>
      <c r="R5" s="3300"/>
      <c r="S5" s="3301"/>
      <c r="T5" s="3300"/>
      <c r="U5" s="3301"/>
      <c r="V5" s="3323"/>
      <c r="W5" s="3323"/>
      <c r="X5" s="1809"/>
      <c r="Y5" s="3300"/>
      <c r="Z5" s="3301"/>
      <c r="AA5" s="3294"/>
      <c r="AB5" s="3323"/>
      <c r="AC5" s="3294"/>
    </row>
    <row r="6" spans="1:29" ht="15" thickBot="1">
      <c r="A6" s="406"/>
      <c r="B6" s="407"/>
      <c r="C6" s="3306" t="s">
        <v>2542</v>
      </c>
      <c r="D6" s="3307"/>
      <c r="E6" s="3308" t="s">
        <v>2542</v>
      </c>
      <c r="F6" s="3309"/>
      <c r="G6" s="3306" t="s">
        <v>2542</v>
      </c>
      <c r="H6" s="3307"/>
      <c r="I6" s="3306" t="s">
        <v>2542</v>
      </c>
      <c r="J6" s="3307"/>
      <c r="K6" s="610" t="s">
        <v>2543</v>
      </c>
      <c r="L6" s="1127"/>
      <c r="M6" s="1128"/>
      <c r="N6" s="1128"/>
      <c r="O6" s="1128"/>
      <c r="P6" s="3319"/>
      <c r="Q6" s="3320"/>
      <c r="R6" s="3300"/>
      <c r="S6" s="3301"/>
      <c r="T6" s="3321"/>
      <c r="U6" s="3322"/>
      <c r="V6" s="3323"/>
      <c r="W6" s="3323"/>
      <c r="X6" s="1809"/>
      <c r="Y6" s="3321"/>
      <c r="Z6" s="3322"/>
      <c r="AA6" s="3295"/>
      <c r="AB6" s="3323"/>
      <c r="AC6" s="3295"/>
    </row>
    <row r="7" spans="1:29" s="117" customFormat="1" ht="15" thickBot="1">
      <c r="A7" s="408" t="s">
        <v>2544</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96" t="s">
        <v>2545</v>
      </c>
      <c r="Q7" s="3324"/>
      <c r="R7" s="770" t="s">
        <v>17</v>
      </c>
      <c r="S7" s="771">
        <f t="shared" ref="S7:S15" si="0">F7</f>
        <v>0</v>
      </c>
      <c r="T7" s="770" t="s">
        <v>17</v>
      </c>
      <c r="U7" s="771">
        <f t="shared" ref="U7:U15" si="1">H7</f>
        <v>0</v>
      </c>
      <c r="V7" s="770" t="s">
        <v>17</v>
      </c>
      <c r="W7" s="771">
        <f t="shared" ref="W7:W15" si="2">J7</f>
        <v>0</v>
      </c>
      <c r="X7" s="772"/>
      <c r="Y7" s="3296" t="s">
        <v>2545</v>
      </c>
      <c r="Z7" s="3297"/>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96" t="s">
        <v>2548</v>
      </c>
      <c r="Q8" s="3297"/>
      <c r="R8" s="770" t="s">
        <v>17</v>
      </c>
      <c r="S8" s="771">
        <f t="shared" si="0"/>
        <v>0</v>
      </c>
      <c r="T8" s="770" t="s">
        <v>17</v>
      </c>
      <c r="U8" s="771">
        <f t="shared" si="1"/>
        <v>0</v>
      </c>
      <c r="V8" s="770" t="s">
        <v>17</v>
      </c>
      <c r="W8" s="771">
        <f t="shared" si="2"/>
        <v>0</v>
      </c>
      <c r="X8" s="772"/>
      <c r="Y8" s="3296" t="s">
        <v>2548</v>
      </c>
      <c r="Z8" s="3297"/>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34" t="s">
        <v>2551</v>
      </c>
      <c r="Q9" s="1791" t="str">
        <f t="shared" ref="Q9:Q15" si="6">B9</f>
        <v>用途</v>
      </c>
      <c r="R9" s="770" t="s">
        <v>17</v>
      </c>
      <c r="S9" s="771">
        <f t="shared" si="0"/>
        <v>100</v>
      </c>
      <c r="T9" s="770" t="s">
        <v>17</v>
      </c>
      <c r="U9" s="771">
        <f t="shared" si="1"/>
        <v>100</v>
      </c>
      <c r="V9" s="770" t="s">
        <v>17</v>
      </c>
      <c r="W9" s="771">
        <f t="shared" si="2"/>
        <v>100</v>
      </c>
      <c r="X9" s="772"/>
      <c r="Y9" s="3157"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34"/>
      <c r="Q10" s="1791" t="str">
        <f t="shared" si="6"/>
        <v>土地使用年限（年）</v>
      </c>
      <c r="R10" s="770" t="s">
        <v>17</v>
      </c>
      <c r="S10" s="771">
        <f t="shared" si="0"/>
        <v>100</v>
      </c>
      <c r="T10" s="770" t="s">
        <v>17</v>
      </c>
      <c r="U10" s="771">
        <f t="shared" si="1"/>
        <v>100</v>
      </c>
      <c r="V10" s="770" t="s">
        <v>17</v>
      </c>
      <c r="W10" s="771">
        <f t="shared" si="2"/>
        <v>100</v>
      </c>
      <c r="X10" s="772"/>
      <c r="Y10" s="315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34"/>
      <c r="Q11" s="1791" t="str">
        <f t="shared" si="6"/>
        <v>容积率</v>
      </c>
      <c r="R11" s="770" t="s">
        <v>17</v>
      </c>
      <c r="S11" s="771" t="e">
        <f t="shared" si="0"/>
        <v>#N/A</v>
      </c>
      <c r="T11" s="770" t="s">
        <v>17</v>
      </c>
      <c r="U11" s="771" t="e">
        <f t="shared" si="1"/>
        <v>#N/A</v>
      </c>
      <c r="V11" s="770" t="s">
        <v>17</v>
      </c>
      <c r="W11" s="771" t="e">
        <f t="shared" si="2"/>
        <v>#N/A</v>
      </c>
      <c r="X11" s="772"/>
      <c r="Y11" s="3157"/>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34"/>
      <c r="Q12" s="1791">
        <f t="shared" si="6"/>
        <v>111</v>
      </c>
      <c r="R12" s="770" t="s">
        <v>17</v>
      </c>
      <c r="S12" s="771">
        <f t="shared" si="0"/>
        <v>100</v>
      </c>
      <c r="T12" s="770" t="s">
        <v>17</v>
      </c>
      <c r="U12" s="771">
        <f t="shared" si="1"/>
        <v>100</v>
      </c>
      <c r="V12" s="770" t="s">
        <v>17</v>
      </c>
      <c r="W12" s="771">
        <f t="shared" si="2"/>
        <v>100</v>
      </c>
      <c r="X12" s="772"/>
      <c r="Y12" s="3157"/>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34"/>
      <c r="Q13" s="1791">
        <f t="shared" si="6"/>
        <v>111</v>
      </c>
      <c r="R13" s="770" t="s">
        <v>17</v>
      </c>
      <c r="S13" s="771">
        <f t="shared" si="0"/>
        <v>100</v>
      </c>
      <c r="T13" s="770" t="s">
        <v>17</v>
      </c>
      <c r="U13" s="771">
        <f t="shared" si="1"/>
        <v>100</v>
      </c>
      <c r="V13" s="770" t="s">
        <v>17</v>
      </c>
      <c r="W13" s="771">
        <f t="shared" si="2"/>
        <v>100</v>
      </c>
      <c r="X13" s="772"/>
      <c r="Y13" s="3157"/>
      <c r="Z13" s="55">
        <f t="shared" si="7"/>
        <v>111</v>
      </c>
      <c r="AA13" s="773">
        <f t="shared" si="3"/>
        <v>1</v>
      </c>
      <c r="AB13" s="773">
        <f t="shared" si="4"/>
        <v>1</v>
      </c>
      <c r="AC13" s="773">
        <f t="shared" si="5"/>
        <v>1</v>
      </c>
    </row>
    <row r="14" spans="1:29" ht="15.6"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34"/>
      <c r="Q14" s="1791">
        <f t="shared" si="6"/>
        <v>111</v>
      </c>
      <c r="R14" s="770" t="s">
        <v>17</v>
      </c>
      <c r="S14" s="771">
        <f t="shared" si="0"/>
        <v>100</v>
      </c>
      <c r="T14" s="770" t="s">
        <v>17</v>
      </c>
      <c r="U14" s="771">
        <f t="shared" si="1"/>
        <v>100</v>
      </c>
      <c r="V14" s="770" t="s">
        <v>17</v>
      </c>
      <c r="W14" s="771">
        <f t="shared" si="2"/>
        <v>100</v>
      </c>
      <c r="X14" s="772"/>
      <c r="Y14" s="3157"/>
      <c r="Z14" s="55">
        <f t="shared" si="7"/>
        <v>111</v>
      </c>
      <c r="AA14" s="773">
        <f t="shared" si="3"/>
        <v>1</v>
      </c>
      <c r="AB14" s="773">
        <f t="shared" si="4"/>
        <v>1</v>
      </c>
      <c r="AC14" s="773">
        <f t="shared" si="5"/>
        <v>1</v>
      </c>
    </row>
    <row r="15" spans="1:29" ht="69">
      <c r="A15" s="440" t="s">
        <v>2555</v>
      </c>
      <c r="B15" s="69" t="s">
        <v>2649</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71" t="s">
        <v>2556</v>
      </c>
      <c r="Q15" s="1806" t="str">
        <f t="shared" si="6"/>
        <v>商业繁华度</v>
      </c>
      <c r="R15" s="774" t="s">
        <v>17</v>
      </c>
      <c r="S15" s="775">
        <f t="shared" si="0"/>
        <v>100</v>
      </c>
      <c r="T15" s="774" t="s">
        <v>17</v>
      </c>
      <c r="U15" s="775">
        <f t="shared" si="1"/>
        <v>100</v>
      </c>
      <c r="V15" s="774" t="s">
        <v>17</v>
      </c>
      <c r="W15" s="775">
        <f t="shared" si="2"/>
        <v>100</v>
      </c>
      <c r="X15" s="1809"/>
      <c r="Y15" s="3325"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372"/>
      <c r="Q16" s="1806"/>
      <c r="R16" s="774"/>
      <c r="S16" s="775"/>
      <c r="T16" s="774"/>
      <c r="U16" s="775"/>
      <c r="V16" s="774"/>
      <c r="W16" s="775"/>
      <c r="X16" s="1809"/>
      <c r="Y16" s="3326"/>
      <c r="Z16" s="1810"/>
      <c r="AA16" s="1807">
        <v>1</v>
      </c>
      <c r="AB16" s="1807">
        <v>1</v>
      </c>
      <c r="AC16" s="1807">
        <v>1</v>
      </c>
    </row>
    <row r="17" spans="1:29" ht="82.8">
      <c r="A17" s="428"/>
      <c r="B17" s="451" t="s">
        <v>2095</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72"/>
      <c r="Q17" s="1806" t="str">
        <f>B17</f>
        <v>交通便捷度</v>
      </c>
      <c r="R17" s="774" t="s">
        <v>17</v>
      </c>
      <c r="S17" s="775">
        <f>F17</f>
        <v>100</v>
      </c>
      <c r="T17" s="774" t="s">
        <v>17</v>
      </c>
      <c r="U17" s="775">
        <f>H17</f>
        <v>100</v>
      </c>
      <c r="V17" s="774" t="s">
        <v>17</v>
      </c>
      <c r="W17" s="775">
        <f>J17</f>
        <v>100</v>
      </c>
      <c r="X17" s="1809"/>
      <c r="Y17" s="3326"/>
      <c r="Z17" s="1810" t="str">
        <f>Q17</f>
        <v>交通便捷度</v>
      </c>
      <c r="AA17" s="1807">
        <f t="shared" si="3"/>
        <v>1</v>
      </c>
      <c r="AB17" s="1807">
        <f t="shared" si="4"/>
        <v>1</v>
      </c>
      <c r="AC17" s="1807">
        <f t="shared" si="5"/>
        <v>1</v>
      </c>
    </row>
    <row r="18" spans="1:29" ht="15">
      <c r="A18" s="428"/>
      <c r="B18" s="456"/>
      <c r="C18" s="2600"/>
      <c r="D18" s="450"/>
      <c r="E18" s="2602"/>
      <c r="F18" s="453"/>
      <c r="G18" s="2601"/>
      <c r="H18" s="448"/>
      <c r="I18" s="2602"/>
      <c r="J18" s="448"/>
      <c r="K18" s="615"/>
      <c r="L18" s="1137"/>
      <c r="M18" s="1128"/>
      <c r="N18" s="1128"/>
      <c r="O18" s="1128"/>
      <c r="P18" s="3372"/>
      <c r="Q18" s="1806"/>
      <c r="R18" s="774"/>
      <c r="S18" s="775"/>
      <c r="T18" s="774"/>
      <c r="U18" s="775"/>
      <c r="V18" s="774"/>
      <c r="W18" s="775"/>
      <c r="X18" s="1809"/>
      <c r="Y18" s="3326"/>
      <c r="Z18" s="1810"/>
      <c r="AA18" s="1807">
        <v>1</v>
      </c>
      <c r="AB18" s="1807">
        <v>1</v>
      </c>
      <c r="AC18" s="1807">
        <v>1</v>
      </c>
    </row>
    <row r="19" spans="1:29" ht="41.4">
      <c r="A19" s="428"/>
      <c r="B19" s="451" t="s">
        <v>2650</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72"/>
      <c r="Q19" s="1806" t="str">
        <f>B19</f>
        <v>公共配套设施</v>
      </c>
      <c r="R19" s="774" t="s">
        <v>17</v>
      </c>
      <c r="S19" s="775">
        <f>F19</f>
        <v>100</v>
      </c>
      <c r="T19" s="774" t="s">
        <v>17</v>
      </c>
      <c r="U19" s="775">
        <f>H19</f>
        <v>100</v>
      </c>
      <c r="V19" s="774" t="s">
        <v>17</v>
      </c>
      <c r="W19" s="775">
        <f>J19</f>
        <v>100</v>
      </c>
      <c r="X19" s="1809"/>
      <c r="Y19" s="3326"/>
      <c r="Z19" s="1810" t="str">
        <f>Q19</f>
        <v>公共配套设施</v>
      </c>
      <c r="AA19" s="1807">
        <f t="shared" si="3"/>
        <v>1</v>
      </c>
      <c r="AB19" s="1807">
        <f t="shared" si="4"/>
        <v>1</v>
      </c>
      <c r="AC19" s="1807">
        <f t="shared" si="5"/>
        <v>1</v>
      </c>
    </row>
    <row r="20" spans="1:29" ht="15">
      <c r="A20" s="428"/>
      <c r="B20" s="456"/>
      <c r="C20" s="447"/>
      <c r="D20" s="448"/>
      <c r="E20" s="2597"/>
      <c r="F20" s="449"/>
      <c r="G20" s="2596"/>
      <c r="H20" s="448"/>
      <c r="I20" s="2597"/>
      <c r="J20" s="448"/>
      <c r="K20" s="615"/>
      <c r="L20" s="1137"/>
      <c r="M20" s="1128"/>
      <c r="N20" s="1128"/>
      <c r="O20" s="1128"/>
      <c r="P20" s="3372"/>
      <c r="Q20" s="1806"/>
      <c r="R20" s="774"/>
      <c r="S20" s="775"/>
      <c r="T20" s="774"/>
      <c r="U20" s="775"/>
      <c r="V20" s="774"/>
      <c r="W20" s="775"/>
      <c r="X20" s="1809"/>
      <c r="Y20" s="3326"/>
      <c r="Z20" s="1810"/>
      <c r="AA20" s="1807">
        <v>1</v>
      </c>
      <c r="AB20" s="1807">
        <v>1</v>
      </c>
      <c r="AC20" s="1807">
        <v>1</v>
      </c>
    </row>
    <row r="21" spans="1:29" ht="27.6">
      <c r="A21" s="428"/>
      <c r="B21" s="1381" t="s">
        <v>2651</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72"/>
      <c r="Q21" s="1806" t="str">
        <f>B21</f>
        <v>基础设施水平</v>
      </c>
      <c r="R21" s="774" t="s">
        <v>17</v>
      </c>
      <c r="S21" s="775">
        <f>F21</f>
        <v>100</v>
      </c>
      <c r="T21" s="774" t="s">
        <v>17</v>
      </c>
      <c r="U21" s="775">
        <f>H21</f>
        <v>100</v>
      </c>
      <c r="V21" s="774" t="s">
        <v>17</v>
      </c>
      <c r="W21" s="775">
        <f>J21</f>
        <v>100</v>
      </c>
      <c r="X21" s="1809"/>
      <c r="Y21" s="3326"/>
      <c r="Z21" s="1810" t="str">
        <f>Q21</f>
        <v>基础设施水平</v>
      </c>
      <c r="AA21" s="1807">
        <f t="shared" ref="AA21" si="8">D21/F21</f>
        <v>1</v>
      </c>
      <c r="AB21" s="1807">
        <f t="shared" ref="AB21" si="9">D21/H21</f>
        <v>1</v>
      </c>
      <c r="AC21" s="1807">
        <f t="shared" ref="AC21" si="10">D21/J21</f>
        <v>1</v>
      </c>
    </row>
    <row r="22" spans="1:29" ht="15">
      <c r="A22" s="428"/>
      <c r="B22" s="1381"/>
      <c r="C22" s="2600"/>
      <c r="D22" s="448"/>
      <c r="E22" s="447"/>
      <c r="F22" s="449"/>
      <c r="G22" s="447"/>
      <c r="H22" s="448"/>
      <c r="I22" s="447"/>
      <c r="J22" s="448"/>
      <c r="K22" s="1380"/>
      <c r="L22" s="1137"/>
      <c r="M22" s="1128"/>
      <c r="N22" s="1128"/>
      <c r="O22" s="1128"/>
      <c r="P22" s="3372"/>
      <c r="Q22" s="1806"/>
      <c r="R22" s="774"/>
      <c r="S22" s="775"/>
      <c r="T22" s="774"/>
      <c r="U22" s="775"/>
      <c r="V22" s="774"/>
      <c r="W22" s="775"/>
      <c r="X22" s="1809"/>
      <c r="Y22" s="3326"/>
      <c r="Z22" s="1810"/>
      <c r="AA22" s="1807">
        <v>1</v>
      </c>
      <c r="AB22" s="1807">
        <v>1</v>
      </c>
      <c r="AC22" s="1807">
        <v>1</v>
      </c>
    </row>
    <row r="23" spans="1:29" ht="55.2">
      <c r="A23" s="428"/>
      <c r="B23" s="451" t="s">
        <v>2100</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72"/>
      <c r="Q23" s="1806" t="str">
        <f>B23</f>
        <v>自然及人文环境</v>
      </c>
      <c r="R23" s="774" t="s">
        <v>17</v>
      </c>
      <c r="S23" s="775">
        <f>F23</f>
        <v>100</v>
      </c>
      <c r="T23" s="774" t="s">
        <v>17</v>
      </c>
      <c r="U23" s="775">
        <f>H23</f>
        <v>100</v>
      </c>
      <c r="V23" s="774" t="s">
        <v>17</v>
      </c>
      <c r="W23" s="775">
        <f>J23</f>
        <v>100</v>
      </c>
      <c r="X23" s="1809"/>
      <c r="Y23" s="3326"/>
      <c r="Z23" s="1810" t="str">
        <f>Q23</f>
        <v>自然及人文环境</v>
      </c>
      <c r="AA23" s="1807">
        <f t="shared" si="3"/>
        <v>1</v>
      </c>
      <c r="AB23" s="1807">
        <f t="shared" si="4"/>
        <v>1</v>
      </c>
      <c r="AC23" s="1807">
        <f t="shared" si="5"/>
        <v>1</v>
      </c>
    </row>
    <row r="24" spans="1:29" ht="15">
      <c r="A24" s="428"/>
      <c r="B24" s="456"/>
      <c r="C24" s="447"/>
      <c r="D24" s="448"/>
      <c r="E24" s="2597"/>
      <c r="F24" s="449"/>
      <c r="G24" s="2596"/>
      <c r="H24" s="448"/>
      <c r="I24" s="2597"/>
      <c r="J24" s="448"/>
      <c r="K24" s="615"/>
      <c r="L24" s="1137"/>
      <c r="M24" s="1128"/>
      <c r="N24" s="1128"/>
      <c r="O24" s="1128"/>
      <c r="P24" s="3372"/>
      <c r="Q24" s="1806"/>
      <c r="R24" s="774"/>
      <c r="S24" s="775"/>
      <c r="T24" s="774"/>
      <c r="U24" s="775"/>
      <c r="V24" s="774"/>
      <c r="W24" s="775"/>
      <c r="X24" s="1809"/>
      <c r="Y24" s="3326"/>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72"/>
      <c r="Q25" s="1806" t="str">
        <f t="shared" ref="Q25:Q46" si="11">B25</f>
        <v>临街状况</v>
      </c>
      <c r="R25" s="774" t="s">
        <v>17</v>
      </c>
      <c r="S25" s="775">
        <f>F25</f>
        <v>100</v>
      </c>
      <c r="T25" s="774" t="s">
        <v>17</v>
      </c>
      <c r="U25" s="775">
        <f>H25</f>
        <v>100</v>
      </c>
      <c r="V25" s="774" t="s">
        <v>17</v>
      </c>
      <c r="W25" s="775">
        <f>J25</f>
        <v>100</v>
      </c>
      <c r="X25" s="1809"/>
      <c r="Y25" s="3326"/>
      <c r="Z25" s="1810" t="str">
        <f>Q25</f>
        <v>临街状况</v>
      </c>
      <c r="AA25" s="1807">
        <f t="shared" si="3"/>
        <v>1</v>
      </c>
      <c r="AB25" s="1807">
        <f t="shared" si="4"/>
        <v>1</v>
      </c>
      <c r="AC25" s="1807">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72"/>
      <c r="Q26" s="1806" t="str">
        <f t="shared" si="11"/>
        <v>平面位置/可视性</v>
      </c>
      <c r="R26" s="774" t="s">
        <v>17</v>
      </c>
      <c r="S26" s="775">
        <f>F26</f>
        <v>100</v>
      </c>
      <c r="T26" s="774" t="s">
        <v>17</v>
      </c>
      <c r="U26" s="775">
        <f>H26</f>
        <v>100</v>
      </c>
      <c r="V26" s="774" t="s">
        <v>17</v>
      </c>
      <c r="W26" s="775">
        <f>J26</f>
        <v>100</v>
      </c>
      <c r="X26" s="1809"/>
      <c r="Y26" s="3326"/>
      <c r="Z26" s="1810" t="str">
        <f>Q26</f>
        <v>平面位置/可视性</v>
      </c>
      <c r="AA26" s="1807">
        <f t="shared" si="3"/>
        <v>1</v>
      </c>
      <c r="AB26" s="1807">
        <f t="shared" si="4"/>
        <v>1</v>
      </c>
      <c r="AC26" s="1807">
        <f t="shared" si="5"/>
        <v>1</v>
      </c>
    </row>
    <row r="27" spans="1:29" s="117" customFormat="1" ht="15">
      <c r="A27" s="431"/>
      <c r="B27" s="451" t="s">
        <v>2654</v>
      </c>
      <c r="C27" s="2656"/>
      <c r="D27" s="462">
        <v>100</v>
      </c>
      <c r="E27" s="2656"/>
      <c r="F27" s="464">
        <f>SUMIF(90:90,E27,91:91)-SUMIF(90:90,C27,91:91)+100</f>
        <v>100</v>
      </c>
      <c r="G27" s="2656"/>
      <c r="H27" s="462">
        <f>SUMIF(90:90,G27,91:91)-SUMIF(90:90,C27,91:91)+100</f>
        <v>100</v>
      </c>
      <c r="I27" s="2656"/>
      <c r="J27" s="462">
        <f>SUMIF(90:90,I27,91:91)-SUMIF(90:90,C27,91:91)+100</f>
        <v>100</v>
      </c>
      <c r="K27" s="612"/>
      <c r="L27" s="1129"/>
      <c r="M27" s="1130"/>
      <c r="N27" s="1130"/>
      <c r="O27" s="1130"/>
      <c r="P27" s="3372"/>
      <c r="Q27" s="1791" t="str">
        <f t="shared" si="11"/>
        <v>人流量</v>
      </c>
      <c r="R27" s="770" t="s">
        <v>17</v>
      </c>
      <c r="S27" s="771">
        <f>F27</f>
        <v>100</v>
      </c>
      <c r="T27" s="770" t="s">
        <v>17</v>
      </c>
      <c r="U27" s="771">
        <f>H27</f>
        <v>100</v>
      </c>
      <c r="V27" s="770" t="s">
        <v>17</v>
      </c>
      <c r="W27" s="771">
        <f>J27</f>
        <v>100</v>
      </c>
      <c r="X27" s="772"/>
      <c r="Y27" s="3326"/>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72"/>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326"/>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72"/>
      <c r="Q29" s="1806">
        <f t="shared" si="11"/>
        <v>111</v>
      </c>
      <c r="R29" s="774" t="s">
        <v>17</v>
      </c>
      <c r="S29" s="775">
        <f t="shared" si="12"/>
        <v>100</v>
      </c>
      <c r="T29" s="774" t="s">
        <v>17</v>
      </c>
      <c r="U29" s="775">
        <f t="shared" si="13"/>
        <v>100</v>
      </c>
      <c r="V29" s="774" t="s">
        <v>17</v>
      </c>
      <c r="W29" s="775">
        <f t="shared" si="14"/>
        <v>100</v>
      </c>
      <c r="X29" s="1809"/>
      <c r="Y29" s="3326"/>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72"/>
      <c r="Q30" s="1806">
        <f t="shared" si="11"/>
        <v>111</v>
      </c>
      <c r="R30" s="774" t="s">
        <v>17</v>
      </c>
      <c r="S30" s="775">
        <f t="shared" si="12"/>
        <v>100</v>
      </c>
      <c r="T30" s="774" t="s">
        <v>17</v>
      </c>
      <c r="U30" s="775">
        <f t="shared" si="13"/>
        <v>100</v>
      </c>
      <c r="V30" s="774" t="s">
        <v>17</v>
      </c>
      <c r="W30" s="775">
        <f t="shared" si="14"/>
        <v>100</v>
      </c>
      <c r="X30" s="1809"/>
      <c r="Y30" s="3326"/>
      <c r="Z30" s="1810">
        <f t="shared" si="15"/>
        <v>111</v>
      </c>
      <c r="AA30" s="1807">
        <f t="shared" si="3"/>
        <v>1</v>
      </c>
      <c r="AB30" s="1807">
        <f t="shared" si="4"/>
        <v>1</v>
      </c>
      <c r="AC30" s="1807">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72"/>
      <c r="Q31" s="1806">
        <f t="shared" si="11"/>
        <v>111</v>
      </c>
      <c r="R31" s="774" t="s">
        <v>17</v>
      </c>
      <c r="S31" s="775">
        <f t="shared" si="12"/>
        <v>100</v>
      </c>
      <c r="T31" s="774" t="s">
        <v>17</v>
      </c>
      <c r="U31" s="775">
        <f t="shared" si="13"/>
        <v>100</v>
      </c>
      <c r="V31" s="774" t="s">
        <v>17</v>
      </c>
      <c r="W31" s="775">
        <f t="shared" si="14"/>
        <v>100</v>
      </c>
      <c r="X31" s="1809"/>
      <c r="Y31" s="3326"/>
      <c r="Z31" s="1810">
        <f t="shared" si="15"/>
        <v>111</v>
      </c>
      <c r="AA31" s="1807">
        <f t="shared" si="3"/>
        <v>1</v>
      </c>
      <c r="AB31" s="1807">
        <f t="shared" si="4"/>
        <v>1</v>
      </c>
      <c r="AC31" s="1807">
        <f t="shared" si="5"/>
        <v>1</v>
      </c>
    </row>
    <row r="32" spans="1:29" ht="15">
      <c r="A32" s="440" t="s">
        <v>2559</v>
      </c>
      <c r="B32" s="71" t="s">
        <v>2656</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7"/>
      <c r="M32" s="1128"/>
      <c r="N32" s="1128"/>
      <c r="O32" s="1128"/>
      <c r="P32" s="3367" t="s">
        <v>2561</v>
      </c>
      <c r="Q32" s="1806" t="str">
        <f t="shared" si="11"/>
        <v>商业类型</v>
      </c>
      <c r="R32" s="774" t="s">
        <v>17</v>
      </c>
      <c r="S32" s="775">
        <f t="shared" si="12"/>
        <v>100</v>
      </c>
      <c r="T32" s="774" t="s">
        <v>17</v>
      </c>
      <c r="U32" s="775">
        <f t="shared" si="13"/>
        <v>100</v>
      </c>
      <c r="V32" s="774" t="s">
        <v>17</v>
      </c>
      <c r="W32" s="775">
        <f t="shared" si="14"/>
        <v>100</v>
      </c>
      <c r="X32" s="1809"/>
      <c r="Y32" s="3328"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68"/>
      <c r="Q33" s="776" t="str">
        <f t="shared" si="11"/>
        <v>项目建筑规模</v>
      </c>
      <c r="R33" s="777" t="s">
        <v>17</v>
      </c>
      <c r="S33" s="778" t="e">
        <f t="shared" si="12"/>
        <v>#N/A</v>
      </c>
      <c r="T33" s="777" t="s">
        <v>17</v>
      </c>
      <c r="U33" s="778" t="e">
        <f t="shared" si="13"/>
        <v>#N/A</v>
      </c>
      <c r="V33" s="777" t="s">
        <v>17</v>
      </c>
      <c r="W33" s="778" t="e">
        <f t="shared" si="14"/>
        <v>#N/A</v>
      </c>
      <c r="X33" s="779"/>
      <c r="Y33" s="3328"/>
      <c r="Z33" s="780" t="str">
        <f t="shared" si="15"/>
        <v>项目建筑规模</v>
      </c>
      <c r="AA33" s="1807" t="e">
        <f t="shared" si="3"/>
        <v>#N/A</v>
      </c>
      <c r="AB33" s="1807" t="e">
        <f t="shared" si="4"/>
        <v>#N/A</v>
      </c>
      <c r="AC33" s="1807" t="e">
        <f t="shared" si="5"/>
        <v>#N/A</v>
      </c>
    </row>
    <row r="34" spans="1:29" ht="15">
      <c r="A34" s="472"/>
      <c r="B34" s="422" t="s">
        <v>2563</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368"/>
      <c r="Q34" s="1806" t="str">
        <f t="shared" si="11"/>
        <v>建筑结构</v>
      </c>
      <c r="R34" s="774" t="s">
        <v>17</v>
      </c>
      <c r="S34" s="775">
        <f t="shared" si="12"/>
        <v>100</v>
      </c>
      <c r="T34" s="774" t="s">
        <v>17</v>
      </c>
      <c r="U34" s="775">
        <f t="shared" si="13"/>
        <v>100</v>
      </c>
      <c r="V34" s="774" t="s">
        <v>17</v>
      </c>
      <c r="W34" s="775">
        <f t="shared" si="14"/>
        <v>100</v>
      </c>
      <c r="X34" s="1809"/>
      <c r="Y34" s="3328"/>
      <c r="Z34" s="1810" t="str">
        <f t="shared" si="15"/>
        <v>建筑结构</v>
      </c>
      <c r="AA34" s="1807">
        <f t="shared" si="3"/>
        <v>1</v>
      </c>
      <c r="AB34" s="1807">
        <f t="shared" si="4"/>
        <v>1</v>
      </c>
      <c r="AC34" s="1807">
        <f t="shared" si="5"/>
        <v>1</v>
      </c>
    </row>
    <row r="35" spans="1:29" ht="15">
      <c r="A35" s="472"/>
      <c r="B35" s="422" t="s">
        <v>2657</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7"/>
      <c r="M35" s="1128"/>
      <c r="N35" s="1128"/>
      <c r="O35" s="1128"/>
      <c r="P35" s="3368"/>
      <c r="Q35" s="1806" t="str">
        <f t="shared" si="11"/>
        <v>公共部分装修</v>
      </c>
      <c r="R35" s="774" t="s">
        <v>17</v>
      </c>
      <c r="S35" s="775">
        <f t="shared" si="12"/>
        <v>100</v>
      </c>
      <c r="T35" s="774" t="s">
        <v>17</v>
      </c>
      <c r="U35" s="775">
        <f t="shared" si="13"/>
        <v>100</v>
      </c>
      <c r="V35" s="774" t="s">
        <v>17</v>
      </c>
      <c r="W35" s="775">
        <f t="shared" si="14"/>
        <v>100</v>
      </c>
      <c r="X35" s="1809"/>
      <c r="Y35" s="3328"/>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68"/>
      <c r="Q36" s="1806" t="str">
        <f t="shared" si="11"/>
        <v>成新度</v>
      </c>
      <c r="R36" s="774" t="s">
        <v>17</v>
      </c>
      <c r="S36" s="775" t="e">
        <f t="shared" si="12"/>
        <v>#N/A</v>
      </c>
      <c r="T36" s="774" t="s">
        <v>17</v>
      </c>
      <c r="U36" s="775" t="e">
        <f t="shared" si="13"/>
        <v>#N/A</v>
      </c>
      <c r="V36" s="774" t="s">
        <v>17</v>
      </c>
      <c r="W36" s="775" t="e">
        <f t="shared" si="14"/>
        <v>#N/A</v>
      </c>
      <c r="X36" s="1809"/>
      <c r="Y36" s="3328"/>
      <c r="Z36" s="1810" t="str">
        <f t="shared" si="15"/>
        <v>成新度</v>
      </c>
      <c r="AA36" s="1807" t="e">
        <f t="shared" si="3"/>
        <v>#N/A</v>
      </c>
      <c r="AB36" s="1807" t="e">
        <f t="shared" si="4"/>
        <v>#N/A</v>
      </c>
      <c r="AC36" s="1807" t="e">
        <f t="shared" si="5"/>
        <v>#N/A</v>
      </c>
    </row>
    <row r="37" spans="1:29" s="117" customFormat="1" ht="15">
      <c r="A37" s="473"/>
      <c r="B37" s="422" t="s">
        <v>2659</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9"/>
      <c r="M37" s="1130"/>
      <c r="N37" s="1130"/>
      <c r="O37" s="1130"/>
      <c r="P37" s="3368"/>
      <c r="Q37" s="1791" t="str">
        <f t="shared" si="11"/>
        <v>市政基础设施</v>
      </c>
      <c r="R37" s="770" t="s">
        <v>17</v>
      </c>
      <c r="S37" s="771">
        <f t="shared" si="12"/>
        <v>100</v>
      </c>
      <c r="T37" s="770" t="s">
        <v>17</v>
      </c>
      <c r="U37" s="771">
        <f t="shared" si="13"/>
        <v>100</v>
      </c>
      <c r="V37" s="770" t="s">
        <v>17</v>
      </c>
      <c r="W37" s="771">
        <f t="shared" si="14"/>
        <v>100</v>
      </c>
      <c r="X37" s="772"/>
      <c r="Y37" s="3328"/>
      <c r="Z37" s="55" t="str">
        <f t="shared" si="15"/>
        <v>市政基础设施</v>
      </c>
      <c r="AA37" s="773">
        <f t="shared" si="3"/>
        <v>1</v>
      </c>
      <c r="AB37" s="773">
        <f t="shared" si="4"/>
        <v>1</v>
      </c>
      <c r="AC37" s="773">
        <f t="shared" si="5"/>
        <v>1</v>
      </c>
    </row>
    <row r="38" spans="1:29" ht="15">
      <c r="A38" s="472"/>
      <c r="B38" s="422" t="s">
        <v>2660</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7"/>
      <c r="M38" s="1128"/>
      <c r="N38" s="1128"/>
      <c r="O38" s="1128"/>
      <c r="P38" s="3368" t="s">
        <v>2561</v>
      </c>
      <c r="Q38" s="1806" t="str">
        <f t="shared" si="11"/>
        <v>业态</v>
      </c>
      <c r="R38" s="774" t="s">
        <v>17</v>
      </c>
      <c r="S38" s="775">
        <f t="shared" si="12"/>
        <v>100</v>
      </c>
      <c r="T38" s="774" t="s">
        <v>17</v>
      </c>
      <c r="U38" s="775">
        <f t="shared" si="13"/>
        <v>100</v>
      </c>
      <c r="V38" s="774" t="s">
        <v>17</v>
      </c>
      <c r="W38" s="775">
        <f t="shared" si="14"/>
        <v>100</v>
      </c>
      <c r="X38" s="1809"/>
      <c r="Y38" s="3328" t="s">
        <v>2561</v>
      </c>
      <c r="Z38" s="1810" t="str">
        <f t="shared" si="15"/>
        <v>业态</v>
      </c>
      <c r="AA38" s="1807">
        <f t="shared" si="3"/>
        <v>1</v>
      </c>
      <c r="AB38" s="1807">
        <f t="shared" si="4"/>
        <v>1</v>
      </c>
      <c r="AC38" s="1807">
        <f t="shared" si="5"/>
        <v>1</v>
      </c>
    </row>
    <row r="39" spans="1:29" ht="15">
      <c r="A39" s="472"/>
      <c r="B39" s="422" t="s">
        <v>2661</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7"/>
      <c r="M39" s="1128"/>
      <c r="N39" s="1128"/>
      <c r="O39" s="1128"/>
      <c r="P39" s="3368"/>
      <c r="Q39" s="1806" t="str">
        <f t="shared" si="11"/>
        <v>层高</v>
      </c>
      <c r="R39" s="774" t="s">
        <v>17</v>
      </c>
      <c r="S39" s="775">
        <f t="shared" si="12"/>
        <v>100</v>
      </c>
      <c r="T39" s="774" t="s">
        <v>17</v>
      </c>
      <c r="U39" s="775">
        <f t="shared" si="13"/>
        <v>100</v>
      </c>
      <c r="V39" s="774" t="s">
        <v>17</v>
      </c>
      <c r="W39" s="775">
        <f t="shared" si="14"/>
        <v>100</v>
      </c>
      <c r="X39" s="1809"/>
      <c r="Y39" s="3328"/>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68"/>
      <c r="Q40" s="1806" t="str">
        <f t="shared" si="11"/>
        <v>单套建筑面积</v>
      </c>
      <c r="R40" s="774" t="s">
        <v>17</v>
      </c>
      <c r="S40" s="775">
        <f t="shared" si="12"/>
        <v>100</v>
      </c>
      <c r="T40" s="774" t="s">
        <v>17</v>
      </c>
      <c r="U40" s="775">
        <f t="shared" si="13"/>
        <v>100</v>
      </c>
      <c r="V40" s="774" t="s">
        <v>17</v>
      </c>
      <c r="W40" s="775">
        <f t="shared" si="14"/>
        <v>100</v>
      </c>
      <c r="X40" s="1809"/>
      <c r="Y40" s="3328"/>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68"/>
      <c r="Q41" s="776" t="str">
        <f t="shared" si="11"/>
        <v>进深比</v>
      </c>
      <c r="R41" s="777" t="s">
        <v>17</v>
      </c>
      <c r="S41" s="778">
        <f t="shared" si="12"/>
        <v>100</v>
      </c>
      <c r="T41" s="777" t="s">
        <v>17</v>
      </c>
      <c r="U41" s="778">
        <f t="shared" si="13"/>
        <v>100</v>
      </c>
      <c r="V41" s="777" t="s">
        <v>17</v>
      </c>
      <c r="W41" s="778">
        <f t="shared" si="14"/>
        <v>100</v>
      </c>
      <c r="X41" s="779"/>
      <c r="Y41" s="3328"/>
      <c r="Z41" s="780" t="str">
        <f t="shared" si="15"/>
        <v>进深比</v>
      </c>
      <c r="AA41" s="1807">
        <f t="shared" si="3"/>
        <v>1</v>
      </c>
      <c r="AB41" s="1807">
        <f t="shared" si="4"/>
        <v>1</v>
      </c>
      <c r="AC41" s="1807">
        <f t="shared" si="5"/>
        <v>1</v>
      </c>
    </row>
    <row r="42" spans="1:29" ht="15">
      <c r="A42" s="472"/>
      <c r="B42" s="422" t="s">
        <v>2664</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7"/>
      <c r="M42" s="1128"/>
      <c r="N42" s="1128"/>
      <c r="O42" s="1128"/>
      <c r="P42" s="3368"/>
      <c r="Q42" s="1806" t="str">
        <f t="shared" si="11"/>
        <v>内部装修</v>
      </c>
      <c r="R42" s="774" t="s">
        <v>17</v>
      </c>
      <c r="S42" s="775">
        <f t="shared" si="12"/>
        <v>100</v>
      </c>
      <c r="T42" s="774" t="s">
        <v>17</v>
      </c>
      <c r="U42" s="775">
        <f t="shared" si="13"/>
        <v>100</v>
      </c>
      <c r="V42" s="774" t="s">
        <v>17</v>
      </c>
      <c r="W42" s="775">
        <f t="shared" si="14"/>
        <v>100</v>
      </c>
      <c r="X42" s="1809"/>
      <c r="Y42" s="3328"/>
      <c r="Z42" s="1810" t="str">
        <f t="shared" si="15"/>
        <v>内部装修</v>
      </c>
      <c r="AA42" s="1807">
        <f t="shared" si="3"/>
        <v>1</v>
      </c>
      <c r="AB42" s="1807">
        <f t="shared" si="4"/>
        <v>1</v>
      </c>
      <c r="AC42" s="1807">
        <f t="shared" si="5"/>
        <v>1</v>
      </c>
    </row>
    <row r="43" spans="1:29" ht="28.8">
      <c r="A43" s="472"/>
      <c r="B43" s="422" t="s">
        <v>2572</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7"/>
      <c r="M43" s="1128"/>
      <c r="N43" s="1128"/>
      <c r="O43" s="1128"/>
      <c r="P43" s="3368"/>
      <c r="Q43" s="1806" t="str">
        <f t="shared" si="11"/>
        <v>内部装修维护情况</v>
      </c>
      <c r="R43" s="774" t="s">
        <v>17</v>
      </c>
      <c r="S43" s="775">
        <f t="shared" si="12"/>
        <v>100</v>
      </c>
      <c r="T43" s="774" t="s">
        <v>17</v>
      </c>
      <c r="U43" s="775">
        <f t="shared" si="13"/>
        <v>100</v>
      </c>
      <c r="V43" s="774" t="s">
        <v>17</v>
      </c>
      <c r="W43" s="775">
        <f t="shared" si="14"/>
        <v>100</v>
      </c>
      <c r="X43" s="1809"/>
      <c r="Y43" s="3328"/>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68"/>
      <c r="Q44" s="1791">
        <f t="shared" si="11"/>
        <v>111</v>
      </c>
      <c r="R44" s="770" t="s">
        <v>17</v>
      </c>
      <c r="S44" s="771">
        <f t="shared" si="12"/>
        <v>100</v>
      </c>
      <c r="T44" s="770" t="s">
        <v>17</v>
      </c>
      <c r="U44" s="771">
        <f t="shared" si="13"/>
        <v>100</v>
      </c>
      <c r="V44" s="770" t="s">
        <v>17</v>
      </c>
      <c r="W44" s="771">
        <f t="shared" si="14"/>
        <v>100</v>
      </c>
      <c r="X44" s="772"/>
      <c r="Y44" s="3328"/>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68"/>
      <c r="Q45" s="1806">
        <f t="shared" si="11"/>
        <v>111</v>
      </c>
      <c r="R45" s="774" t="s">
        <v>17</v>
      </c>
      <c r="S45" s="775">
        <f t="shared" si="12"/>
        <v>100</v>
      </c>
      <c r="T45" s="774" t="s">
        <v>17</v>
      </c>
      <c r="U45" s="775">
        <f t="shared" si="13"/>
        <v>100</v>
      </c>
      <c r="V45" s="774" t="s">
        <v>17</v>
      </c>
      <c r="W45" s="775">
        <f t="shared" si="14"/>
        <v>100</v>
      </c>
      <c r="X45" s="1809"/>
      <c r="Y45" s="3328"/>
      <c r="Z45" s="1810">
        <f t="shared" si="15"/>
        <v>111</v>
      </c>
      <c r="AA45" s="1807">
        <f t="shared" si="3"/>
        <v>1</v>
      </c>
      <c r="AB45" s="1807">
        <f t="shared" si="4"/>
        <v>1</v>
      </c>
      <c r="AC45" s="1807">
        <f t="shared" si="5"/>
        <v>1</v>
      </c>
    </row>
    <row r="46" spans="1:29" ht="15.6"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69"/>
      <c r="Q46" s="1806">
        <f t="shared" si="11"/>
        <v>111</v>
      </c>
      <c r="R46" s="774" t="s">
        <v>17</v>
      </c>
      <c r="S46" s="775">
        <f t="shared" si="12"/>
        <v>100</v>
      </c>
      <c r="T46" s="774" t="s">
        <v>17</v>
      </c>
      <c r="U46" s="775">
        <f t="shared" si="13"/>
        <v>100</v>
      </c>
      <c r="V46" s="774" t="s">
        <v>17</v>
      </c>
      <c r="W46" s="775">
        <f t="shared" si="14"/>
        <v>100</v>
      </c>
      <c r="X46" s="1809"/>
      <c r="Y46" s="3370"/>
      <c r="Z46" s="1810">
        <f t="shared" si="15"/>
        <v>111</v>
      </c>
      <c r="AA46" s="1807">
        <f t="shared" si="3"/>
        <v>1</v>
      </c>
      <c r="AB46" s="1807">
        <f t="shared" si="4"/>
        <v>1</v>
      </c>
      <c r="AC46" s="1807">
        <f t="shared" si="5"/>
        <v>1</v>
      </c>
    </row>
    <row r="47" spans="1:29" ht="14.4">
      <c r="A47" s="479" t="s">
        <v>2573</v>
      </c>
      <c r="B47" s="480"/>
      <c r="C47" s="1404" t="s">
        <v>1</v>
      </c>
      <c r="D47" s="1405"/>
      <c r="E47" s="1406"/>
      <c r="F47" s="1407"/>
      <c r="G47" s="1408"/>
      <c r="H47" s="1409"/>
      <c r="I47" s="1406"/>
      <c r="J47" s="1409"/>
      <c r="K47" s="783"/>
      <c r="L47" s="1140"/>
      <c r="M47" s="1141"/>
      <c r="N47" s="1128"/>
      <c r="O47" s="1141"/>
      <c r="P47" s="3310" t="str">
        <f>A47</f>
        <v>成交单价（元/平方米）</v>
      </c>
      <c r="Q47" s="3310"/>
      <c r="R47" s="3323">
        <f>E47</f>
        <v>0</v>
      </c>
      <c r="S47" s="3323"/>
      <c r="T47" s="3323">
        <f>G47</f>
        <v>0</v>
      </c>
      <c r="U47" s="3323"/>
      <c r="V47" s="3323">
        <f>I47</f>
        <v>0</v>
      </c>
      <c r="W47" s="3323"/>
      <c r="X47" s="759"/>
      <c r="Y47" s="781"/>
      <c r="Z47" s="759"/>
      <c r="AA47" s="759"/>
      <c r="AB47" s="759"/>
      <c r="AC47" s="759"/>
    </row>
    <row r="48" spans="1:29" ht="1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310" t="str">
        <f>A48</f>
        <v>比较价值（元/平方米）</v>
      </c>
      <c r="Q48" s="3310"/>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759"/>
      <c r="Y48" s="759"/>
      <c r="Z48" s="759"/>
      <c r="AA48" s="759"/>
      <c r="AB48" s="759"/>
      <c r="AC48" s="759"/>
    </row>
    <row r="49" spans="1:29" ht="15" thickBot="1">
      <c r="A49" s="492" t="s">
        <v>2666</v>
      </c>
      <c r="B49" s="493"/>
      <c r="C49" s="1414" t="e">
        <f>R49</f>
        <v>#DIV/0!</v>
      </c>
      <c r="D49" s="1414"/>
      <c r="E49" s="1414"/>
      <c r="F49" s="1414"/>
      <c r="G49" s="1414"/>
      <c r="H49" s="1414"/>
      <c r="I49" s="1414"/>
      <c r="J49" s="1414"/>
      <c r="K49" s="785"/>
      <c r="L49" s="1140"/>
      <c r="M49" s="1141"/>
      <c r="N49" s="1128"/>
      <c r="O49" s="1141"/>
      <c r="P49" s="3330" t="str">
        <f>A49</f>
        <v>估价对象XX用房的比较价值（楼面单价，元/平方米）</v>
      </c>
      <c r="Q49" s="3331"/>
      <c r="R49" s="3365" t="e">
        <f>IF(F1="售价",ROUND(AVERAGE(R48:V48),0),ROUND(AVERAGE(R48:V48),1))</f>
        <v>#DIV/0!</v>
      </c>
      <c r="S49" s="3365"/>
      <c r="T49" s="3365"/>
      <c r="U49" s="3365"/>
      <c r="V49" s="3365"/>
      <c r="W49" s="336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7"/>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7"/>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58"/>
      <c r="M57" s="1156"/>
      <c r="N57" s="1156"/>
      <c r="O57" s="1156"/>
      <c r="P57" s="2658"/>
      <c r="Q57" s="2659"/>
      <c r="R57" s="759"/>
      <c r="S57" s="759"/>
      <c r="T57" s="759"/>
      <c r="U57" s="759"/>
      <c r="V57" s="759"/>
      <c r="W57" s="759"/>
      <c r="X57" s="759"/>
      <c r="Y57" s="759"/>
      <c r="Z57" s="759"/>
      <c r="AA57" s="759"/>
      <c r="AB57" s="759"/>
      <c r="AC57" s="759"/>
    </row>
    <row r="58" spans="1:29" s="508" customFormat="1" ht="14.4">
      <c r="A58" s="505" t="s">
        <v>2544</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c r="A59" s="509"/>
      <c r="B59" s="510"/>
      <c r="C59" s="1569">
        <v>100</v>
      </c>
      <c r="D59" s="512"/>
      <c r="E59" s="512"/>
      <c r="F59" s="512"/>
      <c r="G59" s="512"/>
      <c r="H59" s="512"/>
      <c r="I59" s="512"/>
      <c r="J59" s="512"/>
      <c r="K59" s="512"/>
      <c r="L59" s="512"/>
      <c r="M59" s="513"/>
      <c r="N59" s="512"/>
      <c r="O59" s="513"/>
      <c r="P59" s="2619"/>
    </row>
    <row r="60" spans="1:29" s="117" customFormat="1" ht="15" thickBot="1">
      <c r="A60" s="515" t="s">
        <v>2581</v>
      </c>
      <c r="B60" s="516"/>
      <c r="C60" s="517"/>
      <c r="D60" s="518"/>
      <c r="E60" s="518"/>
      <c r="F60" s="518"/>
      <c r="G60" s="518"/>
      <c r="H60" s="518"/>
      <c r="I60" s="518"/>
      <c r="J60" s="518"/>
      <c r="K60" s="518"/>
      <c r="L60" s="518"/>
      <c r="M60" s="519"/>
      <c r="N60" s="518"/>
      <c r="O60" s="519"/>
      <c r="P60" s="2619"/>
      <c r="Q60" s="504"/>
    </row>
    <row r="61" spans="1:29" s="117" customFormat="1" ht="14.4">
      <c r="A61" s="521" t="s">
        <v>2546</v>
      </c>
      <c r="B61" s="510"/>
      <c r="C61" s="522" t="s">
        <v>2648</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2584</v>
      </c>
      <c r="B63" s="528" t="s">
        <v>2550</v>
      </c>
      <c r="C63" s="529">
        <f>C9</f>
        <v>0</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1"/>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1"/>
      <c r="Q67" s="504"/>
    </row>
    <row r="68" spans="1:17">
      <c r="A68" s="534"/>
      <c r="B68" s="548"/>
      <c r="C68" s="549"/>
      <c r="D68" s="549"/>
      <c r="E68" s="549"/>
      <c r="F68" s="549"/>
      <c r="G68" s="549"/>
      <c r="H68" s="549"/>
      <c r="I68" s="549"/>
      <c r="J68" s="549"/>
      <c r="K68" s="550"/>
      <c r="L68" s="551"/>
      <c r="M68" s="552"/>
      <c r="N68" s="1149"/>
      <c r="O68" s="1149"/>
      <c r="P68" s="262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36"/>
      <c r="E73" s="536"/>
      <c r="F73" s="536"/>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1"/>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1"/>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1"/>
      <c r="Q81" s="504"/>
    </row>
    <row r="82" spans="1:17" ht="15" thickTop="1">
      <c r="A82" s="534"/>
      <c r="B82" s="546" t="s">
        <v>2651</v>
      </c>
      <c r="C82" s="660" t="s">
        <v>2671</v>
      </c>
      <c r="D82" s="660" t="s">
        <v>2672</v>
      </c>
      <c r="E82" s="660" t="s">
        <v>2673</v>
      </c>
      <c r="F82" s="660" t="s">
        <v>2674</v>
      </c>
      <c r="G82" s="660" t="s">
        <v>2675</v>
      </c>
      <c r="H82" s="539"/>
      <c r="I82" s="539"/>
      <c r="J82" s="539"/>
      <c r="K82" s="539"/>
      <c r="L82" s="539"/>
      <c r="M82" s="1379"/>
      <c r="N82" s="1150"/>
      <c r="O82" s="1150"/>
      <c r="P82" s="262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1"/>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1"/>
      <c r="Q85" s="504"/>
    </row>
    <row r="86" spans="1:17" s="117" customFormat="1" ht="15" thickTop="1">
      <c r="A86" s="579"/>
      <c r="B86" s="538" t="s">
        <v>2676</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1"/>
      <c r="Q87" s="504"/>
    </row>
    <row r="88" spans="1:17" s="117" customFormat="1" ht="14.4" thickTop="1">
      <c r="A88" s="579"/>
      <c r="B88" s="538" t="str">
        <f>B26</f>
        <v>平面位置/可视性</v>
      </c>
      <c r="C88" s="554"/>
      <c r="D88" s="554"/>
      <c r="E88" s="554"/>
      <c r="F88" s="2626"/>
      <c r="G88" s="554"/>
      <c r="H88" s="554"/>
      <c r="I88" s="554"/>
      <c r="J88" s="554"/>
      <c r="K88" s="554"/>
      <c r="L88" s="554"/>
      <c r="M88" s="581"/>
      <c r="N88" s="1148"/>
      <c r="O88" s="1148"/>
      <c r="P88" s="2621"/>
      <c r="Q88" s="504"/>
    </row>
    <row r="89" spans="1:17" s="117" customFormat="1" ht="14.4" thickBot="1">
      <c r="A89" s="579"/>
      <c r="B89" s="543"/>
      <c r="C89" s="560"/>
      <c r="D89" s="536"/>
      <c r="E89" s="536"/>
      <c r="F89" s="536"/>
      <c r="G89" s="536"/>
      <c r="H89" s="536"/>
      <c r="I89" s="536"/>
      <c r="J89" s="536"/>
      <c r="K89" s="536"/>
      <c r="L89" s="536"/>
      <c r="M89" s="536"/>
      <c r="N89" s="1150"/>
      <c r="O89" s="1150"/>
      <c r="P89" s="2621"/>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2"/>
      <c r="Q91" s="559"/>
    </row>
    <row r="92" spans="1:17" ht="14.4" thickTop="1">
      <c r="A92" s="534"/>
      <c r="B92" s="538" t="str">
        <f>B28</f>
        <v>楼层</v>
      </c>
      <c r="C92" s="554"/>
      <c r="D92" s="554"/>
      <c r="E92" s="554"/>
      <c r="F92" s="554"/>
      <c r="G92" s="554"/>
      <c r="H92" s="554"/>
      <c r="I92" s="554"/>
      <c r="J92" s="554"/>
      <c r="K92" s="554"/>
      <c r="L92" s="580"/>
      <c r="M92" s="581"/>
      <c r="N92" s="1149"/>
      <c r="O92" s="1149"/>
      <c r="P92" s="2621"/>
      <c r="Q92" s="504"/>
    </row>
    <row r="93" spans="1:17" ht="14.4" thickBot="1">
      <c r="A93" s="534"/>
      <c r="B93" s="543"/>
      <c r="C93" s="536"/>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36"/>
      <c r="E95" s="536"/>
      <c r="F95" s="536"/>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60"/>
      <c r="D97" s="536"/>
      <c r="E97" s="536"/>
      <c r="F97" s="536"/>
      <c r="G97" s="536"/>
      <c r="H97" s="536"/>
      <c r="I97" s="536"/>
      <c r="J97" s="536"/>
      <c r="K97" s="536"/>
      <c r="L97" s="536"/>
      <c r="M97" s="537"/>
      <c r="N97" s="1150"/>
      <c r="O97" s="1150"/>
      <c r="P97" s="2621"/>
      <c r="Q97" s="504"/>
    </row>
    <row r="98" spans="1:17" ht="14.4" thickTop="1">
      <c r="A98" s="534"/>
      <c r="B98" s="546">
        <f>B31</f>
        <v>111</v>
      </c>
      <c r="C98" s="554"/>
      <c r="D98" s="554"/>
      <c r="E98" s="554"/>
      <c r="F98" s="554"/>
      <c r="G98" s="587"/>
      <c r="H98" s="587"/>
      <c r="I98" s="587"/>
      <c r="J98" s="587"/>
      <c r="K98" s="588"/>
      <c r="L98" s="589"/>
      <c r="M98" s="590"/>
      <c r="N98" s="1149"/>
      <c r="O98" s="1149"/>
      <c r="P98" s="2621"/>
      <c r="Q98" s="504"/>
    </row>
    <row r="99" spans="1:17" ht="14.4" thickBot="1">
      <c r="A99" s="2627"/>
      <c r="B99" s="569"/>
      <c r="C99" s="570"/>
      <c r="D99" s="570"/>
      <c r="E99" s="570"/>
      <c r="F99" s="570"/>
      <c r="G99" s="591"/>
      <c r="H99" s="591"/>
      <c r="I99" s="591"/>
      <c r="J99" s="591"/>
      <c r="K99" s="591"/>
      <c r="L99" s="591"/>
      <c r="M99" s="592"/>
      <c r="N99" s="1150"/>
      <c r="O99" s="1150"/>
      <c r="P99" s="2621"/>
      <c r="Q99" s="504"/>
    </row>
    <row r="100" spans="1:17" ht="14.4">
      <c r="A100" s="527" t="s">
        <v>2559</v>
      </c>
      <c r="B100" s="528" t="s">
        <v>2677</v>
      </c>
      <c r="C100" s="530"/>
      <c r="D100" s="530"/>
      <c r="E100" s="530"/>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1"/>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1"/>
      <c r="Q102" s="504"/>
    </row>
    <row r="103" spans="1:17" s="471" customFormat="1">
      <c r="A103" s="593"/>
      <c r="B103" s="594"/>
      <c r="C103" s="595"/>
      <c r="D103" s="595"/>
      <c r="E103" s="595"/>
      <c r="F103" s="595"/>
      <c r="G103" s="595"/>
      <c r="H103" s="595"/>
      <c r="I103" s="595"/>
      <c r="J103" s="596"/>
      <c r="K103" s="596"/>
      <c r="L103" s="597"/>
      <c r="M103" s="598"/>
      <c r="N103" s="1151"/>
      <c r="O103" s="1151"/>
      <c r="P103" s="2622"/>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2"/>
      <c r="Q104" s="559"/>
    </row>
    <row r="105" spans="1:17" ht="15" thickTop="1">
      <c r="A105" s="599"/>
      <c r="B105" s="538" t="s">
        <v>2610</v>
      </c>
      <c r="C105" s="554"/>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1"/>
      <c r="Q106" s="504"/>
    </row>
    <row r="107" spans="1:17" ht="15" thickTop="1">
      <c r="A107" s="599"/>
      <c r="B107" s="538" t="s">
        <v>2612</v>
      </c>
      <c r="C107" s="554"/>
      <c r="D107" s="554"/>
      <c r="E107" s="554"/>
      <c r="F107" s="583"/>
      <c r="G107" s="583"/>
      <c r="H107" s="583"/>
      <c r="I107" s="583"/>
      <c r="J107" s="583"/>
      <c r="K107" s="584"/>
      <c r="L107" s="585"/>
      <c r="M107" s="586"/>
      <c r="N107" s="1149"/>
      <c r="O107" s="1149"/>
      <c r="P107" s="262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1"/>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1"/>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2"/>
      <c r="Q113" s="559"/>
    </row>
    <row r="114" spans="1:17" ht="15" thickTop="1">
      <c r="A114" s="599"/>
      <c r="B114" s="538" t="s">
        <v>2678</v>
      </c>
      <c r="C114" s="554"/>
      <c r="D114" s="554"/>
      <c r="E114" s="583"/>
      <c r="F114" s="583"/>
      <c r="G114" s="583"/>
      <c r="H114" s="583"/>
      <c r="I114" s="583"/>
      <c r="J114" s="583"/>
      <c r="K114" s="584"/>
      <c r="L114" s="585"/>
      <c r="M114" s="586"/>
      <c r="N114" s="1149"/>
      <c r="O114" s="1149"/>
      <c r="P114" s="262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1"/>
      <c r="Q115" s="504"/>
    </row>
    <row r="116" spans="1:17" ht="15" thickTop="1">
      <c r="A116" s="599"/>
      <c r="B116" s="538" t="s">
        <v>2679</v>
      </c>
      <c r="C116" s="554"/>
      <c r="D116" s="554"/>
      <c r="E116" s="554"/>
      <c r="F116" s="554"/>
      <c r="G116" s="554"/>
      <c r="H116" s="583"/>
      <c r="I116" s="583"/>
      <c r="J116" s="583"/>
      <c r="K116" s="584"/>
      <c r="L116" s="585"/>
      <c r="M116" s="586"/>
      <c r="N116" s="1149"/>
      <c r="O116" s="1149"/>
      <c r="P116" s="262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1"/>
      <c r="Q117" s="504"/>
    </row>
    <row r="118" spans="1:17" ht="15" thickTop="1">
      <c r="A118" s="599"/>
      <c r="B118" s="538" t="s">
        <v>2680</v>
      </c>
      <c r="C118" s="627"/>
      <c r="D118" s="627"/>
      <c r="E118" s="627"/>
      <c r="F118" s="627"/>
      <c r="G118" s="627"/>
      <c r="H118" s="555"/>
      <c r="I118" s="555"/>
      <c r="J118" s="555"/>
      <c r="K118" s="555"/>
      <c r="L118" s="556"/>
      <c r="M118" s="557"/>
      <c r="N118" s="1149"/>
      <c r="O118" s="1149"/>
      <c r="P118" s="2621"/>
      <c r="Q118" s="504"/>
    </row>
    <row r="119" spans="1:17" ht="14.4" thickBot="1">
      <c r="A119" s="534"/>
      <c r="B119" s="543"/>
      <c r="C119" s="560"/>
      <c r="D119" s="536"/>
      <c r="E119" s="536"/>
      <c r="F119" s="536"/>
      <c r="G119" s="536"/>
      <c r="H119" s="536"/>
      <c r="I119" s="536"/>
      <c r="J119" s="536"/>
      <c r="K119" s="536"/>
      <c r="L119" s="536"/>
      <c r="M119" s="537"/>
      <c r="N119" s="1150"/>
      <c r="O119" s="1150"/>
      <c r="P119" s="2621"/>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2"/>
      <c r="Q121" s="559"/>
    </row>
    <row r="122" spans="1:17" ht="15" thickTop="1">
      <c r="A122" s="599"/>
      <c r="B122" s="538" t="s">
        <v>2616</v>
      </c>
      <c r="C122" s="554"/>
      <c r="D122" s="554"/>
      <c r="E122" s="554"/>
      <c r="F122" s="583"/>
      <c r="G122" s="583"/>
      <c r="H122" s="583"/>
      <c r="I122" s="583"/>
      <c r="J122" s="583"/>
      <c r="K122" s="584"/>
      <c r="L122" s="585"/>
      <c r="M122" s="586"/>
      <c r="N122" s="1149"/>
      <c r="O122" s="1149"/>
      <c r="P122" s="262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1"/>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36"/>
      <c r="E129" s="536"/>
      <c r="F129" s="536"/>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2524</v>
      </c>
      <c r="B1" s="2660" t="s">
        <v>2682</v>
      </c>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5" t="e">
        <f ca="1">IF(C2="——",ROUND(C50*D3/10000,0),ROUND(C50*D3/10000,0)-D2)</f>
        <v>#DIV/0!</v>
      </c>
      <c r="C2" s="2579"/>
      <c r="D2" s="1362" t="e">
        <f ca="1">SUMIF(INDIRECT("'"&amp;F2&amp;"'"&amp;"!A:A"),"承租人权益价值",INDIRECT("'"&amp;F2&amp;"'"&amp;"!c:c"))</f>
        <v>#REF!</v>
      </c>
      <c r="E2" s="2580" t="s">
        <v>2327</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83517</v>
      </c>
      <c r="E3" s="2654"/>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2641</v>
      </c>
      <c r="B4" s="402"/>
      <c r="C4" s="3311" t="s">
        <v>2642</v>
      </c>
      <c r="D4" s="3312"/>
      <c r="E4" s="3313" t="s">
        <v>2643</v>
      </c>
      <c r="F4" s="3314"/>
      <c r="G4" s="3311" t="s">
        <v>2644</v>
      </c>
      <c r="H4" s="3312"/>
      <c r="I4" s="3311" t="s">
        <v>2645</v>
      </c>
      <c r="J4" s="3312"/>
      <c r="K4" s="610" t="s">
        <v>2646</v>
      </c>
      <c r="L4" s="1127"/>
      <c r="M4" s="1128"/>
      <c r="N4" s="1128"/>
      <c r="O4" s="1128"/>
      <c r="P4" s="3379" t="s">
        <v>2647</v>
      </c>
      <c r="Q4" s="3380"/>
      <c r="R4" s="3374" t="s">
        <v>2643</v>
      </c>
      <c r="S4" s="3375"/>
      <c r="T4" s="3374" t="s">
        <v>2644</v>
      </c>
      <c r="U4" s="3375"/>
      <c r="V4" s="3383" t="s">
        <v>2645</v>
      </c>
      <c r="W4" s="3383"/>
      <c r="X4" s="2661"/>
      <c r="Y4" s="3374" t="s">
        <v>2647</v>
      </c>
      <c r="Z4" s="3375"/>
      <c r="AA4" s="3373" t="s">
        <v>2643</v>
      </c>
      <c r="AB4" s="3373" t="s">
        <v>2644</v>
      </c>
      <c r="AC4" s="3376" t="s">
        <v>2645</v>
      </c>
    </row>
    <row r="5" spans="1:29">
      <c r="A5" s="404"/>
      <c r="B5" s="405"/>
      <c r="C5" s="3304" t="s">
        <v>2538</v>
      </c>
      <c r="D5" s="3305"/>
      <c r="E5" s="3302" t="s">
        <v>2539</v>
      </c>
      <c r="F5" s="3303"/>
      <c r="G5" s="3304" t="s">
        <v>2540</v>
      </c>
      <c r="H5" s="3305"/>
      <c r="I5" s="3304" t="s">
        <v>2541</v>
      </c>
      <c r="J5" s="3305"/>
      <c r="K5" s="610"/>
      <c r="L5" s="1127"/>
      <c r="M5" s="1128"/>
      <c r="N5" s="1128"/>
      <c r="O5" s="1128"/>
      <c r="P5" s="3381"/>
      <c r="Q5" s="3318"/>
      <c r="R5" s="3300"/>
      <c r="S5" s="3301"/>
      <c r="T5" s="3300"/>
      <c r="U5" s="3301"/>
      <c r="V5" s="3323"/>
      <c r="W5" s="3323"/>
      <c r="X5" s="1809"/>
      <c r="Y5" s="3300"/>
      <c r="Z5" s="3301"/>
      <c r="AA5" s="3294"/>
      <c r="AB5" s="3294"/>
      <c r="AC5" s="3377"/>
    </row>
    <row r="6" spans="1:29" ht="15" thickBot="1">
      <c r="A6" s="406"/>
      <c r="B6" s="407"/>
      <c r="C6" s="3306" t="s">
        <v>2542</v>
      </c>
      <c r="D6" s="3307"/>
      <c r="E6" s="3308" t="s">
        <v>2542</v>
      </c>
      <c r="F6" s="3309"/>
      <c r="G6" s="3306" t="s">
        <v>2542</v>
      </c>
      <c r="H6" s="3307"/>
      <c r="I6" s="3306" t="s">
        <v>2542</v>
      </c>
      <c r="J6" s="3307"/>
      <c r="K6" s="610" t="s">
        <v>2543</v>
      </c>
      <c r="L6" s="1127"/>
      <c r="M6" s="1128"/>
      <c r="N6" s="1128"/>
      <c r="O6" s="1128"/>
      <c r="P6" s="3382"/>
      <c r="Q6" s="3320"/>
      <c r="R6" s="3300"/>
      <c r="S6" s="3301"/>
      <c r="T6" s="3321"/>
      <c r="U6" s="3322"/>
      <c r="V6" s="3323"/>
      <c r="W6" s="3323"/>
      <c r="X6" s="1809"/>
      <c r="Y6" s="3321"/>
      <c r="Z6" s="3322"/>
      <c r="AA6" s="3295"/>
      <c r="AB6" s="3295"/>
      <c r="AC6" s="3378"/>
    </row>
    <row r="7" spans="1:29" s="117" customFormat="1" ht="15" thickBot="1">
      <c r="A7" s="408" t="s">
        <v>2544</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84" t="s">
        <v>2545</v>
      </c>
      <c r="Q7" s="3324"/>
      <c r="R7" s="770" t="s">
        <v>17</v>
      </c>
      <c r="S7" s="771">
        <f t="shared" ref="S7:S15" si="0">F7</f>
        <v>0</v>
      </c>
      <c r="T7" s="770" t="s">
        <v>17</v>
      </c>
      <c r="U7" s="771">
        <f t="shared" ref="U7:U15" si="1">H7</f>
        <v>0</v>
      </c>
      <c r="V7" s="770" t="s">
        <v>17</v>
      </c>
      <c r="W7" s="771">
        <f t="shared" ref="W7:W15" si="2">J7</f>
        <v>0</v>
      </c>
      <c r="X7" s="772"/>
      <c r="Y7" s="3296" t="s">
        <v>2545</v>
      </c>
      <c r="Z7" s="3297"/>
      <c r="AA7" s="773" t="e">
        <f>D7/F7</f>
        <v>#DIV/0!</v>
      </c>
      <c r="AB7" s="773" t="e">
        <f>D7/H7</f>
        <v>#DIV/0!</v>
      </c>
      <c r="AC7" s="2662"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84" t="s">
        <v>2548</v>
      </c>
      <c r="Q8" s="3297"/>
      <c r="R8" s="770" t="s">
        <v>17</v>
      </c>
      <c r="S8" s="771">
        <f t="shared" si="0"/>
        <v>0</v>
      </c>
      <c r="T8" s="770" t="s">
        <v>17</v>
      </c>
      <c r="U8" s="771">
        <f t="shared" si="1"/>
        <v>0</v>
      </c>
      <c r="V8" s="770" t="s">
        <v>17</v>
      </c>
      <c r="W8" s="771">
        <f t="shared" si="2"/>
        <v>0</v>
      </c>
      <c r="X8" s="772"/>
      <c r="Y8" s="3296" t="s">
        <v>2548</v>
      </c>
      <c r="Z8" s="3297"/>
      <c r="AA8" s="773" t="e">
        <f t="shared" ref="AA8:AA47" si="3">D8/F8</f>
        <v>#DIV/0!</v>
      </c>
      <c r="AB8" s="773" t="e">
        <f t="shared" ref="AB8:AB47" si="4">D8/H8</f>
        <v>#DIV/0!</v>
      </c>
      <c r="AC8" s="2662"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34" t="s">
        <v>2551</v>
      </c>
      <c r="Q9" s="1791" t="str">
        <f t="shared" ref="Q9:Q15" si="6">B9</f>
        <v>用途</v>
      </c>
      <c r="R9" s="770" t="s">
        <v>17</v>
      </c>
      <c r="S9" s="771">
        <f t="shared" si="0"/>
        <v>100</v>
      </c>
      <c r="T9" s="770" t="s">
        <v>17</v>
      </c>
      <c r="U9" s="771">
        <f t="shared" si="1"/>
        <v>100</v>
      </c>
      <c r="V9" s="770" t="s">
        <v>17</v>
      </c>
      <c r="W9" s="771">
        <f t="shared" si="2"/>
        <v>100</v>
      </c>
      <c r="X9" s="772"/>
      <c r="Y9" s="3157" t="s">
        <v>2552</v>
      </c>
      <c r="Z9" s="55" t="str">
        <f t="shared" ref="Z9:Z15" si="7">Q9</f>
        <v>用途</v>
      </c>
      <c r="AA9" s="773">
        <f t="shared" si="3"/>
        <v>1</v>
      </c>
      <c r="AB9" s="773">
        <f t="shared" si="4"/>
        <v>1</v>
      </c>
      <c r="AC9" s="2662">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34"/>
      <c r="Q10" s="1791" t="str">
        <f t="shared" si="6"/>
        <v>土地使用年限（年）</v>
      </c>
      <c r="R10" s="770" t="s">
        <v>17</v>
      </c>
      <c r="S10" s="771">
        <f t="shared" si="0"/>
        <v>100</v>
      </c>
      <c r="T10" s="770" t="s">
        <v>17</v>
      </c>
      <c r="U10" s="771">
        <f t="shared" si="1"/>
        <v>100</v>
      </c>
      <c r="V10" s="770" t="s">
        <v>17</v>
      </c>
      <c r="W10" s="771">
        <f t="shared" si="2"/>
        <v>100</v>
      </c>
      <c r="X10" s="772"/>
      <c r="Y10" s="3157"/>
      <c r="Z10" s="55" t="str">
        <f t="shared" si="7"/>
        <v>土地使用年限（年）</v>
      </c>
      <c r="AA10" s="773">
        <f t="shared" si="3"/>
        <v>1</v>
      </c>
      <c r="AB10" s="773">
        <f t="shared" si="4"/>
        <v>1</v>
      </c>
      <c r="AC10" s="266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34"/>
      <c r="Q11" s="1791" t="str">
        <f t="shared" si="6"/>
        <v>容积率</v>
      </c>
      <c r="R11" s="770" t="s">
        <v>17</v>
      </c>
      <c r="S11" s="771" t="e">
        <f t="shared" si="0"/>
        <v>#N/A</v>
      </c>
      <c r="T11" s="770" t="s">
        <v>17</v>
      </c>
      <c r="U11" s="771" t="e">
        <f t="shared" si="1"/>
        <v>#N/A</v>
      </c>
      <c r="V11" s="770" t="s">
        <v>17</v>
      </c>
      <c r="W11" s="771" t="e">
        <f t="shared" si="2"/>
        <v>#N/A</v>
      </c>
      <c r="X11" s="772"/>
      <c r="Y11" s="3157"/>
      <c r="Z11" s="55" t="str">
        <f t="shared" si="7"/>
        <v>容积率</v>
      </c>
      <c r="AA11" s="773" t="e">
        <f t="shared" si="3"/>
        <v>#N/A</v>
      </c>
      <c r="AB11" s="773" t="e">
        <f t="shared" si="4"/>
        <v>#N/A</v>
      </c>
      <c r="AC11" s="2662" t="e">
        <f t="shared" si="5"/>
        <v>#N/A</v>
      </c>
    </row>
    <row r="12" spans="1:29" s="117" customFormat="1" ht="15">
      <c r="A12" s="431"/>
      <c r="B12" s="2592">
        <v>111</v>
      </c>
      <c r="C12" s="432"/>
      <c r="D12" s="433">
        <v>100</v>
      </c>
      <c r="E12" s="432"/>
      <c r="F12" s="136">
        <f>SUMIF(71:71,E12,72:72)-SUMIF(71:71,C12,72:72)+100</f>
        <v>100</v>
      </c>
      <c r="G12" s="2663"/>
      <c r="H12" s="136">
        <f>SUMIF(71:71,G12,72:72)-SUMIF(71:71,C12,72:72)+100</f>
        <v>100</v>
      </c>
      <c r="I12" s="432"/>
      <c r="J12" s="136">
        <f>SUMIF(71:71,I12,72:72)-SUMIF(71:71,C12,72:72)+100</f>
        <v>100</v>
      </c>
      <c r="K12" s="613"/>
      <c r="L12" s="1129"/>
      <c r="M12" s="1130"/>
      <c r="N12" s="1130"/>
      <c r="O12" s="1130"/>
      <c r="P12" s="3334"/>
      <c r="Q12" s="1791">
        <f t="shared" si="6"/>
        <v>111</v>
      </c>
      <c r="R12" s="770" t="s">
        <v>17</v>
      </c>
      <c r="S12" s="771">
        <f t="shared" si="0"/>
        <v>100</v>
      </c>
      <c r="T12" s="770" t="s">
        <v>17</v>
      </c>
      <c r="U12" s="771">
        <f t="shared" si="1"/>
        <v>100</v>
      </c>
      <c r="V12" s="770" t="s">
        <v>17</v>
      </c>
      <c r="W12" s="771">
        <f t="shared" si="2"/>
        <v>100</v>
      </c>
      <c r="X12" s="772"/>
      <c r="Y12" s="3157"/>
      <c r="Z12" s="55">
        <f t="shared" si="7"/>
        <v>111</v>
      </c>
      <c r="AA12" s="773">
        <f>D12/F12</f>
        <v>1</v>
      </c>
      <c r="AB12" s="773">
        <f>D12/H12</f>
        <v>1</v>
      </c>
      <c r="AC12" s="2662">
        <f>D12/J12</f>
        <v>1</v>
      </c>
    </row>
    <row r="13" spans="1:29" ht="15">
      <c r="A13" s="428"/>
      <c r="B13" s="2592">
        <v>111</v>
      </c>
      <c r="C13" s="434"/>
      <c r="D13" s="435">
        <v>100</v>
      </c>
      <c r="E13" s="432"/>
      <c r="F13" s="136">
        <f>SUMIF(73:73,E13,74:74)-SUMIF(73:73,C13,74:74)+100</f>
        <v>100</v>
      </c>
      <c r="G13" s="2663"/>
      <c r="H13" s="435">
        <f>SUMIF(73:73,G13,74:74)-SUMIF(73:73,C13,74:74)+100</f>
        <v>100</v>
      </c>
      <c r="I13" s="432"/>
      <c r="J13" s="435">
        <f>SUMIF(73:73,I13,74:74)-SUMIF(73:73,C13,74:74)+100</f>
        <v>100</v>
      </c>
      <c r="K13" s="613"/>
      <c r="L13" s="1137"/>
      <c r="M13" s="1128"/>
      <c r="N13" s="1128"/>
      <c r="O13" s="1128"/>
      <c r="P13" s="3334"/>
      <c r="Q13" s="1791">
        <f t="shared" si="6"/>
        <v>111</v>
      </c>
      <c r="R13" s="770" t="s">
        <v>17</v>
      </c>
      <c r="S13" s="771">
        <f t="shared" si="0"/>
        <v>100</v>
      </c>
      <c r="T13" s="770" t="s">
        <v>17</v>
      </c>
      <c r="U13" s="771">
        <f t="shared" si="1"/>
        <v>100</v>
      </c>
      <c r="V13" s="770" t="s">
        <v>17</v>
      </c>
      <c r="W13" s="771">
        <f t="shared" si="2"/>
        <v>100</v>
      </c>
      <c r="X13" s="772"/>
      <c r="Y13" s="3157"/>
      <c r="Z13" s="55">
        <f t="shared" si="7"/>
        <v>111</v>
      </c>
      <c r="AA13" s="773">
        <f t="shared" si="3"/>
        <v>1</v>
      </c>
      <c r="AB13" s="773">
        <f t="shared" si="4"/>
        <v>1</v>
      </c>
      <c r="AC13" s="2662">
        <f t="shared" si="5"/>
        <v>1</v>
      </c>
    </row>
    <row r="14" spans="1:29" ht="15.6" thickBot="1">
      <c r="A14" s="436"/>
      <c r="B14" s="2594">
        <v>111</v>
      </c>
      <c r="C14" s="437"/>
      <c r="D14" s="438">
        <v>100</v>
      </c>
      <c r="E14" s="628"/>
      <c r="F14" s="438">
        <f>SUMIF(75:75,E14,76:76)-SUMIF(75:75,C14,76:76)+100</f>
        <v>100</v>
      </c>
      <c r="G14" s="2663"/>
      <c r="H14" s="438">
        <f>SUMIF(75:75,G14,76:76)-SUMIF(75:75,C14,76:76)+100</f>
        <v>100</v>
      </c>
      <c r="I14" s="432"/>
      <c r="J14" s="438">
        <f>SUMIF(75:75,I14,76:76)-SUMIF(75:75,C14,76:76)+100</f>
        <v>100</v>
      </c>
      <c r="K14" s="613"/>
      <c r="L14" s="1137"/>
      <c r="M14" s="1128"/>
      <c r="N14" s="1128"/>
      <c r="O14" s="1128"/>
      <c r="P14" s="3334"/>
      <c r="Q14" s="1791">
        <f t="shared" si="6"/>
        <v>111</v>
      </c>
      <c r="R14" s="770" t="s">
        <v>17</v>
      </c>
      <c r="S14" s="771">
        <f t="shared" si="0"/>
        <v>100</v>
      </c>
      <c r="T14" s="770" t="s">
        <v>17</v>
      </c>
      <c r="U14" s="771">
        <f t="shared" si="1"/>
        <v>100</v>
      </c>
      <c r="V14" s="770" t="s">
        <v>17</v>
      </c>
      <c r="W14" s="771">
        <f t="shared" si="2"/>
        <v>100</v>
      </c>
      <c r="X14" s="772"/>
      <c r="Y14" s="3157"/>
      <c r="Z14" s="55">
        <f t="shared" si="7"/>
        <v>111</v>
      </c>
      <c r="AA14" s="773">
        <f t="shared" si="3"/>
        <v>1</v>
      </c>
      <c r="AB14" s="773">
        <f t="shared" si="4"/>
        <v>1</v>
      </c>
      <c r="AC14" s="2662">
        <f t="shared" si="5"/>
        <v>1</v>
      </c>
    </row>
    <row r="15" spans="1:29" ht="69">
      <c r="A15" s="440" t="s">
        <v>2555</v>
      </c>
      <c r="B15" s="629" t="s">
        <v>2683</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71" t="s">
        <v>2556</v>
      </c>
      <c r="Q15" s="1806" t="str">
        <f t="shared" si="6"/>
        <v>办公集聚程度</v>
      </c>
      <c r="R15" s="774" t="s">
        <v>17</v>
      </c>
      <c r="S15" s="775">
        <f t="shared" si="0"/>
        <v>100</v>
      </c>
      <c r="T15" s="774" t="s">
        <v>17</v>
      </c>
      <c r="U15" s="775">
        <f t="shared" si="1"/>
        <v>100</v>
      </c>
      <c r="V15" s="774" t="s">
        <v>17</v>
      </c>
      <c r="W15" s="775">
        <f t="shared" si="2"/>
        <v>100</v>
      </c>
      <c r="X15" s="1809"/>
      <c r="Y15" s="3325" t="s">
        <v>2556</v>
      </c>
      <c r="Z15" s="1810" t="str">
        <f t="shared" si="7"/>
        <v>办公集聚程度</v>
      </c>
      <c r="AA15" s="1807">
        <f t="shared" si="3"/>
        <v>1</v>
      </c>
      <c r="AB15" s="1807">
        <f t="shared" si="4"/>
        <v>1</v>
      </c>
      <c r="AC15" s="2665">
        <f t="shared" si="5"/>
        <v>1</v>
      </c>
    </row>
    <row r="16" spans="1:29" ht="15">
      <c r="A16" s="428"/>
      <c r="B16" s="630"/>
      <c r="C16" s="2603"/>
      <c r="D16" s="448"/>
      <c r="E16" s="447"/>
      <c r="F16" s="448"/>
      <c r="G16" s="2603"/>
      <c r="H16" s="450"/>
      <c r="I16" s="447"/>
      <c r="J16" s="448"/>
      <c r="K16" s="615"/>
      <c r="L16" s="1137"/>
      <c r="M16" s="1128"/>
      <c r="N16" s="1128"/>
      <c r="O16" s="1128"/>
      <c r="P16" s="3372"/>
      <c r="Q16" s="1806"/>
      <c r="R16" s="774"/>
      <c r="S16" s="775"/>
      <c r="T16" s="774"/>
      <c r="U16" s="775"/>
      <c r="V16" s="774"/>
      <c r="W16" s="775"/>
      <c r="X16" s="1809"/>
      <c r="Y16" s="3326"/>
      <c r="Z16" s="1810"/>
      <c r="AA16" s="1807">
        <v>1</v>
      </c>
      <c r="AB16" s="1807">
        <v>1</v>
      </c>
      <c r="AC16" s="2665">
        <v>1</v>
      </c>
    </row>
    <row r="17" spans="1:29" ht="82.8">
      <c r="A17" s="428"/>
      <c r="B17" s="631" t="s">
        <v>2095</v>
      </c>
      <c r="C17" s="266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72"/>
      <c r="Q17" s="1806" t="str">
        <f>B17</f>
        <v>交通便捷度</v>
      </c>
      <c r="R17" s="774" t="s">
        <v>17</v>
      </c>
      <c r="S17" s="775">
        <f>F17</f>
        <v>100</v>
      </c>
      <c r="T17" s="774" t="s">
        <v>17</v>
      </c>
      <c r="U17" s="775">
        <f>H17</f>
        <v>100</v>
      </c>
      <c r="V17" s="774" t="s">
        <v>17</v>
      </c>
      <c r="W17" s="775">
        <f>J17</f>
        <v>100</v>
      </c>
      <c r="X17" s="1809"/>
      <c r="Y17" s="3326"/>
      <c r="Z17" s="1810" t="str">
        <f>Q17</f>
        <v>交通便捷度</v>
      </c>
      <c r="AA17" s="1807">
        <f t="shared" si="3"/>
        <v>1</v>
      </c>
      <c r="AB17" s="1807">
        <f t="shared" si="4"/>
        <v>1</v>
      </c>
      <c r="AC17" s="2665">
        <f t="shared" si="5"/>
        <v>1</v>
      </c>
    </row>
    <row r="18" spans="1:29" ht="15">
      <c r="A18" s="428"/>
      <c r="B18" s="632"/>
      <c r="C18" s="2667"/>
      <c r="D18" s="450"/>
      <c r="E18" s="2601"/>
      <c r="F18" s="450"/>
      <c r="G18" s="2602"/>
      <c r="H18" s="448"/>
      <c r="I18" s="2602"/>
      <c r="J18" s="448"/>
      <c r="K18" s="615"/>
      <c r="L18" s="1137"/>
      <c r="M18" s="1128"/>
      <c r="N18" s="1128"/>
      <c r="O18" s="1128"/>
      <c r="P18" s="3372"/>
      <c r="Q18" s="1806"/>
      <c r="R18" s="774"/>
      <c r="S18" s="775"/>
      <c r="T18" s="774"/>
      <c r="U18" s="775"/>
      <c r="V18" s="774"/>
      <c r="W18" s="775"/>
      <c r="X18" s="1809"/>
      <c r="Y18" s="3326"/>
      <c r="Z18" s="1810"/>
      <c r="AA18" s="1807">
        <v>1</v>
      </c>
      <c r="AB18" s="1807">
        <v>1</v>
      </c>
      <c r="AC18" s="2665">
        <v>1</v>
      </c>
    </row>
    <row r="19" spans="1:29" ht="41.4">
      <c r="A19" s="428"/>
      <c r="B19" s="631" t="s">
        <v>2684</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72"/>
      <c r="Q19" s="1806" t="str">
        <f>B19</f>
        <v>公共配套设施</v>
      </c>
      <c r="R19" s="774" t="s">
        <v>17</v>
      </c>
      <c r="S19" s="775">
        <f>F19</f>
        <v>100</v>
      </c>
      <c r="T19" s="774" t="s">
        <v>17</v>
      </c>
      <c r="U19" s="775">
        <f>H19</f>
        <v>100</v>
      </c>
      <c r="V19" s="774" t="s">
        <v>17</v>
      </c>
      <c r="W19" s="775">
        <f>J19</f>
        <v>100</v>
      </c>
      <c r="X19" s="1809"/>
      <c r="Y19" s="3326"/>
      <c r="Z19" s="1810" t="str">
        <f>Q19</f>
        <v>公共配套设施</v>
      </c>
      <c r="AA19" s="1807">
        <f t="shared" si="3"/>
        <v>1</v>
      </c>
      <c r="AB19" s="1807">
        <f t="shared" si="4"/>
        <v>1</v>
      </c>
      <c r="AC19" s="2665">
        <f t="shared" si="5"/>
        <v>1</v>
      </c>
    </row>
    <row r="20" spans="1:29" ht="15">
      <c r="A20" s="428"/>
      <c r="B20" s="632"/>
      <c r="C20" s="2603"/>
      <c r="D20" s="448"/>
      <c r="E20" s="2596"/>
      <c r="F20" s="448"/>
      <c r="G20" s="2597"/>
      <c r="H20" s="448"/>
      <c r="I20" s="2597"/>
      <c r="J20" s="448"/>
      <c r="K20" s="615"/>
      <c r="L20" s="1137"/>
      <c r="M20" s="1128"/>
      <c r="N20" s="1128"/>
      <c r="O20" s="1128"/>
      <c r="P20" s="3372"/>
      <c r="Q20" s="1806"/>
      <c r="R20" s="774"/>
      <c r="S20" s="775"/>
      <c r="T20" s="774"/>
      <c r="U20" s="775"/>
      <c r="V20" s="774"/>
      <c r="W20" s="775"/>
      <c r="X20" s="1809"/>
      <c r="Y20" s="3326"/>
      <c r="Z20" s="1810"/>
      <c r="AA20" s="1807">
        <v>1</v>
      </c>
      <c r="AB20" s="1807">
        <v>1</v>
      </c>
      <c r="AC20" s="2665">
        <v>1</v>
      </c>
    </row>
    <row r="21" spans="1:29" ht="27.6">
      <c r="A21" s="428"/>
      <c r="B21" s="633" t="s">
        <v>2685</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72"/>
      <c r="Q21" s="1806" t="str">
        <f>B21</f>
        <v>基础设施水平</v>
      </c>
      <c r="R21" s="774" t="s">
        <v>17</v>
      </c>
      <c r="S21" s="775">
        <f>F21</f>
        <v>100</v>
      </c>
      <c r="T21" s="774" t="s">
        <v>17</v>
      </c>
      <c r="U21" s="775">
        <f>H21</f>
        <v>100</v>
      </c>
      <c r="V21" s="774" t="s">
        <v>17</v>
      </c>
      <c r="W21" s="775">
        <f>J21</f>
        <v>100</v>
      </c>
      <c r="X21" s="1809"/>
      <c r="Y21" s="3326"/>
      <c r="Z21" s="1810" t="str">
        <f>Q21</f>
        <v>基础设施水平</v>
      </c>
      <c r="AA21" s="1807">
        <f t="shared" ref="AA21" si="8">D21/F21</f>
        <v>1</v>
      </c>
      <c r="AB21" s="1807">
        <f t="shared" ref="AB21" si="9">D21/H21</f>
        <v>1</v>
      </c>
      <c r="AC21" s="2665">
        <f t="shared" ref="AC21" si="10">D21/J21</f>
        <v>1</v>
      </c>
    </row>
    <row r="22" spans="1:29" ht="15">
      <c r="A22" s="428"/>
      <c r="B22" s="633"/>
      <c r="C22" s="2667"/>
      <c r="D22" s="448"/>
      <c r="E22" s="447"/>
      <c r="F22" s="448"/>
      <c r="G22" s="2603"/>
      <c r="H22" s="448"/>
      <c r="I22" s="2603"/>
      <c r="J22" s="448"/>
      <c r="K22" s="1380"/>
      <c r="L22" s="1137"/>
      <c r="M22" s="1128"/>
      <c r="N22" s="1128"/>
      <c r="O22" s="1128"/>
      <c r="P22" s="3372"/>
      <c r="Q22" s="1806"/>
      <c r="R22" s="774"/>
      <c r="S22" s="775"/>
      <c r="T22" s="774"/>
      <c r="U22" s="775"/>
      <c r="V22" s="774"/>
      <c r="W22" s="775"/>
      <c r="X22" s="1809"/>
      <c r="Y22" s="3326"/>
      <c r="Z22" s="1810"/>
      <c r="AA22" s="1807">
        <v>1</v>
      </c>
      <c r="AB22" s="1807">
        <v>1</v>
      </c>
      <c r="AC22" s="2665">
        <v>1</v>
      </c>
    </row>
    <row r="23" spans="1:29" ht="55.2">
      <c r="A23" s="428"/>
      <c r="B23" s="631" t="s">
        <v>2686</v>
      </c>
      <c r="C23" s="266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72"/>
      <c r="Q23" s="1806" t="str">
        <f>B23</f>
        <v>环境质量</v>
      </c>
      <c r="R23" s="774" t="s">
        <v>17</v>
      </c>
      <c r="S23" s="775">
        <f>F23</f>
        <v>100</v>
      </c>
      <c r="T23" s="774" t="s">
        <v>17</v>
      </c>
      <c r="U23" s="775">
        <f>H23</f>
        <v>100</v>
      </c>
      <c r="V23" s="774" t="s">
        <v>17</v>
      </c>
      <c r="W23" s="775">
        <f>J23</f>
        <v>100</v>
      </c>
      <c r="X23" s="1809"/>
      <c r="Y23" s="3326"/>
      <c r="Z23" s="1810" t="str">
        <f>Q23</f>
        <v>环境质量</v>
      </c>
      <c r="AA23" s="1807">
        <f t="shared" si="3"/>
        <v>1</v>
      </c>
      <c r="AB23" s="1807">
        <f t="shared" si="4"/>
        <v>1</v>
      </c>
      <c r="AC23" s="2665">
        <f t="shared" si="5"/>
        <v>1</v>
      </c>
    </row>
    <row r="24" spans="1:29" ht="15">
      <c r="A24" s="428"/>
      <c r="B24" s="633"/>
      <c r="C24" s="2603"/>
      <c r="D24" s="448"/>
      <c r="E24" s="2596"/>
      <c r="F24" s="448"/>
      <c r="G24" s="2597"/>
      <c r="H24" s="448"/>
      <c r="I24" s="2597"/>
      <c r="J24" s="448"/>
      <c r="K24" s="615"/>
      <c r="L24" s="1137"/>
      <c r="M24" s="1128"/>
      <c r="N24" s="1128"/>
      <c r="O24" s="1128"/>
      <c r="P24" s="3372"/>
      <c r="Q24" s="1806"/>
      <c r="R24" s="774"/>
      <c r="S24" s="775"/>
      <c r="T24" s="774"/>
      <c r="U24" s="775"/>
      <c r="V24" s="774"/>
      <c r="W24" s="775"/>
      <c r="X24" s="1809"/>
      <c r="Y24" s="3326"/>
      <c r="Z24" s="1810"/>
      <c r="AA24" s="1807">
        <v>1</v>
      </c>
      <c r="AB24" s="1807">
        <v>1</v>
      </c>
      <c r="AC24" s="2665">
        <v>1</v>
      </c>
    </row>
    <row r="25" spans="1:29" ht="28.8">
      <c r="A25" s="404"/>
      <c r="B25" s="631" t="s">
        <v>2687</v>
      </c>
      <c r="C25" s="2607"/>
      <c r="D25" s="435">
        <v>100</v>
      </c>
      <c r="E25" s="434"/>
      <c r="F25" s="435">
        <f>SUMIF(87:87,E26,88:88)-SUMIF(87:87,C26,88:88)+100</f>
        <v>100</v>
      </c>
      <c r="G25" s="2607"/>
      <c r="H25" s="435">
        <f>SUMIF(87:87,G26,88:88)-SUMIF(87:87,C26,88:88)+100</f>
        <v>100</v>
      </c>
      <c r="I25" s="434"/>
      <c r="J25" s="435">
        <f>SUMIF(87:87,I26,88:88)-SUMIF(87:87,C26,88:88)+100</f>
        <v>100</v>
      </c>
      <c r="K25" s="614"/>
      <c r="L25" s="1137"/>
      <c r="M25" s="1128"/>
      <c r="N25" s="1128"/>
      <c r="O25" s="1128"/>
      <c r="P25" s="3372"/>
      <c r="Q25" s="1806" t="str">
        <f>B25</f>
        <v>毗邻道路的类型与等级</v>
      </c>
      <c r="R25" s="774" t="s">
        <v>17</v>
      </c>
      <c r="S25" s="775">
        <f>F25</f>
        <v>100</v>
      </c>
      <c r="T25" s="774" t="s">
        <v>17</v>
      </c>
      <c r="U25" s="775">
        <f>H25</f>
        <v>100</v>
      </c>
      <c r="V25" s="774" t="s">
        <v>17</v>
      </c>
      <c r="W25" s="775">
        <f>J25</f>
        <v>100</v>
      </c>
      <c r="X25" s="1809"/>
      <c r="Y25" s="3326"/>
      <c r="Z25" s="1810" t="str">
        <f>Q25</f>
        <v>毗邻道路的类型与等级</v>
      </c>
      <c r="AA25" s="1807">
        <f t="shared" si="3"/>
        <v>1</v>
      </c>
      <c r="AB25" s="1807">
        <f t="shared" si="4"/>
        <v>1</v>
      </c>
      <c r="AC25" s="2665">
        <f t="shared" si="5"/>
        <v>1</v>
      </c>
    </row>
    <row r="26" spans="1:29" ht="15">
      <c r="A26" s="404"/>
      <c r="B26" s="632"/>
      <c r="C26" s="634"/>
      <c r="D26" s="435"/>
      <c r="E26" s="616"/>
      <c r="F26" s="435"/>
      <c r="G26" s="634"/>
      <c r="H26" s="435"/>
      <c r="I26" s="616"/>
      <c r="J26" s="435"/>
      <c r="K26" s="615"/>
      <c r="L26" s="1137"/>
      <c r="M26" s="1128"/>
      <c r="N26" s="1128"/>
      <c r="O26" s="1128"/>
      <c r="P26" s="3372"/>
      <c r="Q26" s="1806"/>
      <c r="R26" s="774"/>
      <c r="S26" s="775"/>
      <c r="T26" s="774"/>
      <c r="U26" s="775"/>
      <c r="V26" s="774"/>
      <c r="W26" s="775"/>
      <c r="X26" s="1809"/>
      <c r="Y26" s="3326"/>
      <c r="Z26" s="1810"/>
      <c r="AA26" s="1807">
        <v>1</v>
      </c>
      <c r="AB26" s="1807">
        <v>1</v>
      </c>
      <c r="AC26" s="266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72"/>
      <c r="Q27" s="1806" t="str">
        <f t="shared" ref="Q27:Q47" si="11">B27</f>
        <v>楼层</v>
      </c>
      <c r="R27" s="774" t="s">
        <v>17</v>
      </c>
      <c r="S27" s="775">
        <f>F27</f>
        <v>100</v>
      </c>
      <c r="T27" s="774" t="s">
        <v>17</v>
      </c>
      <c r="U27" s="775">
        <f>H27</f>
        <v>100</v>
      </c>
      <c r="V27" s="774" t="s">
        <v>17</v>
      </c>
      <c r="W27" s="775">
        <f>J27</f>
        <v>100</v>
      </c>
      <c r="X27" s="1809"/>
      <c r="Y27" s="3326"/>
      <c r="Z27" s="1810" t="str">
        <f>Q27</f>
        <v>楼层</v>
      </c>
      <c r="AA27" s="1807">
        <f t="shared" si="3"/>
        <v>1</v>
      </c>
      <c r="AB27" s="1807">
        <f t="shared" si="4"/>
        <v>1</v>
      </c>
      <c r="AC27" s="2665">
        <f t="shared" si="5"/>
        <v>1</v>
      </c>
    </row>
    <row r="28" spans="1:29" s="117" customFormat="1" ht="15">
      <c r="A28" s="431"/>
      <c r="B28" s="631" t="s">
        <v>2688</v>
      </c>
      <c r="C28" s="2668"/>
      <c r="D28" s="462">
        <v>100</v>
      </c>
      <c r="E28" s="2656"/>
      <c r="F28" s="462">
        <f>SUMIF(91:91,E28,92:92)-SUMIF(91:91,C28,92:92)+100</f>
        <v>100</v>
      </c>
      <c r="G28" s="2668"/>
      <c r="H28" s="462">
        <f>SUMIF(91:91,G28,92:92)-SUMIF(91:91,C28,92:92)+100</f>
        <v>100</v>
      </c>
      <c r="I28" s="2656"/>
      <c r="J28" s="462">
        <f>SUMIF(91:91,I28,92:92)-SUMIF(91:91,C28,92:92)+100</f>
        <v>100</v>
      </c>
      <c r="K28" s="612"/>
      <c r="L28" s="1129"/>
      <c r="M28" s="1130"/>
      <c r="N28" s="1130"/>
      <c r="O28" s="1130"/>
      <c r="P28" s="3372"/>
      <c r="Q28" s="1791" t="str">
        <f t="shared" si="11"/>
        <v>朝向</v>
      </c>
      <c r="R28" s="770" t="s">
        <v>17</v>
      </c>
      <c r="S28" s="771">
        <f>F28</f>
        <v>100</v>
      </c>
      <c r="T28" s="770" t="s">
        <v>17</v>
      </c>
      <c r="U28" s="771">
        <f>H28</f>
        <v>100</v>
      </c>
      <c r="V28" s="770" t="s">
        <v>17</v>
      </c>
      <c r="W28" s="771">
        <f>J28</f>
        <v>100</v>
      </c>
      <c r="X28" s="772"/>
      <c r="Y28" s="3326"/>
      <c r="Z28" s="55" t="str">
        <f>Q28</f>
        <v>朝向</v>
      </c>
      <c r="AA28" s="1807">
        <f>D28/F28</f>
        <v>1</v>
      </c>
      <c r="AB28" s="1807">
        <f>D28/H28</f>
        <v>1</v>
      </c>
      <c r="AC28" s="2665">
        <f>D28/J28</f>
        <v>1</v>
      </c>
    </row>
    <row r="29" spans="1:29" ht="15">
      <c r="A29" s="428"/>
      <c r="B29" s="2669">
        <v>111</v>
      </c>
      <c r="C29" s="2607"/>
      <c r="D29" s="435">
        <v>100</v>
      </c>
      <c r="E29" s="432"/>
      <c r="F29" s="435">
        <f>SUMIF(93:93,E29,94:94)-SUMIF(93:93,C29,94:94)+100</f>
        <v>100</v>
      </c>
      <c r="G29" s="2663"/>
      <c r="H29" s="435">
        <f>SUMIF(93:93,G29,94:94)-SUMIF(93:93,C29,94:94)+100</f>
        <v>100</v>
      </c>
      <c r="I29" s="432"/>
      <c r="J29" s="435">
        <f>SUMIF(93:93,I29,94:94)-SUMIF(93:93,C29,94:94)+100</f>
        <v>100</v>
      </c>
      <c r="K29" s="613"/>
      <c r="L29" s="1137"/>
      <c r="M29" s="1128"/>
      <c r="N29" s="1128"/>
      <c r="O29" s="1128"/>
      <c r="P29" s="3372"/>
      <c r="Q29" s="1806">
        <f t="shared" si="11"/>
        <v>111</v>
      </c>
      <c r="R29" s="774" t="s">
        <v>17</v>
      </c>
      <c r="S29" s="775">
        <f t="shared" ref="S29:S47" si="12">F29</f>
        <v>100</v>
      </c>
      <c r="T29" s="774" t="s">
        <v>17</v>
      </c>
      <c r="U29" s="775">
        <f t="shared" ref="U29:U47" si="13">H29</f>
        <v>100</v>
      </c>
      <c r="V29" s="774" t="s">
        <v>17</v>
      </c>
      <c r="W29" s="775">
        <f t="shared" ref="W29:W47" si="14">J29</f>
        <v>100</v>
      </c>
      <c r="X29" s="1809"/>
      <c r="Y29" s="3326"/>
      <c r="Z29" s="1810">
        <f t="shared" ref="Z29:Z47" si="15">Q29</f>
        <v>111</v>
      </c>
      <c r="AA29" s="1807">
        <f t="shared" si="3"/>
        <v>1</v>
      </c>
      <c r="AB29" s="1807">
        <f t="shared" si="4"/>
        <v>1</v>
      </c>
      <c r="AC29" s="2665">
        <f t="shared" si="5"/>
        <v>1</v>
      </c>
    </row>
    <row r="30" spans="1:29" ht="15">
      <c r="A30" s="428"/>
      <c r="B30" s="2669">
        <v>111</v>
      </c>
      <c r="C30" s="2607"/>
      <c r="D30" s="435">
        <v>100</v>
      </c>
      <c r="E30" s="432"/>
      <c r="F30" s="435">
        <f>SUMIF(95:95,E30,96:96)-SUMIF(95:95,C30,96:96)+100</f>
        <v>100</v>
      </c>
      <c r="G30" s="2663"/>
      <c r="H30" s="435">
        <f>SUMIF(95:95,G30,96:96)-SUMIF(95:95,C30,96:96)+100</f>
        <v>100</v>
      </c>
      <c r="I30" s="432"/>
      <c r="J30" s="435">
        <f>SUMIF(95:95,I30,96:96)-SUMIF(95:95,C30,96:96)+100</f>
        <v>100</v>
      </c>
      <c r="K30" s="613"/>
      <c r="L30" s="1137"/>
      <c r="M30" s="1128"/>
      <c r="N30" s="1128"/>
      <c r="O30" s="1128"/>
      <c r="P30" s="3372"/>
      <c r="Q30" s="1806">
        <f t="shared" si="11"/>
        <v>111</v>
      </c>
      <c r="R30" s="774" t="s">
        <v>17</v>
      </c>
      <c r="S30" s="775">
        <f t="shared" si="12"/>
        <v>100</v>
      </c>
      <c r="T30" s="774" t="s">
        <v>17</v>
      </c>
      <c r="U30" s="775">
        <f t="shared" si="13"/>
        <v>100</v>
      </c>
      <c r="V30" s="774" t="s">
        <v>17</v>
      </c>
      <c r="W30" s="775">
        <f t="shared" si="14"/>
        <v>100</v>
      </c>
      <c r="X30" s="1809"/>
      <c r="Y30" s="3326"/>
      <c r="Z30" s="1810">
        <f t="shared" si="15"/>
        <v>111</v>
      </c>
      <c r="AA30" s="1807">
        <f t="shared" si="3"/>
        <v>1</v>
      </c>
      <c r="AB30" s="1807">
        <f t="shared" si="4"/>
        <v>1</v>
      </c>
      <c r="AC30" s="2665">
        <f t="shared" si="5"/>
        <v>1</v>
      </c>
    </row>
    <row r="31" spans="1:29" ht="15">
      <c r="A31" s="428"/>
      <c r="B31" s="2669">
        <v>111</v>
      </c>
      <c r="C31" s="2607"/>
      <c r="D31" s="435">
        <v>100</v>
      </c>
      <c r="E31" s="432"/>
      <c r="F31" s="435">
        <f>SUMIF(97:97,E31,98:98)-SUMIF(97:97,C31,98:98)+100</f>
        <v>100</v>
      </c>
      <c r="G31" s="2663"/>
      <c r="H31" s="435">
        <f>SUMIF(97:97,G31,98:98)-SUMIF(97:97,C31,98:98)+100</f>
        <v>100</v>
      </c>
      <c r="I31" s="432"/>
      <c r="J31" s="435">
        <f>SUMIF(97:97,I31,98:98)-SUMIF(97:97,C31,98:98)+100</f>
        <v>100</v>
      </c>
      <c r="K31" s="613"/>
      <c r="L31" s="1137"/>
      <c r="M31" s="1128"/>
      <c r="N31" s="1128"/>
      <c r="O31" s="1128"/>
      <c r="P31" s="3372"/>
      <c r="Q31" s="1806">
        <f t="shared" si="11"/>
        <v>111</v>
      </c>
      <c r="R31" s="774" t="s">
        <v>17</v>
      </c>
      <c r="S31" s="775">
        <f t="shared" si="12"/>
        <v>100</v>
      </c>
      <c r="T31" s="774" t="s">
        <v>17</v>
      </c>
      <c r="U31" s="775">
        <f t="shared" si="13"/>
        <v>100</v>
      </c>
      <c r="V31" s="774" t="s">
        <v>17</v>
      </c>
      <c r="W31" s="775">
        <f t="shared" si="14"/>
        <v>100</v>
      </c>
      <c r="X31" s="1809"/>
      <c r="Y31" s="3326"/>
      <c r="Z31" s="1810">
        <f t="shared" si="15"/>
        <v>111</v>
      </c>
      <c r="AA31" s="1807">
        <f t="shared" si="3"/>
        <v>1</v>
      </c>
      <c r="AB31" s="1807">
        <f t="shared" si="4"/>
        <v>1</v>
      </c>
      <c r="AC31" s="2665">
        <f t="shared" si="5"/>
        <v>1</v>
      </c>
    </row>
    <row r="32" spans="1:29" ht="15.6" thickBot="1">
      <c r="A32" s="436"/>
      <c r="B32" s="635">
        <v>111</v>
      </c>
      <c r="C32" s="2608"/>
      <c r="D32" s="438">
        <v>100</v>
      </c>
      <c r="E32" s="628"/>
      <c r="F32" s="438">
        <f>SUMIF(99:99,E32,100:100)-SUMIF(99:99,C32,100:100)+100</f>
        <v>100</v>
      </c>
      <c r="G32" s="2663"/>
      <c r="H32" s="438">
        <f>SUMIF(99:99,G32,100:100)-SUMIF(99:99,C32,100:100)+100</f>
        <v>100</v>
      </c>
      <c r="I32" s="432"/>
      <c r="J32" s="438">
        <f>SUMIF(99:99,I32,100:100)-SUMIF(99:99,C32,100:100)+100</f>
        <v>100</v>
      </c>
      <c r="K32" s="613"/>
      <c r="L32" s="1137"/>
      <c r="M32" s="1128"/>
      <c r="N32" s="1128"/>
      <c r="O32" s="1128"/>
      <c r="P32" s="3372"/>
      <c r="Q32" s="1806">
        <f t="shared" si="11"/>
        <v>111</v>
      </c>
      <c r="R32" s="774" t="s">
        <v>17</v>
      </c>
      <c r="S32" s="775">
        <f t="shared" si="12"/>
        <v>100</v>
      </c>
      <c r="T32" s="774" t="s">
        <v>17</v>
      </c>
      <c r="U32" s="775">
        <f t="shared" si="13"/>
        <v>100</v>
      </c>
      <c r="V32" s="774" t="s">
        <v>17</v>
      </c>
      <c r="W32" s="775">
        <f t="shared" si="14"/>
        <v>100</v>
      </c>
      <c r="X32" s="1809"/>
      <c r="Y32" s="3326"/>
      <c r="Z32" s="1810">
        <f t="shared" si="15"/>
        <v>111</v>
      </c>
      <c r="AA32" s="1807">
        <f t="shared" si="3"/>
        <v>1</v>
      </c>
      <c r="AB32" s="1807">
        <f t="shared" si="4"/>
        <v>1</v>
      </c>
      <c r="AC32" s="2665">
        <f t="shared" si="5"/>
        <v>1</v>
      </c>
    </row>
    <row r="33" spans="1:29" ht="15">
      <c r="A33" s="440" t="s">
        <v>2559</v>
      </c>
      <c r="B33" s="71" t="s">
        <v>2689</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7"/>
      <c r="M33" s="1128"/>
      <c r="N33" s="1128"/>
      <c r="O33" s="1128"/>
      <c r="P33" s="3367" t="s">
        <v>2561</v>
      </c>
      <c r="Q33" s="1806" t="str">
        <f t="shared" si="11"/>
        <v>建筑类型</v>
      </c>
      <c r="R33" s="774" t="s">
        <v>17</v>
      </c>
      <c r="S33" s="775">
        <f t="shared" si="12"/>
        <v>100</v>
      </c>
      <c r="T33" s="774" t="s">
        <v>17</v>
      </c>
      <c r="U33" s="775">
        <f t="shared" si="13"/>
        <v>100</v>
      </c>
      <c r="V33" s="774" t="s">
        <v>17</v>
      </c>
      <c r="W33" s="775">
        <f t="shared" si="14"/>
        <v>100</v>
      </c>
      <c r="X33" s="1809"/>
      <c r="Y33" s="3328" t="s">
        <v>2561</v>
      </c>
      <c r="Z33" s="1810" t="str">
        <f t="shared" si="15"/>
        <v>建筑类型</v>
      </c>
      <c r="AA33" s="1807">
        <f t="shared" si="3"/>
        <v>1</v>
      </c>
      <c r="AB33" s="1807">
        <f t="shared" si="4"/>
        <v>1</v>
      </c>
      <c r="AC33" s="266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68"/>
      <c r="Q34" s="776" t="str">
        <f t="shared" si="11"/>
        <v>项目建筑规模</v>
      </c>
      <c r="R34" s="777" t="s">
        <v>17</v>
      </c>
      <c r="S34" s="778" t="e">
        <f t="shared" si="12"/>
        <v>#N/A</v>
      </c>
      <c r="T34" s="777" t="s">
        <v>17</v>
      </c>
      <c r="U34" s="778" t="e">
        <f t="shared" si="13"/>
        <v>#N/A</v>
      </c>
      <c r="V34" s="777" t="s">
        <v>17</v>
      </c>
      <c r="W34" s="778" t="e">
        <f t="shared" si="14"/>
        <v>#N/A</v>
      </c>
      <c r="X34" s="779"/>
      <c r="Y34" s="3328"/>
      <c r="Z34" s="780" t="str">
        <f t="shared" si="15"/>
        <v>项目建筑规模</v>
      </c>
      <c r="AA34" s="1807" t="e">
        <f t="shared" si="3"/>
        <v>#N/A</v>
      </c>
      <c r="AB34" s="1807" t="e">
        <f t="shared" si="4"/>
        <v>#N/A</v>
      </c>
      <c r="AC34" s="266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68"/>
      <c r="Q35" s="1806" t="str">
        <f t="shared" si="11"/>
        <v>建筑结构</v>
      </c>
      <c r="R35" s="774" t="s">
        <v>17</v>
      </c>
      <c r="S35" s="775">
        <f t="shared" si="12"/>
        <v>100</v>
      </c>
      <c r="T35" s="774" t="s">
        <v>17</v>
      </c>
      <c r="U35" s="775">
        <f t="shared" si="13"/>
        <v>100</v>
      </c>
      <c r="V35" s="774" t="s">
        <v>17</v>
      </c>
      <c r="W35" s="775">
        <f t="shared" si="14"/>
        <v>100</v>
      </c>
      <c r="X35" s="1809"/>
      <c r="Y35" s="3328"/>
      <c r="Z35" s="1810" t="str">
        <f t="shared" si="15"/>
        <v>建筑结构</v>
      </c>
      <c r="AA35" s="1807">
        <f t="shared" si="3"/>
        <v>1</v>
      </c>
      <c r="AB35" s="1807">
        <f t="shared" si="4"/>
        <v>1</v>
      </c>
      <c r="AC35" s="266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68"/>
      <c r="Q36" s="1806" t="str">
        <f t="shared" si="11"/>
        <v>公共部分装修</v>
      </c>
      <c r="R36" s="774" t="s">
        <v>17</v>
      </c>
      <c r="S36" s="775">
        <f t="shared" si="12"/>
        <v>100</v>
      </c>
      <c r="T36" s="774" t="s">
        <v>17</v>
      </c>
      <c r="U36" s="775">
        <f t="shared" si="13"/>
        <v>100</v>
      </c>
      <c r="V36" s="774" t="s">
        <v>17</v>
      </c>
      <c r="W36" s="775">
        <f t="shared" si="14"/>
        <v>100</v>
      </c>
      <c r="X36" s="1809"/>
      <c r="Y36" s="3328"/>
      <c r="Z36" s="1810" t="str">
        <f t="shared" si="15"/>
        <v>公共部分装修</v>
      </c>
      <c r="AA36" s="1807">
        <f t="shared" si="3"/>
        <v>1</v>
      </c>
      <c r="AB36" s="1807">
        <f t="shared" si="4"/>
        <v>1</v>
      </c>
      <c r="AC36" s="266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68"/>
      <c r="Q37" s="1806" t="str">
        <f t="shared" si="11"/>
        <v>成新度</v>
      </c>
      <c r="R37" s="774" t="s">
        <v>17</v>
      </c>
      <c r="S37" s="775" t="e">
        <f t="shared" si="12"/>
        <v>#N/A</v>
      </c>
      <c r="T37" s="774" t="s">
        <v>17</v>
      </c>
      <c r="U37" s="775" t="e">
        <f t="shared" si="13"/>
        <v>#N/A</v>
      </c>
      <c r="V37" s="774" t="s">
        <v>17</v>
      </c>
      <c r="W37" s="775" t="e">
        <f t="shared" si="14"/>
        <v>#N/A</v>
      </c>
      <c r="X37" s="1809"/>
      <c r="Y37" s="3328"/>
      <c r="Z37" s="1810" t="str">
        <f t="shared" si="15"/>
        <v>成新度</v>
      </c>
      <c r="AA37" s="1807" t="e">
        <f t="shared" si="3"/>
        <v>#N/A</v>
      </c>
      <c r="AB37" s="1807" t="e">
        <f t="shared" si="4"/>
        <v>#N/A</v>
      </c>
      <c r="AC37" s="266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68"/>
      <c r="Q38" s="1791" t="str">
        <f t="shared" si="11"/>
        <v>写字楼等级</v>
      </c>
      <c r="R38" s="770" t="s">
        <v>17</v>
      </c>
      <c r="S38" s="771">
        <f t="shared" si="12"/>
        <v>100</v>
      </c>
      <c r="T38" s="770" t="s">
        <v>17</v>
      </c>
      <c r="U38" s="771">
        <f t="shared" si="13"/>
        <v>100</v>
      </c>
      <c r="V38" s="770" t="s">
        <v>17</v>
      </c>
      <c r="W38" s="771">
        <f t="shared" si="14"/>
        <v>100</v>
      </c>
      <c r="X38" s="772"/>
      <c r="Y38" s="3328"/>
      <c r="Z38" s="55" t="str">
        <f t="shared" si="15"/>
        <v>写字楼等级</v>
      </c>
      <c r="AA38" s="773">
        <f t="shared" si="3"/>
        <v>1</v>
      </c>
      <c r="AB38" s="773">
        <f t="shared" si="4"/>
        <v>1</v>
      </c>
      <c r="AC38" s="266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68" t="s">
        <v>2561</v>
      </c>
      <c r="Q39" s="1806" t="str">
        <f t="shared" si="11"/>
        <v>物业管理</v>
      </c>
      <c r="R39" s="774" t="s">
        <v>17</v>
      </c>
      <c r="S39" s="775">
        <f t="shared" si="12"/>
        <v>100</v>
      </c>
      <c r="T39" s="774" t="s">
        <v>17</v>
      </c>
      <c r="U39" s="775">
        <f t="shared" si="13"/>
        <v>100</v>
      </c>
      <c r="V39" s="774" t="s">
        <v>17</v>
      </c>
      <c r="W39" s="775">
        <f t="shared" si="14"/>
        <v>100</v>
      </c>
      <c r="X39" s="1809"/>
      <c r="Y39" s="3328" t="s">
        <v>2561</v>
      </c>
      <c r="Z39" s="1810" t="str">
        <f t="shared" si="15"/>
        <v>物业管理</v>
      </c>
      <c r="AA39" s="1807">
        <f t="shared" si="3"/>
        <v>1</v>
      </c>
      <c r="AB39" s="1807">
        <f t="shared" si="4"/>
        <v>1</v>
      </c>
      <c r="AC39" s="266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68"/>
      <c r="Q40" s="1806" t="str">
        <f t="shared" si="11"/>
        <v>市政基础设施</v>
      </c>
      <c r="R40" s="774" t="s">
        <v>17</v>
      </c>
      <c r="S40" s="775">
        <f t="shared" si="12"/>
        <v>100</v>
      </c>
      <c r="T40" s="774" t="s">
        <v>17</v>
      </c>
      <c r="U40" s="775">
        <f t="shared" si="13"/>
        <v>100</v>
      </c>
      <c r="V40" s="774" t="s">
        <v>17</v>
      </c>
      <c r="W40" s="775">
        <f t="shared" si="14"/>
        <v>100</v>
      </c>
      <c r="X40" s="1809"/>
      <c r="Y40" s="3328"/>
      <c r="Z40" s="1810" t="str">
        <f t="shared" si="15"/>
        <v>市政基础设施</v>
      </c>
      <c r="AA40" s="1807">
        <f t="shared" si="3"/>
        <v>1</v>
      </c>
      <c r="AB40" s="1807">
        <f t="shared" si="4"/>
        <v>1</v>
      </c>
      <c r="AC40" s="266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68"/>
      <c r="Q41" s="1806" t="str">
        <f t="shared" si="11"/>
        <v>层高</v>
      </c>
      <c r="R41" s="774" t="s">
        <v>17</v>
      </c>
      <c r="S41" s="775">
        <f t="shared" si="12"/>
        <v>100</v>
      </c>
      <c r="T41" s="774" t="s">
        <v>17</v>
      </c>
      <c r="U41" s="775">
        <f t="shared" si="13"/>
        <v>100</v>
      </c>
      <c r="V41" s="774" t="s">
        <v>17</v>
      </c>
      <c r="W41" s="775">
        <f t="shared" si="14"/>
        <v>100</v>
      </c>
      <c r="X41" s="1809"/>
      <c r="Y41" s="3328"/>
      <c r="Z41" s="1810" t="str">
        <f t="shared" si="15"/>
        <v>层高</v>
      </c>
      <c r="AA41" s="1807">
        <f t="shared" si="3"/>
        <v>1</v>
      </c>
      <c r="AB41" s="1807">
        <f t="shared" si="4"/>
        <v>1</v>
      </c>
      <c r="AC41" s="2665">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68"/>
      <c r="Q42" s="776" t="str">
        <f t="shared" si="11"/>
        <v>单套建筑面积</v>
      </c>
      <c r="R42" s="777" t="s">
        <v>17</v>
      </c>
      <c r="S42" s="778">
        <f t="shared" si="12"/>
        <v>100</v>
      </c>
      <c r="T42" s="777" t="s">
        <v>17</v>
      </c>
      <c r="U42" s="778">
        <f t="shared" si="13"/>
        <v>100</v>
      </c>
      <c r="V42" s="777" t="s">
        <v>17</v>
      </c>
      <c r="W42" s="778">
        <f t="shared" si="14"/>
        <v>100</v>
      </c>
      <c r="X42" s="779"/>
      <c r="Y42" s="3328"/>
      <c r="Z42" s="780" t="str">
        <f t="shared" si="15"/>
        <v>单套建筑面积</v>
      </c>
      <c r="AA42" s="1807">
        <f t="shared" si="3"/>
        <v>1</v>
      </c>
      <c r="AB42" s="1807">
        <f t="shared" si="4"/>
        <v>1</v>
      </c>
      <c r="AC42" s="266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68"/>
      <c r="Q43" s="1806" t="str">
        <f t="shared" si="11"/>
        <v>内部装修</v>
      </c>
      <c r="R43" s="774" t="s">
        <v>17</v>
      </c>
      <c r="S43" s="775">
        <f t="shared" si="12"/>
        <v>100</v>
      </c>
      <c r="T43" s="774" t="s">
        <v>17</v>
      </c>
      <c r="U43" s="775">
        <f t="shared" si="13"/>
        <v>100</v>
      </c>
      <c r="V43" s="774" t="s">
        <v>17</v>
      </c>
      <c r="W43" s="775">
        <f t="shared" si="14"/>
        <v>100</v>
      </c>
      <c r="X43" s="1809"/>
      <c r="Y43" s="3328"/>
      <c r="Z43" s="1810" t="str">
        <f t="shared" si="15"/>
        <v>内部装修</v>
      </c>
      <c r="AA43" s="1807">
        <f t="shared" si="3"/>
        <v>1</v>
      </c>
      <c r="AB43" s="1807">
        <f t="shared" si="4"/>
        <v>1</v>
      </c>
      <c r="AC43" s="2665">
        <f t="shared" si="5"/>
        <v>1</v>
      </c>
    </row>
    <row r="44" spans="1:29" ht="28.8">
      <c r="A44" s="472"/>
      <c r="B44" s="422" t="s">
        <v>2572</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7"/>
      <c r="M44" s="1128"/>
      <c r="N44" s="1128"/>
      <c r="O44" s="1128"/>
      <c r="P44" s="3368"/>
      <c r="Q44" s="1806" t="str">
        <f t="shared" si="11"/>
        <v>内部装修维护情况</v>
      </c>
      <c r="R44" s="774" t="s">
        <v>17</v>
      </c>
      <c r="S44" s="775">
        <f t="shared" si="12"/>
        <v>100</v>
      </c>
      <c r="T44" s="774" t="s">
        <v>17</v>
      </c>
      <c r="U44" s="775">
        <f t="shared" si="13"/>
        <v>100</v>
      </c>
      <c r="V44" s="774" t="s">
        <v>17</v>
      </c>
      <c r="W44" s="775">
        <f t="shared" si="14"/>
        <v>100</v>
      </c>
      <c r="X44" s="1809"/>
      <c r="Y44" s="3328"/>
      <c r="Z44" s="1810" t="str">
        <f t="shared" si="15"/>
        <v>内部装修维护情况</v>
      </c>
      <c r="AA44" s="1807">
        <f t="shared" si="3"/>
        <v>1</v>
      </c>
      <c r="AB44" s="1807">
        <f t="shared" si="4"/>
        <v>1</v>
      </c>
      <c r="AC44" s="2665">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68"/>
      <c r="Q45" s="1791">
        <f t="shared" si="11"/>
        <v>111</v>
      </c>
      <c r="R45" s="770" t="s">
        <v>17</v>
      </c>
      <c r="S45" s="771">
        <f t="shared" si="12"/>
        <v>100</v>
      </c>
      <c r="T45" s="770" t="s">
        <v>17</v>
      </c>
      <c r="U45" s="771">
        <f t="shared" si="13"/>
        <v>100</v>
      </c>
      <c r="V45" s="770" t="s">
        <v>17</v>
      </c>
      <c r="W45" s="771">
        <f t="shared" si="14"/>
        <v>100</v>
      </c>
      <c r="X45" s="772"/>
      <c r="Y45" s="3328"/>
      <c r="Z45" s="55">
        <f t="shared" si="15"/>
        <v>111</v>
      </c>
      <c r="AA45" s="773">
        <f t="shared" si="3"/>
        <v>1</v>
      </c>
      <c r="AB45" s="773">
        <f t="shared" si="4"/>
        <v>1</v>
      </c>
      <c r="AC45" s="2662">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68"/>
      <c r="Q46" s="1806">
        <f t="shared" si="11"/>
        <v>111</v>
      </c>
      <c r="R46" s="774" t="s">
        <v>17</v>
      </c>
      <c r="S46" s="775">
        <f t="shared" si="12"/>
        <v>100</v>
      </c>
      <c r="T46" s="774" t="s">
        <v>17</v>
      </c>
      <c r="U46" s="775">
        <f t="shared" si="13"/>
        <v>100</v>
      </c>
      <c r="V46" s="774" t="s">
        <v>17</v>
      </c>
      <c r="W46" s="775">
        <f t="shared" si="14"/>
        <v>100</v>
      </c>
      <c r="X46" s="1809"/>
      <c r="Y46" s="3328"/>
      <c r="Z46" s="1810">
        <f t="shared" si="15"/>
        <v>111</v>
      </c>
      <c r="AA46" s="1807">
        <f t="shared" si="3"/>
        <v>1</v>
      </c>
      <c r="AB46" s="1807">
        <f t="shared" si="4"/>
        <v>1</v>
      </c>
      <c r="AC46" s="2665">
        <f t="shared" si="5"/>
        <v>1</v>
      </c>
    </row>
    <row r="47" spans="1:29" ht="15.6"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69"/>
      <c r="Q47" s="1806">
        <f t="shared" si="11"/>
        <v>111</v>
      </c>
      <c r="R47" s="774" t="s">
        <v>17</v>
      </c>
      <c r="S47" s="775">
        <f t="shared" si="12"/>
        <v>100</v>
      </c>
      <c r="T47" s="774" t="s">
        <v>17</v>
      </c>
      <c r="U47" s="775">
        <f t="shared" si="13"/>
        <v>100</v>
      </c>
      <c r="V47" s="774" t="s">
        <v>17</v>
      </c>
      <c r="W47" s="775">
        <f t="shared" si="14"/>
        <v>100</v>
      </c>
      <c r="X47" s="1809"/>
      <c r="Y47" s="3370"/>
      <c r="Z47" s="1810">
        <f t="shared" si="15"/>
        <v>111</v>
      </c>
      <c r="AA47" s="1807">
        <f t="shared" si="3"/>
        <v>1</v>
      </c>
      <c r="AB47" s="1807">
        <f t="shared" si="4"/>
        <v>1</v>
      </c>
      <c r="AC47" s="2665">
        <f t="shared" si="5"/>
        <v>1</v>
      </c>
    </row>
    <row r="48" spans="1:29" ht="14.4">
      <c r="A48" s="479" t="s">
        <v>2573</v>
      </c>
      <c r="B48" s="480"/>
      <c r="C48" s="1404" t="s">
        <v>1</v>
      </c>
      <c r="D48" s="1405"/>
      <c r="E48" s="1406"/>
      <c r="F48" s="1407"/>
      <c r="G48" s="1408"/>
      <c r="H48" s="1409"/>
      <c r="I48" s="1406"/>
      <c r="J48" s="485"/>
      <c r="K48" s="783"/>
      <c r="L48" s="1140"/>
      <c r="M48" s="1128"/>
      <c r="N48" s="1128"/>
      <c r="O48" s="1128"/>
      <c r="P48" s="3334" t="str">
        <f>A48</f>
        <v>成交单价（元/平方米）</v>
      </c>
      <c r="Q48" s="3310"/>
      <c r="R48" s="3366">
        <f>E48</f>
        <v>0</v>
      </c>
      <c r="S48" s="3366"/>
      <c r="T48" s="3366">
        <f>G48</f>
        <v>0</v>
      </c>
      <c r="U48" s="3366"/>
      <c r="V48" s="3366">
        <f>I48</f>
        <v>0</v>
      </c>
      <c r="W48" s="3366"/>
      <c r="X48" s="446"/>
      <c r="Y48" s="781"/>
      <c r="Z48" s="446"/>
      <c r="AA48" s="446"/>
      <c r="AB48" s="446"/>
      <c r="AC48" s="630"/>
    </row>
    <row r="49" spans="1:29" ht="1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334" t="str">
        <f>A49</f>
        <v>比较价值（元/平方米）</v>
      </c>
      <c r="Q49" s="3310"/>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446"/>
      <c r="Y49" s="446"/>
      <c r="Z49" s="446"/>
      <c r="AA49" s="446"/>
      <c r="AB49" s="446"/>
      <c r="AC49" s="630"/>
    </row>
    <row r="50" spans="1:29" ht="15" thickBot="1">
      <c r="A50" s="492" t="s">
        <v>2666</v>
      </c>
      <c r="B50" s="493"/>
      <c r="C50" s="1414" t="e">
        <f>R50</f>
        <v>#DIV/0!</v>
      </c>
      <c r="D50" s="1414"/>
      <c r="E50" s="1414"/>
      <c r="F50" s="1414"/>
      <c r="G50" s="1414"/>
      <c r="H50" s="1414"/>
      <c r="I50" s="1414"/>
      <c r="J50" s="494"/>
      <c r="K50" s="785"/>
      <c r="L50" s="1140"/>
      <c r="M50" s="1128"/>
      <c r="N50" s="1128"/>
      <c r="O50" s="1128"/>
      <c r="P50" s="3385" t="str">
        <f>A50</f>
        <v>估价对象XX用房的比较价值（楼面单价，元/平方米）</v>
      </c>
      <c r="Q50" s="3386"/>
      <c r="R50" s="3387" t="e">
        <f>IF(F1="售价",ROUND(AVERAGE(R49:V49),0),ROUND(AVERAGE(R49:V49),1))</f>
        <v>#DIV/0!</v>
      </c>
      <c r="S50" s="3387"/>
      <c r="T50" s="3387"/>
      <c r="U50" s="3387"/>
      <c r="V50" s="3387"/>
      <c r="W50" s="3387"/>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1"/>
    </row>
    <row r="56" spans="1:29" s="502"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2.2" thickBot="1">
      <c r="A58" s="763" t="s">
        <v>2670</v>
      </c>
      <c r="B58" s="759"/>
      <c r="C58" s="764"/>
      <c r="D58" s="764"/>
      <c r="E58" s="764"/>
      <c r="F58" s="765"/>
      <c r="G58" s="765"/>
      <c r="H58" s="764"/>
      <c r="I58" s="764"/>
      <c r="J58" s="764"/>
      <c r="K58" s="766"/>
      <c r="L58" s="1158"/>
      <c r="M58" s="1156"/>
      <c r="N58" s="1156"/>
      <c r="O58" s="1156"/>
      <c r="P58" s="2672"/>
      <c r="Q58" s="504"/>
    </row>
    <row r="59" spans="1:29" s="508" customFormat="1" ht="14.4">
      <c r="A59" s="505" t="s">
        <v>2544</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c r="A60" s="509"/>
      <c r="B60" s="510"/>
      <c r="C60" s="1569">
        <v>100</v>
      </c>
      <c r="D60" s="512"/>
      <c r="E60" s="512"/>
      <c r="F60" s="512"/>
      <c r="G60" s="512"/>
      <c r="H60" s="512"/>
      <c r="I60" s="512"/>
      <c r="J60" s="512"/>
      <c r="K60" s="512"/>
      <c r="L60" s="512"/>
      <c r="M60" s="513"/>
      <c r="N60" s="512"/>
      <c r="O60" s="513"/>
      <c r="P60" s="2673"/>
    </row>
    <row r="61" spans="1:29" s="117" customFormat="1" ht="15" thickBot="1">
      <c r="A61" s="515" t="s">
        <v>2581</v>
      </c>
      <c r="B61" s="516"/>
      <c r="C61" s="517"/>
      <c r="D61" s="518"/>
      <c r="E61" s="518"/>
      <c r="F61" s="518"/>
      <c r="G61" s="518"/>
      <c r="H61" s="518"/>
      <c r="I61" s="518"/>
      <c r="J61" s="518"/>
      <c r="K61" s="518"/>
      <c r="L61" s="518"/>
      <c r="M61" s="519"/>
      <c r="N61" s="518"/>
      <c r="O61" s="519"/>
      <c r="P61" s="2673"/>
      <c r="Q61" s="504"/>
    </row>
    <row r="62" spans="1:29" s="117" customFormat="1" ht="14.4">
      <c r="A62" s="521" t="s">
        <v>2546</v>
      </c>
      <c r="B62" s="510"/>
      <c r="C62" s="522" t="s">
        <v>2648</v>
      </c>
      <c r="D62" s="523"/>
      <c r="E62" s="523"/>
      <c r="F62" s="523"/>
      <c r="G62" s="523"/>
      <c r="H62" s="523"/>
      <c r="I62" s="523"/>
      <c r="J62" s="523"/>
      <c r="K62" s="523"/>
      <c r="L62" s="524"/>
      <c r="M62" s="525"/>
      <c r="N62" s="1148"/>
      <c r="O62" s="1148"/>
      <c r="P62" s="2674"/>
      <c r="Q62" s="504"/>
    </row>
    <row r="63" spans="1:29" s="117" customFormat="1" ht="14.4" thickBot="1">
      <c r="A63" s="521"/>
      <c r="B63" s="510"/>
      <c r="C63" s="511">
        <v>100</v>
      </c>
      <c r="D63" s="512"/>
      <c r="E63" s="512"/>
      <c r="F63" s="512"/>
      <c r="G63" s="512"/>
      <c r="H63" s="512"/>
      <c r="I63" s="512"/>
      <c r="J63" s="512"/>
      <c r="K63" s="512"/>
      <c r="L63" s="512"/>
      <c r="M63" s="514"/>
      <c r="N63" s="1148"/>
      <c r="O63" s="1148"/>
      <c r="P63" s="2673"/>
      <c r="Q63" s="504"/>
    </row>
    <row r="64" spans="1:29" ht="14.4">
      <c r="A64" s="527" t="s">
        <v>2584</v>
      </c>
      <c r="B64" s="528" t="s">
        <v>2550</v>
      </c>
      <c r="C64" s="529">
        <f>C9</f>
        <v>0</v>
      </c>
      <c r="D64" s="530"/>
      <c r="E64" s="530"/>
      <c r="F64" s="530"/>
      <c r="G64" s="530"/>
      <c r="H64" s="530"/>
      <c r="I64" s="530"/>
      <c r="J64" s="530"/>
      <c r="K64" s="531"/>
      <c r="L64" s="532"/>
      <c r="M64" s="533"/>
      <c r="N64" s="1149"/>
      <c r="O64" s="1149"/>
      <c r="P64" s="2675"/>
      <c r="Q64" s="504"/>
    </row>
    <row r="65" spans="1:17" ht="14.4" thickBot="1">
      <c r="A65" s="534"/>
      <c r="B65" s="535"/>
      <c r="C65" s="536">
        <v>100</v>
      </c>
      <c r="D65" s="536"/>
      <c r="E65" s="536"/>
      <c r="F65" s="536"/>
      <c r="G65" s="536"/>
      <c r="H65" s="536"/>
      <c r="I65" s="536"/>
      <c r="J65" s="536"/>
      <c r="K65" s="536"/>
      <c r="L65" s="536"/>
      <c r="M65" s="537"/>
      <c r="N65" s="1150"/>
      <c r="O65" s="1150"/>
      <c r="P65" s="2675"/>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5"/>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5"/>
      <c r="Q68" s="504"/>
    </row>
    <row r="69" spans="1:17">
      <c r="A69" s="534"/>
      <c r="B69" s="548"/>
      <c r="C69" s="549"/>
      <c r="D69" s="549"/>
      <c r="E69" s="549"/>
      <c r="F69" s="549"/>
      <c r="G69" s="549"/>
      <c r="H69" s="549"/>
      <c r="I69" s="549"/>
      <c r="J69" s="549"/>
      <c r="K69" s="550"/>
      <c r="L69" s="551"/>
      <c r="M69" s="552"/>
      <c r="N69" s="1149"/>
      <c r="O69" s="1149"/>
      <c r="P69" s="267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5"/>
      <c r="Q70" s="504"/>
    </row>
    <row r="71" spans="1:17" s="471" customFormat="1" ht="14.4" thickTop="1">
      <c r="A71" s="553"/>
      <c r="B71" s="538">
        <f>B12</f>
        <v>111</v>
      </c>
      <c r="C71" s="554"/>
      <c r="D71" s="554"/>
      <c r="E71" s="554"/>
      <c r="F71" s="554"/>
      <c r="G71" s="554"/>
      <c r="H71" s="555"/>
      <c r="I71" s="555"/>
      <c r="J71" s="555"/>
      <c r="K71" s="555"/>
      <c r="L71" s="556"/>
      <c r="M71" s="557"/>
      <c r="N71" s="1151"/>
      <c r="O71" s="1151"/>
      <c r="P71" s="2676"/>
      <c r="Q71" s="559"/>
    </row>
    <row r="72" spans="1:17" s="471" customFormat="1" ht="14.4" thickBot="1">
      <c r="A72" s="553"/>
      <c r="B72" s="543"/>
      <c r="C72" s="560"/>
      <c r="D72" s="536"/>
      <c r="E72" s="536"/>
      <c r="F72" s="536"/>
      <c r="G72" s="536"/>
      <c r="H72" s="536"/>
      <c r="I72" s="536"/>
      <c r="J72" s="536"/>
      <c r="K72" s="536"/>
      <c r="L72" s="536"/>
      <c r="M72" s="537"/>
      <c r="N72" s="1150"/>
      <c r="O72" s="1150"/>
      <c r="P72" s="2676"/>
      <c r="Q72" s="559"/>
    </row>
    <row r="73" spans="1:17" s="471" customFormat="1" ht="14.4" thickTop="1">
      <c r="A73" s="553"/>
      <c r="B73" s="538">
        <f>B13</f>
        <v>111</v>
      </c>
      <c r="C73" s="554"/>
      <c r="D73" s="554"/>
      <c r="E73" s="554"/>
      <c r="F73" s="554"/>
      <c r="G73" s="554"/>
      <c r="H73" s="555"/>
      <c r="I73" s="555"/>
      <c r="J73" s="555"/>
      <c r="K73" s="555"/>
      <c r="L73" s="556"/>
      <c r="M73" s="557"/>
      <c r="N73" s="1151"/>
      <c r="O73" s="1151"/>
      <c r="P73" s="2677"/>
      <c r="Q73" s="561"/>
    </row>
    <row r="74" spans="1:17" s="471" customFormat="1" ht="14.4" thickBot="1">
      <c r="A74" s="553"/>
      <c r="B74" s="543"/>
      <c r="C74" s="560"/>
      <c r="D74" s="560"/>
      <c r="E74" s="560"/>
      <c r="F74" s="560"/>
      <c r="G74" s="560"/>
      <c r="H74" s="562"/>
      <c r="I74" s="562"/>
      <c r="J74" s="562"/>
      <c r="K74" s="562"/>
      <c r="L74" s="562"/>
      <c r="M74" s="563"/>
      <c r="N74" s="1151"/>
      <c r="O74" s="1151"/>
      <c r="P74" s="2676"/>
      <c r="Q74" s="559"/>
    </row>
    <row r="75" spans="1:17" s="471" customFormat="1" ht="14.4" thickTop="1">
      <c r="A75" s="553"/>
      <c r="B75" s="546">
        <f>B14</f>
        <v>111</v>
      </c>
      <c r="C75" s="523"/>
      <c r="D75" s="523"/>
      <c r="E75" s="523"/>
      <c r="F75" s="523"/>
      <c r="G75" s="523"/>
      <c r="H75" s="564"/>
      <c r="I75" s="564"/>
      <c r="J75" s="564"/>
      <c r="K75" s="564"/>
      <c r="L75" s="565"/>
      <c r="M75" s="566"/>
      <c r="N75" s="1151"/>
      <c r="O75" s="1151"/>
      <c r="P75" s="2678"/>
      <c r="Q75" s="559"/>
    </row>
    <row r="76" spans="1:17" s="471" customFormat="1" ht="14.4" thickBot="1">
      <c r="A76" s="568"/>
      <c r="B76" s="569"/>
      <c r="C76" s="570"/>
      <c r="D76" s="570"/>
      <c r="E76" s="570"/>
      <c r="F76" s="570"/>
      <c r="G76" s="570"/>
      <c r="H76" s="571"/>
      <c r="I76" s="571"/>
      <c r="J76" s="571"/>
      <c r="K76" s="571"/>
      <c r="L76" s="571"/>
      <c r="M76" s="572"/>
      <c r="N76" s="1151"/>
      <c r="O76" s="1151"/>
      <c r="P76" s="2676"/>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9"/>
      <c r="O77" s="1149"/>
      <c r="P77" s="267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5"/>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9"/>
      <c r="O79" s="1149"/>
      <c r="P79" s="267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5"/>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9"/>
      <c r="O81" s="1149"/>
      <c r="P81" s="267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5"/>
      <c r="Q82" s="504"/>
    </row>
    <row r="83" spans="1:17" ht="15" thickTop="1">
      <c r="A83" s="534"/>
      <c r="B83" s="546" t="s">
        <v>2685</v>
      </c>
      <c r="C83" s="660" t="s">
        <v>2671</v>
      </c>
      <c r="D83" s="660" t="s">
        <v>2672</v>
      </c>
      <c r="E83" s="660" t="s">
        <v>2673</v>
      </c>
      <c r="F83" s="660" t="s">
        <v>2674</v>
      </c>
      <c r="G83" s="660" t="s">
        <v>2675</v>
      </c>
      <c r="H83" s="539"/>
      <c r="I83" s="539"/>
      <c r="J83" s="539"/>
      <c r="K83" s="539"/>
      <c r="L83" s="539"/>
      <c r="M83" s="1379"/>
      <c r="N83" s="1150"/>
      <c r="O83" s="1150"/>
      <c r="P83" s="267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5"/>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9"/>
      <c r="O85" s="1149"/>
      <c r="P85" s="267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5"/>
      <c r="Q86" s="504"/>
    </row>
    <row r="87" spans="1:17" s="117" customFormat="1" ht="29.4" thickTop="1">
      <c r="A87" s="579"/>
      <c r="B87" s="538" t="s">
        <v>2695</v>
      </c>
      <c r="C87" s="554"/>
      <c r="D87" s="554"/>
      <c r="E87" s="554"/>
      <c r="F87" s="554"/>
      <c r="G87" s="554"/>
      <c r="H87" s="554"/>
      <c r="I87" s="554"/>
      <c r="J87" s="554"/>
      <c r="K87" s="554"/>
      <c r="L87" s="580"/>
      <c r="M87" s="581"/>
      <c r="N87" s="1148"/>
      <c r="O87" s="1148"/>
      <c r="P87" s="267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5"/>
      <c r="Q88" s="504"/>
    </row>
    <row r="89" spans="1:17" s="117" customFormat="1" ht="14.4" thickTop="1">
      <c r="A89" s="579"/>
      <c r="B89" s="538" t="str">
        <f>B27</f>
        <v>楼层</v>
      </c>
      <c r="C89" s="554"/>
      <c r="D89" s="554"/>
      <c r="E89" s="554"/>
      <c r="F89" s="2626"/>
      <c r="G89" s="554"/>
      <c r="H89" s="554"/>
      <c r="I89" s="554"/>
      <c r="J89" s="554"/>
      <c r="K89" s="554"/>
      <c r="L89" s="554"/>
      <c r="M89" s="581"/>
      <c r="N89" s="1148"/>
      <c r="O89" s="1148"/>
      <c r="P89" s="267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5"/>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6"/>
      <c r="Q92" s="559"/>
    </row>
    <row r="93" spans="1:17" ht="14.4" thickTop="1">
      <c r="A93" s="534"/>
      <c r="B93" s="538">
        <f>B29</f>
        <v>111</v>
      </c>
      <c r="C93" s="554"/>
      <c r="D93" s="554"/>
      <c r="E93" s="554"/>
      <c r="F93" s="554"/>
      <c r="G93" s="554"/>
      <c r="H93" s="554"/>
      <c r="I93" s="554"/>
      <c r="J93" s="554"/>
      <c r="K93" s="554"/>
      <c r="L93" s="580"/>
      <c r="M93" s="581"/>
      <c r="N93" s="1149"/>
      <c r="O93" s="1149"/>
      <c r="P93" s="2675"/>
      <c r="Q93" s="504"/>
    </row>
    <row r="94" spans="1:17" ht="14.4" thickBot="1">
      <c r="A94" s="534"/>
      <c r="B94" s="543"/>
      <c r="C94" s="560"/>
      <c r="D94" s="536"/>
      <c r="E94" s="536"/>
      <c r="F94" s="536"/>
      <c r="G94" s="536"/>
      <c r="H94" s="536"/>
      <c r="I94" s="536"/>
      <c r="J94" s="536"/>
      <c r="K94" s="536"/>
      <c r="L94" s="536"/>
      <c r="M94" s="537"/>
      <c r="N94" s="1150"/>
      <c r="O94" s="1150"/>
      <c r="P94" s="2675"/>
      <c r="Q94" s="504"/>
    </row>
    <row r="95" spans="1:17" ht="14.4" thickTop="1">
      <c r="A95" s="534"/>
      <c r="B95" s="538">
        <f>B30</f>
        <v>111</v>
      </c>
      <c r="C95" s="554"/>
      <c r="D95" s="554"/>
      <c r="E95" s="554"/>
      <c r="F95" s="554"/>
      <c r="G95" s="583"/>
      <c r="H95" s="583"/>
      <c r="I95" s="583"/>
      <c r="J95" s="583"/>
      <c r="K95" s="584"/>
      <c r="L95" s="585"/>
      <c r="M95" s="586"/>
      <c r="N95" s="1149"/>
      <c r="O95" s="1149"/>
      <c r="P95" s="2675"/>
      <c r="Q95" s="504"/>
    </row>
    <row r="96" spans="1:17" ht="14.4" thickBot="1">
      <c r="A96" s="534"/>
      <c r="B96" s="543"/>
      <c r="C96" s="560"/>
      <c r="D96" s="560"/>
      <c r="E96" s="560"/>
      <c r="F96" s="560"/>
      <c r="G96" s="536"/>
      <c r="H96" s="536"/>
      <c r="I96" s="536"/>
      <c r="J96" s="536"/>
      <c r="K96" s="536"/>
      <c r="L96" s="536"/>
      <c r="M96" s="537"/>
      <c r="N96" s="1150"/>
      <c r="O96" s="1150"/>
      <c r="P96" s="2675"/>
      <c r="Q96" s="504"/>
    </row>
    <row r="97" spans="1:17" ht="14.4" thickTop="1">
      <c r="A97" s="534"/>
      <c r="B97" s="538">
        <f>B31</f>
        <v>111</v>
      </c>
      <c r="C97" s="554"/>
      <c r="D97" s="554"/>
      <c r="E97" s="554"/>
      <c r="F97" s="554"/>
      <c r="G97" s="583"/>
      <c r="H97" s="583"/>
      <c r="I97" s="583"/>
      <c r="J97" s="583"/>
      <c r="K97" s="584"/>
      <c r="L97" s="585"/>
      <c r="M97" s="586"/>
      <c r="N97" s="1149"/>
      <c r="O97" s="1149"/>
      <c r="P97" s="2675"/>
      <c r="Q97" s="504"/>
    </row>
    <row r="98" spans="1:17" ht="14.4" thickBot="1">
      <c r="A98" s="534"/>
      <c r="B98" s="543"/>
      <c r="C98" s="560"/>
      <c r="D98" s="536"/>
      <c r="E98" s="536"/>
      <c r="F98" s="536"/>
      <c r="G98" s="536"/>
      <c r="H98" s="536"/>
      <c r="I98" s="536"/>
      <c r="J98" s="536"/>
      <c r="K98" s="536"/>
      <c r="L98" s="536"/>
      <c r="M98" s="537"/>
      <c r="N98" s="1150"/>
      <c r="O98" s="1150"/>
      <c r="P98" s="2675"/>
      <c r="Q98" s="504"/>
    </row>
    <row r="99" spans="1:17" ht="14.4" thickTop="1">
      <c r="A99" s="534"/>
      <c r="B99" s="546">
        <f>B32</f>
        <v>111</v>
      </c>
      <c r="C99" s="523"/>
      <c r="D99" s="523"/>
      <c r="E99" s="523"/>
      <c r="F99" s="523"/>
      <c r="G99" s="587"/>
      <c r="H99" s="587"/>
      <c r="I99" s="587"/>
      <c r="J99" s="587"/>
      <c r="K99" s="588"/>
      <c r="L99" s="589"/>
      <c r="M99" s="590"/>
      <c r="N99" s="1149"/>
      <c r="O99" s="1149"/>
      <c r="P99" s="2675"/>
      <c r="Q99" s="504"/>
    </row>
    <row r="100" spans="1:17" ht="14.4" thickBot="1">
      <c r="A100" s="2627"/>
      <c r="B100" s="569"/>
      <c r="C100" s="570"/>
      <c r="D100" s="570"/>
      <c r="E100" s="570"/>
      <c r="F100" s="570"/>
      <c r="G100" s="591"/>
      <c r="H100" s="591"/>
      <c r="I100" s="591"/>
      <c r="J100" s="591"/>
      <c r="K100" s="591"/>
      <c r="L100" s="591"/>
      <c r="M100" s="592"/>
      <c r="N100" s="1150"/>
      <c r="O100" s="1150"/>
      <c r="P100" s="2675"/>
      <c r="Q100" s="504"/>
    </row>
    <row r="101" spans="1:17" ht="14.4">
      <c r="A101" s="527" t="s">
        <v>2559</v>
      </c>
      <c r="B101" s="528" t="s">
        <v>2608</v>
      </c>
      <c r="C101" s="530"/>
      <c r="D101" s="530"/>
      <c r="E101" s="530"/>
      <c r="F101" s="530"/>
      <c r="G101" s="530"/>
      <c r="H101" s="530"/>
      <c r="I101" s="530"/>
      <c r="J101" s="530"/>
      <c r="K101" s="531"/>
      <c r="L101" s="532"/>
      <c r="M101" s="533"/>
      <c r="N101" s="1149"/>
      <c r="O101" s="1149"/>
      <c r="P101" s="267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5"/>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5"/>
      <c r="Q103" s="504"/>
    </row>
    <row r="104" spans="1:17" s="471" customFormat="1">
      <c r="A104" s="593"/>
      <c r="B104" s="594"/>
      <c r="C104" s="595"/>
      <c r="D104" s="595"/>
      <c r="E104" s="595"/>
      <c r="F104" s="595"/>
      <c r="G104" s="595"/>
      <c r="H104" s="595"/>
      <c r="I104" s="595"/>
      <c r="J104" s="596"/>
      <c r="K104" s="596"/>
      <c r="L104" s="597"/>
      <c r="M104" s="598"/>
      <c r="N104" s="1151"/>
      <c r="O104" s="1151"/>
      <c r="P104" s="2676"/>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6"/>
      <c r="Q105" s="559"/>
    </row>
    <row r="106" spans="1:17" ht="15" thickTop="1">
      <c r="A106" s="599"/>
      <c r="B106" s="538" t="s">
        <v>2610</v>
      </c>
      <c r="C106" s="554"/>
      <c r="D106" s="554"/>
      <c r="E106" s="583"/>
      <c r="F106" s="583"/>
      <c r="G106" s="583"/>
      <c r="H106" s="583"/>
      <c r="I106" s="583"/>
      <c r="J106" s="583"/>
      <c r="K106" s="584"/>
      <c r="L106" s="585"/>
      <c r="M106" s="586"/>
      <c r="N106" s="1149"/>
      <c r="O106" s="1149"/>
      <c r="P106" s="267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5"/>
      <c r="Q107" s="504"/>
    </row>
    <row r="108" spans="1:17" ht="15" thickTop="1">
      <c r="A108" s="599"/>
      <c r="B108" s="538" t="s">
        <v>2612</v>
      </c>
      <c r="C108" s="554"/>
      <c r="D108" s="554"/>
      <c r="E108" s="554"/>
      <c r="F108" s="583"/>
      <c r="G108" s="583"/>
      <c r="H108" s="583"/>
      <c r="I108" s="583"/>
      <c r="J108" s="583"/>
      <c r="K108" s="584"/>
      <c r="L108" s="585"/>
      <c r="M108" s="586"/>
      <c r="N108" s="1149"/>
      <c r="O108" s="1149"/>
      <c r="P108" s="267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5"/>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5"/>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7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6"/>
      <c r="Q114" s="559"/>
    </row>
    <row r="115" spans="1:17" ht="15" thickTop="1">
      <c r="A115" s="599"/>
      <c r="B115" s="538" t="s">
        <v>2613</v>
      </c>
      <c r="C115" s="554"/>
      <c r="D115" s="554"/>
      <c r="E115" s="583"/>
      <c r="F115" s="583"/>
      <c r="G115" s="583"/>
      <c r="H115" s="583"/>
      <c r="I115" s="583"/>
      <c r="J115" s="583"/>
      <c r="K115" s="584"/>
      <c r="L115" s="585"/>
      <c r="M115" s="586"/>
      <c r="N115" s="1149"/>
      <c r="O115" s="1149"/>
      <c r="P115" s="267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5"/>
      <c r="Q116" s="504"/>
    </row>
    <row r="117" spans="1:17" ht="15" thickTop="1">
      <c r="A117" s="599"/>
      <c r="B117" s="538" t="s">
        <v>2614</v>
      </c>
      <c r="C117" s="554"/>
      <c r="D117" s="554"/>
      <c r="E117" s="554"/>
      <c r="F117" s="554"/>
      <c r="G117" s="554"/>
      <c r="H117" s="583"/>
      <c r="I117" s="583"/>
      <c r="J117" s="583"/>
      <c r="K117" s="584"/>
      <c r="L117" s="585"/>
      <c r="M117" s="586"/>
      <c r="N117" s="1149"/>
      <c r="O117" s="1149"/>
      <c r="P117" s="267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5"/>
      <c r="Q118" s="504"/>
    </row>
    <row r="119" spans="1:17" ht="15" thickTop="1">
      <c r="A119" s="599"/>
      <c r="B119" s="636" t="s">
        <v>2697</v>
      </c>
      <c r="C119" s="583"/>
      <c r="D119" s="583"/>
      <c r="E119" s="583"/>
      <c r="F119" s="583"/>
      <c r="G119" s="583"/>
      <c r="H119" s="583"/>
      <c r="I119" s="583"/>
      <c r="J119" s="583"/>
      <c r="K119" s="583"/>
      <c r="L119" s="2680"/>
      <c r="M119" s="2681"/>
      <c r="N119" s="1150"/>
      <c r="O119" s="1150"/>
      <c r="P119" s="268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5"/>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76"/>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6"/>
      <c r="Q122" s="559"/>
    </row>
    <row r="123" spans="1:17" ht="15" thickTop="1">
      <c r="A123" s="599"/>
      <c r="B123" s="538" t="s">
        <v>2616</v>
      </c>
      <c r="C123" s="554"/>
      <c r="D123" s="554"/>
      <c r="E123" s="554"/>
      <c r="F123" s="583"/>
      <c r="G123" s="583"/>
      <c r="H123" s="583"/>
      <c r="I123" s="583"/>
      <c r="J123" s="583"/>
      <c r="K123" s="584"/>
      <c r="L123" s="585"/>
      <c r="M123" s="586"/>
      <c r="N123" s="1149"/>
      <c r="O123" s="1149"/>
      <c r="P123" s="267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5"/>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7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5"/>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6"/>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6"/>
      <c r="Q128" s="559"/>
    </row>
    <row r="129" spans="1:17" ht="14.4" thickTop="1">
      <c r="A129" s="599"/>
      <c r="B129" s="538">
        <f>B46</f>
        <v>111</v>
      </c>
      <c r="C129" s="554"/>
      <c r="D129" s="554"/>
      <c r="E129" s="554"/>
      <c r="F129" s="554"/>
      <c r="G129" s="583"/>
      <c r="H129" s="583"/>
      <c r="I129" s="583"/>
      <c r="J129" s="583"/>
      <c r="K129" s="584"/>
      <c r="L129" s="585"/>
      <c r="M129" s="586"/>
      <c r="N129" s="1149"/>
      <c r="O129" s="1149"/>
      <c r="P129" s="2675"/>
      <c r="Q129" s="504"/>
    </row>
    <row r="130" spans="1:17" ht="14.4" thickBot="1">
      <c r="A130" s="534"/>
      <c r="B130" s="543"/>
      <c r="C130" s="560"/>
      <c r="D130" s="560"/>
      <c r="E130" s="560"/>
      <c r="F130" s="560"/>
      <c r="G130" s="536"/>
      <c r="H130" s="536"/>
      <c r="I130" s="536"/>
      <c r="J130" s="536"/>
      <c r="K130" s="536"/>
      <c r="L130" s="536"/>
      <c r="M130" s="537"/>
      <c r="N130" s="1150"/>
      <c r="O130" s="1150"/>
      <c r="P130" s="2675"/>
      <c r="Q130" s="504"/>
    </row>
    <row r="131" spans="1:17" ht="14.4" thickTop="1">
      <c r="A131" s="599"/>
      <c r="B131" s="546">
        <f>B47</f>
        <v>111</v>
      </c>
      <c r="C131" s="523"/>
      <c r="D131" s="523"/>
      <c r="E131" s="523"/>
      <c r="F131" s="523"/>
      <c r="G131" s="587"/>
      <c r="H131" s="587"/>
      <c r="I131" s="587"/>
      <c r="J131" s="587"/>
      <c r="K131" s="523"/>
      <c r="L131" s="524"/>
      <c r="M131" s="590"/>
      <c r="N131" s="1149"/>
      <c r="O131" s="1149"/>
      <c r="P131" s="2675"/>
      <c r="Q131" s="504"/>
    </row>
    <row r="132" spans="1:17" ht="14.4" thickBot="1">
      <c r="A132" s="2627"/>
      <c r="B132" s="569"/>
      <c r="C132" s="570"/>
      <c r="D132" s="570"/>
      <c r="E132" s="570"/>
      <c r="F132" s="570"/>
      <c r="G132" s="591"/>
      <c r="H132" s="591"/>
      <c r="I132" s="591"/>
      <c r="J132" s="591"/>
      <c r="K132" s="591"/>
      <c r="L132" s="591"/>
      <c r="M132" s="592"/>
      <c r="N132" s="1150"/>
      <c r="O132" s="1150"/>
      <c r="P132" s="267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2524</v>
      </c>
      <c r="B1" s="2660" t="s">
        <v>2698</v>
      </c>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5" t="e">
        <f ca="1">IF(C2="——",ROUND(C43*D3/10000,0),ROUND(C43*D3/10000,0)-D2)</f>
        <v>#DIV/0!</v>
      </c>
      <c r="C2" s="2579"/>
      <c r="D2" s="1121" t="e">
        <f ca="1">SUMIF(INDIRECT("'"&amp;F2&amp;"'"&amp;"!A:A"),"承租人权益价值",INDIRECT("'"&amp;F2&amp;"'"&amp;"!c:c"))</f>
        <v>#REF!</v>
      </c>
      <c r="E2" s="2580" t="s">
        <v>2327</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83517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311" t="s">
        <v>2642</v>
      </c>
      <c r="D4" s="3312"/>
      <c r="E4" s="3313" t="s">
        <v>2643</v>
      </c>
      <c r="F4" s="3314"/>
      <c r="G4" s="3311" t="s">
        <v>2644</v>
      </c>
      <c r="H4" s="3312"/>
      <c r="I4" s="3311" t="s">
        <v>2645</v>
      </c>
      <c r="J4" s="3312"/>
      <c r="K4" s="610" t="s">
        <v>2646</v>
      </c>
      <c r="L4" s="1127"/>
      <c r="M4" s="1128"/>
      <c r="N4" s="1128"/>
      <c r="O4" s="1128"/>
      <c r="P4" s="3315" t="s">
        <v>2647</v>
      </c>
      <c r="Q4" s="3316"/>
      <c r="R4" s="3298" t="s">
        <v>2643</v>
      </c>
      <c r="S4" s="3299"/>
      <c r="T4" s="3298" t="s">
        <v>2644</v>
      </c>
      <c r="U4" s="3299"/>
      <c r="V4" s="3323" t="s">
        <v>2645</v>
      </c>
      <c r="W4" s="3323"/>
      <c r="X4" s="1809"/>
      <c r="Y4" s="3298" t="s">
        <v>2647</v>
      </c>
      <c r="Z4" s="3299"/>
      <c r="AA4" s="3293" t="s">
        <v>2643</v>
      </c>
      <c r="AB4" s="3294" t="s">
        <v>2644</v>
      </c>
      <c r="AC4" s="3293" t="s">
        <v>2645</v>
      </c>
    </row>
    <row r="5" spans="1:29">
      <c r="A5" s="404"/>
      <c r="B5" s="405"/>
      <c r="C5" s="3304" t="s">
        <v>2538</v>
      </c>
      <c r="D5" s="3305"/>
      <c r="E5" s="3302" t="s">
        <v>2539</v>
      </c>
      <c r="F5" s="3303"/>
      <c r="G5" s="3304" t="s">
        <v>2540</v>
      </c>
      <c r="H5" s="3305"/>
      <c r="I5" s="3304" t="s">
        <v>2541</v>
      </c>
      <c r="J5" s="3305"/>
      <c r="K5" s="610"/>
      <c r="L5" s="1127"/>
      <c r="M5" s="1128"/>
      <c r="N5" s="1128"/>
      <c r="O5" s="1128"/>
      <c r="P5" s="3317"/>
      <c r="Q5" s="3318"/>
      <c r="R5" s="3300"/>
      <c r="S5" s="3301"/>
      <c r="T5" s="3300"/>
      <c r="U5" s="3301"/>
      <c r="V5" s="3323"/>
      <c r="W5" s="3323"/>
      <c r="X5" s="1809"/>
      <c r="Y5" s="3300"/>
      <c r="Z5" s="3301"/>
      <c r="AA5" s="3294"/>
      <c r="AB5" s="3294"/>
      <c r="AC5" s="3294"/>
    </row>
    <row r="6" spans="1:29" ht="15" thickBot="1">
      <c r="A6" s="406"/>
      <c r="B6" s="407"/>
      <c r="C6" s="3306" t="s">
        <v>2542</v>
      </c>
      <c r="D6" s="3307"/>
      <c r="E6" s="3308" t="s">
        <v>2542</v>
      </c>
      <c r="F6" s="3309"/>
      <c r="G6" s="3306" t="s">
        <v>2542</v>
      </c>
      <c r="H6" s="3307"/>
      <c r="I6" s="3306" t="s">
        <v>2542</v>
      </c>
      <c r="J6" s="3307"/>
      <c r="K6" s="610" t="s">
        <v>2543</v>
      </c>
      <c r="L6" s="1127"/>
      <c r="M6" s="1128"/>
      <c r="N6" s="1128"/>
      <c r="O6" s="1128"/>
      <c r="P6" s="3319"/>
      <c r="Q6" s="3320"/>
      <c r="R6" s="3300"/>
      <c r="S6" s="3301"/>
      <c r="T6" s="3321"/>
      <c r="U6" s="3322"/>
      <c r="V6" s="3323"/>
      <c r="W6" s="3323"/>
      <c r="X6" s="1809"/>
      <c r="Y6" s="3321"/>
      <c r="Z6" s="3322"/>
      <c r="AA6" s="3295"/>
      <c r="AB6" s="3295"/>
      <c r="AC6" s="3295"/>
    </row>
    <row r="7" spans="1:29" s="117" customFormat="1" ht="15" thickBot="1">
      <c r="A7" s="408" t="s">
        <v>2544</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96" t="s">
        <v>2545</v>
      </c>
      <c r="Q7" s="3324"/>
      <c r="R7" s="770" t="s">
        <v>17</v>
      </c>
      <c r="S7" s="771">
        <f t="shared" ref="S7:S15" si="0">F7</f>
        <v>0</v>
      </c>
      <c r="T7" s="770" t="s">
        <v>17</v>
      </c>
      <c r="U7" s="771">
        <f t="shared" ref="U7:U15" si="1">H7</f>
        <v>0</v>
      </c>
      <c r="V7" s="770" t="s">
        <v>17</v>
      </c>
      <c r="W7" s="771">
        <f t="shared" ref="W7:W15" si="2">J7</f>
        <v>0</v>
      </c>
      <c r="X7" s="772"/>
      <c r="Y7" s="3296" t="s">
        <v>2545</v>
      </c>
      <c r="Z7" s="3297"/>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96" t="s">
        <v>2548</v>
      </c>
      <c r="Q8" s="3297"/>
      <c r="R8" s="770" t="s">
        <v>17</v>
      </c>
      <c r="S8" s="771">
        <f t="shared" si="0"/>
        <v>0</v>
      </c>
      <c r="T8" s="770" t="s">
        <v>17</v>
      </c>
      <c r="U8" s="771">
        <f t="shared" si="1"/>
        <v>0</v>
      </c>
      <c r="V8" s="770" t="s">
        <v>17</v>
      </c>
      <c r="W8" s="771">
        <f t="shared" si="2"/>
        <v>0</v>
      </c>
      <c r="X8" s="772"/>
      <c r="Y8" s="3296" t="s">
        <v>2548</v>
      </c>
      <c r="Z8" s="3297"/>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10" t="s">
        <v>2551</v>
      </c>
      <c r="Q9" s="1791" t="str">
        <f t="shared" ref="Q9:Q15" si="6">B9</f>
        <v>用途</v>
      </c>
      <c r="R9" s="770" t="s">
        <v>17</v>
      </c>
      <c r="S9" s="771">
        <f t="shared" si="0"/>
        <v>100</v>
      </c>
      <c r="T9" s="770" t="s">
        <v>17</v>
      </c>
      <c r="U9" s="771">
        <f t="shared" si="1"/>
        <v>100</v>
      </c>
      <c r="V9" s="770" t="s">
        <v>17</v>
      </c>
      <c r="W9" s="771">
        <f t="shared" si="2"/>
        <v>100</v>
      </c>
      <c r="X9" s="772"/>
      <c r="Y9" s="3157"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10"/>
      <c r="Q10" s="1791" t="str">
        <f t="shared" si="6"/>
        <v>土地使用年限（年）</v>
      </c>
      <c r="R10" s="770" t="s">
        <v>17</v>
      </c>
      <c r="S10" s="771">
        <f t="shared" si="0"/>
        <v>100</v>
      </c>
      <c r="T10" s="770" t="s">
        <v>17</v>
      </c>
      <c r="U10" s="771">
        <f t="shared" si="1"/>
        <v>100</v>
      </c>
      <c r="V10" s="770" t="s">
        <v>17</v>
      </c>
      <c r="W10" s="771">
        <f t="shared" si="2"/>
        <v>100</v>
      </c>
      <c r="X10" s="772"/>
      <c r="Y10" s="3157"/>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10"/>
      <c r="Q11" s="1791" t="str">
        <f t="shared" si="6"/>
        <v>容积率</v>
      </c>
      <c r="R11" s="770" t="s">
        <v>17</v>
      </c>
      <c r="S11" s="771" t="e">
        <f t="shared" si="0"/>
        <v>#N/A</v>
      </c>
      <c r="T11" s="770" t="s">
        <v>17</v>
      </c>
      <c r="U11" s="771" t="e">
        <f t="shared" si="1"/>
        <v>#N/A</v>
      </c>
      <c r="V11" s="770" t="s">
        <v>17</v>
      </c>
      <c r="W11" s="771" t="e">
        <f t="shared" si="2"/>
        <v>#N/A</v>
      </c>
      <c r="X11" s="772"/>
      <c r="Y11" s="3157"/>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3"/>
      <c r="H12" s="136">
        <f>SUMIF(64:64,G12,65:65)-SUMIF(64:64,C12,65:65)+100</f>
        <v>100</v>
      </c>
      <c r="I12" s="469"/>
      <c r="J12" s="136">
        <f>SUMIF(64:64,I12,65:65)-SUMIF(64:64,C12,65:65)+100</f>
        <v>100</v>
      </c>
      <c r="K12" s="613"/>
      <c r="L12" s="1129"/>
      <c r="M12" s="1130"/>
      <c r="N12" s="1130"/>
      <c r="O12" s="1131"/>
      <c r="P12" s="3310"/>
      <c r="Q12" s="1791">
        <f t="shared" si="6"/>
        <v>111</v>
      </c>
      <c r="R12" s="770" t="s">
        <v>17</v>
      </c>
      <c r="S12" s="771">
        <f t="shared" si="0"/>
        <v>100</v>
      </c>
      <c r="T12" s="770" t="s">
        <v>17</v>
      </c>
      <c r="U12" s="771">
        <f t="shared" si="1"/>
        <v>100</v>
      </c>
      <c r="V12" s="770" t="s">
        <v>17</v>
      </c>
      <c r="W12" s="771">
        <f t="shared" si="2"/>
        <v>100</v>
      </c>
      <c r="X12" s="772"/>
      <c r="Y12" s="3157"/>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3"/>
      <c r="H13" s="435">
        <f>SUMIF(66:66,G13,67:67)-SUMIF(66:66,C13,67:67)+100</f>
        <v>100</v>
      </c>
      <c r="I13" s="469"/>
      <c r="J13" s="435">
        <f>SUMIF(66:66,I13,67:67)-SUMIF(66:66,C13,67:67)+100</f>
        <v>100</v>
      </c>
      <c r="K13" s="613"/>
      <c r="L13" s="1137"/>
      <c r="M13" s="1128"/>
      <c r="N13" s="1128"/>
      <c r="O13" s="1136"/>
      <c r="P13" s="3310"/>
      <c r="Q13" s="1791">
        <f t="shared" si="6"/>
        <v>111</v>
      </c>
      <c r="R13" s="770" t="s">
        <v>17</v>
      </c>
      <c r="S13" s="771">
        <f t="shared" si="0"/>
        <v>100</v>
      </c>
      <c r="T13" s="770" t="s">
        <v>17</v>
      </c>
      <c r="U13" s="771">
        <f t="shared" si="1"/>
        <v>100</v>
      </c>
      <c r="V13" s="770" t="s">
        <v>17</v>
      </c>
      <c r="W13" s="771">
        <f t="shared" si="2"/>
        <v>100</v>
      </c>
      <c r="X13" s="772"/>
      <c r="Y13" s="3157"/>
      <c r="Z13" s="55">
        <f t="shared" si="7"/>
        <v>111</v>
      </c>
      <c r="AA13" s="773">
        <f t="shared" si="3"/>
        <v>1</v>
      </c>
      <c r="AB13" s="773">
        <f t="shared" si="4"/>
        <v>1</v>
      </c>
      <c r="AC13" s="773">
        <f t="shared" si="5"/>
        <v>1</v>
      </c>
    </row>
    <row r="14" spans="1:29" ht="15.6" thickBot="1">
      <c r="A14" s="436"/>
      <c r="B14" s="2594">
        <v>111</v>
      </c>
      <c r="C14" s="437"/>
      <c r="D14" s="438">
        <v>100</v>
      </c>
      <c r="E14" s="437"/>
      <c r="F14" s="438">
        <f>SUMIF(68:68,E14,69:69)-SUMIF(68:68,C14,69:69)+100</f>
        <v>100</v>
      </c>
      <c r="G14" s="2683"/>
      <c r="H14" s="438">
        <f>SUMIF(68:68,G14,69:69)-SUMIF(68:68,C14,69:69)+100</f>
        <v>100</v>
      </c>
      <c r="I14" s="469"/>
      <c r="J14" s="438">
        <f>SUMIF(68:68,I14,69:69)-SUMIF(68:68,C14,69:69)+100</f>
        <v>100</v>
      </c>
      <c r="K14" s="613"/>
      <c r="L14" s="1137"/>
      <c r="M14" s="1128"/>
      <c r="N14" s="1128"/>
      <c r="O14" s="1136"/>
      <c r="P14" s="3310"/>
      <c r="Q14" s="1791">
        <f t="shared" si="6"/>
        <v>111</v>
      </c>
      <c r="R14" s="770" t="s">
        <v>17</v>
      </c>
      <c r="S14" s="771">
        <f t="shared" si="0"/>
        <v>100</v>
      </c>
      <c r="T14" s="770" t="s">
        <v>17</v>
      </c>
      <c r="U14" s="771">
        <f t="shared" si="1"/>
        <v>100</v>
      </c>
      <c r="V14" s="770" t="s">
        <v>17</v>
      </c>
      <c r="W14" s="771">
        <f t="shared" si="2"/>
        <v>100</v>
      </c>
      <c r="X14" s="772"/>
      <c r="Y14" s="3157"/>
      <c r="Z14" s="55">
        <f t="shared" si="7"/>
        <v>111</v>
      </c>
      <c r="AA14" s="773">
        <f t="shared" si="3"/>
        <v>1</v>
      </c>
      <c r="AB14" s="773">
        <f t="shared" si="4"/>
        <v>1</v>
      </c>
      <c r="AC14" s="773">
        <f t="shared" si="5"/>
        <v>1</v>
      </c>
    </row>
    <row r="15" spans="1:29" ht="69">
      <c r="A15" s="440" t="s">
        <v>2555</v>
      </c>
      <c r="B15" s="69" t="s">
        <v>2699</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25" t="s">
        <v>2556</v>
      </c>
      <c r="Q15" s="1806" t="str">
        <f t="shared" si="6"/>
        <v>产业集聚程度</v>
      </c>
      <c r="R15" s="774" t="s">
        <v>17</v>
      </c>
      <c r="S15" s="775">
        <f t="shared" si="0"/>
        <v>100</v>
      </c>
      <c r="T15" s="774" t="s">
        <v>17</v>
      </c>
      <c r="U15" s="775">
        <f t="shared" si="1"/>
        <v>100</v>
      </c>
      <c r="V15" s="774" t="s">
        <v>17</v>
      </c>
      <c r="W15" s="775">
        <f t="shared" si="2"/>
        <v>100</v>
      </c>
      <c r="X15" s="1809"/>
      <c r="Y15" s="3325"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326"/>
      <c r="Q16" s="1806"/>
      <c r="R16" s="774"/>
      <c r="S16" s="775"/>
      <c r="T16" s="774"/>
      <c r="U16" s="775"/>
      <c r="V16" s="774"/>
      <c r="W16" s="775"/>
      <c r="X16" s="1809"/>
      <c r="Y16" s="3326"/>
      <c r="Z16" s="1810"/>
      <c r="AA16" s="1807">
        <v>1</v>
      </c>
      <c r="AB16" s="1807">
        <v>1</v>
      </c>
      <c r="AC16" s="1807">
        <v>1</v>
      </c>
    </row>
    <row r="17" spans="1:29" ht="96.6">
      <c r="A17" s="428"/>
      <c r="B17" s="451" t="s">
        <v>2095</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26"/>
      <c r="Q17" s="1806" t="str">
        <f>B17</f>
        <v>交通便捷度</v>
      </c>
      <c r="R17" s="774" t="s">
        <v>17</v>
      </c>
      <c r="S17" s="775">
        <f>F17</f>
        <v>100</v>
      </c>
      <c r="T17" s="774" t="s">
        <v>17</v>
      </c>
      <c r="U17" s="775">
        <f>H17</f>
        <v>100</v>
      </c>
      <c r="V17" s="774" t="s">
        <v>17</v>
      </c>
      <c r="W17" s="775">
        <f>J17</f>
        <v>100</v>
      </c>
      <c r="X17" s="1809"/>
      <c r="Y17" s="3326"/>
      <c r="Z17" s="1810" t="str">
        <f>Q17</f>
        <v>交通便捷度</v>
      </c>
      <c r="AA17" s="1807">
        <f t="shared" si="3"/>
        <v>1</v>
      </c>
      <c r="AB17" s="1807">
        <f t="shared" si="4"/>
        <v>1</v>
      </c>
      <c r="AC17" s="1807">
        <f t="shared" si="5"/>
        <v>1</v>
      </c>
    </row>
    <row r="18" spans="1:29" ht="15">
      <c r="A18" s="428"/>
      <c r="B18" s="456"/>
      <c r="C18" s="2600"/>
      <c r="D18" s="450"/>
      <c r="E18" s="2602"/>
      <c r="F18" s="453"/>
      <c r="G18" s="2601"/>
      <c r="H18" s="448"/>
      <c r="I18" s="2602"/>
      <c r="J18" s="448"/>
      <c r="K18" s="615"/>
      <c r="L18" s="1137"/>
      <c r="M18" s="1128"/>
      <c r="N18" s="1128"/>
      <c r="O18" s="1136"/>
      <c r="P18" s="3326"/>
      <c r="Q18" s="1806"/>
      <c r="R18" s="774"/>
      <c r="S18" s="775"/>
      <c r="T18" s="774"/>
      <c r="U18" s="775"/>
      <c r="V18" s="774"/>
      <c r="W18" s="775"/>
      <c r="X18" s="1809"/>
      <c r="Y18" s="3326"/>
      <c r="Z18" s="1810"/>
      <c r="AA18" s="1807">
        <v>1</v>
      </c>
      <c r="AB18" s="1807">
        <v>1</v>
      </c>
      <c r="AC18" s="1807">
        <v>1</v>
      </c>
    </row>
    <row r="19" spans="1:29" ht="41.4">
      <c r="A19" s="428"/>
      <c r="B19" s="451" t="s">
        <v>2684</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26"/>
      <c r="Q19" s="1806" t="str">
        <f>B19</f>
        <v>公共配套设施</v>
      </c>
      <c r="R19" s="774" t="s">
        <v>17</v>
      </c>
      <c r="S19" s="775">
        <f>F19</f>
        <v>100</v>
      </c>
      <c r="T19" s="774" t="s">
        <v>17</v>
      </c>
      <c r="U19" s="775">
        <f>H19</f>
        <v>100</v>
      </c>
      <c r="V19" s="774" t="s">
        <v>17</v>
      </c>
      <c r="W19" s="775">
        <f>J19</f>
        <v>100</v>
      </c>
      <c r="X19" s="1809"/>
      <c r="Y19" s="3326"/>
      <c r="Z19" s="1810" t="str">
        <f>Q19</f>
        <v>公共配套设施</v>
      </c>
      <c r="AA19" s="1807">
        <f t="shared" si="3"/>
        <v>1</v>
      </c>
      <c r="AB19" s="1807">
        <f t="shared" si="4"/>
        <v>1</v>
      </c>
      <c r="AC19" s="1807">
        <f t="shared" si="5"/>
        <v>1</v>
      </c>
    </row>
    <row r="20" spans="1:29" ht="15">
      <c r="A20" s="428"/>
      <c r="B20" s="456"/>
      <c r="C20" s="447"/>
      <c r="D20" s="448"/>
      <c r="E20" s="2597"/>
      <c r="F20" s="449"/>
      <c r="G20" s="2596"/>
      <c r="H20" s="448"/>
      <c r="I20" s="2597"/>
      <c r="J20" s="448"/>
      <c r="K20" s="615"/>
      <c r="L20" s="1137"/>
      <c r="M20" s="1128"/>
      <c r="N20" s="1128"/>
      <c r="O20" s="1136"/>
      <c r="P20" s="3326"/>
      <c r="Q20" s="1806"/>
      <c r="R20" s="774"/>
      <c r="S20" s="775"/>
      <c r="T20" s="774"/>
      <c r="U20" s="775"/>
      <c r="V20" s="774"/>
      <c r="W20" s="775"/>
      <c r="X20" s="1809"/>
      <c r="Y20" s="3326"/>
      <c r="Z20" s="1810"/>
      <c r="AA20" s="1807">
        <v>1</v>
      </c>
      <c r="AB20" s="1807">
        <v>1</v>
      </c>
      <c r="AC20" s="1807">
        <v>1</v>
      </c>
    </row>
    <row r="21" spans="1:29" ht="41.4">
      <c r="A21" s="428"/>
      <c r="B21" s="1381" t="s">
        <v>2685</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26"/>
      <c r="Q21" s="1806" t="str">
        <f>B21</f>
        <v>基础设施水平</v>
      </c>
      <c r="R21" s="774" t="s">
        <v>17</v>
      </c>
      <c r="S21" s="775">
        <f>F21</f>
        <v>100</v>
      </c>
      <c r="T21" s="774" t="s">
        <v>17</v>
      </c>
      <c r="U21" s="775">
        <f>H21</f>
        <v>100</v>
      </c>
      <c r="V21" s="774" t="s">
        <v>17</v>
      </c>
      <c r="W21" s="775">
        <f>J21</f>
        <v>100</v>
      </c>
      <c r="X21" s="1809"/>
      <c r="Y21" s="3326"/>
      <c r="Z21" s="1810" t="str">
        <f>Q21</f>
        <v>基础设施水平</v>
      </c>
      <c r="AA21" s="1807">
        <f t="shared" ref="AA21" si="8">D21/F21</f>
        <v>1</v>
      </c>
      <c r="AB21" s="1807">
        <f t="shared" ref="AB21" si="9">D21/H21</f>
        <v>1</v>
      </c>
      <c r="AC21" s="1807">
        <f t="shared" ref="AC21" si="10">D21/J21</f>
        <v>1</v>
      </c>
    </row>
    <row r="22" spans="1:29" ht="15">
      <c r="A22" s="428"/>
      <c r="B22" s="1381"/>
      <c r="C22" s="2600"/>
      <c r="D22" s="448"/>
      <c r="E22" s="447"/>
      <c r="F22" s="449"/>
      <c r="G22" s="447"/>
      <c r="H22" s="448"/>
      <c r="I22" s="447"/>
      <c r="J22" s="448"/>
      <c r="K22" s="1380"/>
      <c r="L22" s="1137"/>
      <c r="M22" s="1128"/>
      <c r="N22" s="1128"/>
      <c r="O22" s="1136"/>
      <c r="P22" s="3326"/>
      <c r="Q22" s="1806"/>
      <c r="R22" s="774"/>
      <c r="S22" s="775"/>
      <c r="T22" s="774"/>
      <c r="U22" s="775"/>
      <c r="V22" s="774"/>
      <c r="W22" s="775"/>
      <c r="X22" s="1809"/>
      <c r="Y22" s="3326"/>
      <c r="Z22" s="1810"/>
      <c r="AA22" s="1807">
        <v>1</v>
      </c>
      <c r="AB22" s="1807">
        <v>1</v>
      </c>
      <c r="AC22" s="1807">
        <v>1</v>
      </c>
    </row>
    <row r="23" spans="1:29" ht="82.8">
      <c r="A23" s="428"/>
      <c r="B23" s="451" t="s">
        <v>2686</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26"/>
      <c r="Q23" s="1806" t="str">
        <f>B23</f>
        <v>环境质量</v>
      </c>
      <c r="R23" s="774" t="s">
        <v>17</v>
      </c>
      <c r="S23" s="775">
        <f>F23</f>
        <v>100</v>
      </c>
      <c r="T23" s="774" t="s">
        <v>17</v>
      </c>
      <c r="U23" s="775">
        <f>H23</f>
        <v>100</v>
      </c>
      <c r="V23" s="774" t="s">
        <v>17</v>
      </c>
      <c r="W23" s="775">
        <f>J23</f>
        <v>100</v>
      </c>
      <c r="X23" s="1809"/>
      <c r="Y23" s="3326"/>
      <c r="Z23" s="1810" t="str">
        <f>Q23</f>
        <v>环境质量</v>
      </c>
      <c r="AA23" s="1807">
        <f t="shared" si="3"/>
        <v>1</v>
      </c>
      <c r="AB23" s="1807">
        <f t="shared" si="4"/>
        <v>1</v>
      </c>
      <c r="AC23" s="1807">
        <f t="shared" si="5"/>
        <v>1</v>
      </c>
    </row>
    <row r="24" spans="1:29" ht="15">
      <c r="A24" s="428"/>
      <c r="B24" s="1381"/>
      <c r="C24" s="447"/>
      <c r="D24" s="448"/>
      <c r="E24" s="2597"/>
      <c r="F24" s="449"/>
      <c r="G24" s="2596"/>
      <c r="H24" s="448"/>
      <c r="I24" s="2597"/>
      <c r="J24" s="448"/>
      <c r="K24" s="615"/>
      <c r="L24" s="1137"/>
      <c r="M24" s="1128"/>
      <c r="N24" s="1128"/>
      <c r="O24" s="1136"/>
      <c r="P24" s="3326"/>
      <c r="Q24" s="1806"/>
      <c r="R24" s="774"/>
      <c r="S24" s="775"/>
      <c r="T24" s="774"/>
      <c r="U24" s="775"/>
      <c r="V24" s="774"/>
      <c r="W24" s="775"/>
      <c r="X24" s="1809"/>
      <c r="Y24" s="3326"/>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26"/>
      <c r="Q25" s="1806">
        <f>B25</f>
        <v>111</v>
      </c>
      <c r="R25" s="774" t="s">
        <v>17</v>
      </c>
      <c r="S25" s="775">
        <f>F25</f>
        <v>100</v>
      </c>
      <c r="T25" s="774" t="s">
        <v>17</v>
      </c>
      <c r="U25" s="775">
        <f>H25</f>
        <v>100</v>
      </c>
      <c r="V25" s="774" t="s">
        <v>17</v>
      </c>
      <c r="W25" s="775">
        <f>J25</f>
        <v>100</v>
      </c>
      <c r="X25" s="1809"/>
      <c r="Y25" s="3326"/>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26"/>
      <c r="Q26" s="1806">
        <f t="shared" ref="Q26:Q40" si="11">B26</f>
        <v>111</v>
      </c>
      <c r="R26" s="774" t="s">
        <v>17</v>
      </c>
      <c r="S26" s="775">
        <f>F26</f>
        <v>100</v>
      </c>
      <c r="T26" s="774" t="s">
        <v>17</v>
      </c>
      <c r="U26" s="775">
        <f>H26</f>
        <v>100</v>
      </c>
      <c r="V26" s="774" t="s">
        <v>17</v>
      </c>
      <c r="W26" s="775">
        <f>J26</f>
        <v>100</v>
      </c>
      <c r="X26" s="1809"/>
      <c r="Y26" s="3326"/>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26"/>
      <c r="Q27" s="1791">
        <f t="shared" si="11"/>
        <v>111</v>
      </c>
      <c r="R27" s="770" t="s">
        <v>17</v>
      </c>
      <c r="S27" s="771">
        <f>F27</f>
        <v>100</v>
      </c>
      <c r="T27" s="770" t="s">
        <v>17</v>
      </c>
      <c r="U27" s="771">
        <f>H27</f>
        <v>100</v>
      </c>
      <c r="V27" s="770" t="s">
        <v>17</v>
      </c>
      <c r="W27" s="771">
        <f>J27</f>
        <v>100</v>
      </c>
      <c r="X27" s="772"/>
      <c r="Y27" s="3326"/>
      <c r="Z27" s="55">
        <f>Q27</f>
        <v>111</v>
      </c>
      <c r="AA27" s="1807">
        <f>D27/F27</f>
        <v>1</v>
      </c>
      <c r="AB27" s="1807">
        <f>D27/H27</f>
        <v>1</v>
      </c>
      <c r="AC27" s="1807">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26"/>
      <c r="Q28" s="1806">
        <f t="shared" si="11"/>
        <v>111</v>
      </c>
      <c r="R28" s="774" t="s">
        <v>17</v>
      </c>
      <c r="S28" s="775">
        <f t="shared" ref="S28:S40" si="12">F28</f>
        <v>100</v>
      </c>
      <c r="T28" s="774" t="s">
        <v>17</v>
      </c>
      <c r="U28" s="775">
        <f t="shared" ref="U28:U40" si="13">H28</f>
        <v>100</v>
      </c>
      <c r="V28" s="774" t="s">
        <v>17</v>
      </c>
      <c r="W28" s="775">
        <f t="shared" ref="W28:W40" si="14">J28</f>
        <v>100</v>
      </c>
      <c r="X28" s="1809"/>
      <c r="Y28" s="3326"/>
      <c r="Z28" s="1810">
        <f t="shared" ref="Z28:Z40" si="15">Q28</f>
        <v>111</v>
      </c>
      <c r="AA28" s="1807">
        <f t="shared" si="3"/>
        <v>1</v>
      </c>
      <c r="AB28" s="1807">
        <f t="shared" si="4"/>
        <v>1</v>
      </c>
      <c r="AC28" s="1807">
        <f t="shared" si="5"/>
        <v>1</v>
      </c>
    </row>
    <row r="29" spans="1:29" ht="30">
      <c r="A29" s="466" t="s">
        <v>2559</v>
      </c>
      <c r="B29" s="71" t="s">
        <v>2689</v>
      </c>
      <c r="C29" s="2670"/>
      <c r="D29" s="467">
        <v>100</v>
      </c>
      <c r="E29" s="2670"/>
      <c r="F29" s="461">
        <f>SUMIF(88:88,E29,89:89)-SUMIF(88:88,C29,89:89)+100</f>
        <v>100</v>
      </c>
      <c r="G29" s="2670"/>
      <c r="H29" s="435">
        <f>SUMIF(88:88,G29,89:89)-SUMIF(88:88,C29,89:89)+100</f>
        <v>100</v>
      </c>
      <c r="I29" s="2670"/>
      <c r="J29" s="467">
        <f>SUMIF(88:88,I29,89:89)-SUMIF(88:88,C29,89:89)+100</f>
        <v>100</v>
      </c>
      <c r="K29" s="612"/>
      <c r="L29" s="1137"/>
      <c r="M29" s="1128"/>
      <c r="N29" s="1128"/>
      <c r="O29" s="1136"/>
      <c r="P29" s="3327" t="s">
        <v>2561</v>
      </c>
      <c r="Q29" s="1806" t="str">
        <f t="shared" si="11"/>
        <v>建筑类型</v>
      </c>
      <c r="R29" s="774" t="s">
        <v>17</v>
      </c>
      <c r="S29" s="775">
        <f t="shared" si="12"/>
        <v>100</v>
      </c>
      <c r="T29" s="774" t="s">
        <v>17</v>
      </c>
      <c r="U29" s="775">
        <f t="shared" si="13"/>
        <v>100</v>
      </c>
      <c r="V29" s="774" t="s">
        <v>17</v>
      </c>
      <c r="W29" s="775">
        <f t="shared" si="14"/>
        <v>100</v>
      </c>
      <c r="X29" s="1809"/>
      <c r="Y29" s="3328"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28"/>
      <c r="Q30" s="776" t="str">
        <f t="shared" si="11"/>
        <v>项目建筑规模</v>
      </c>
      <c r="R30" s="777" t="s">
        <v>17</v>
      </c>
      <c r="S30" s="778" t="e">
        <f t="shared" si="12"/>
        <v>#N/A</v>
      </c>
      <c r="T30" s="777" t="s">
        <v>17</v>
      </c>
      <c r="U30" s="778" t="e">
        <f t="shared" si="13"/>
        <v>#N/A</v>
      </c>
      <c r="V30" s="777" t="s">
        <v>17</v>
      </c>
      <c r="W30" s="778" t="e">
        <f t="shared" si="14"/>
        <v>#N/A</v>
      </c>
      <c r="X30" s="779"/>
      <c r="Y30" s="3328"/>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28"/>
      <c r="Q31" s="1806" t="str">
        <f t="shared" si="11"/>
        <v>建筑结构</v>
      </c>
      <c r="R31" s="774" t="s">
        <v>17</v>
      </c>
      <c r="S31" s="775">
        <f t="shared" si="12"/>
        <v>100</v>
      </c>
      <c r="T31" s="774" t="s">
        <v>17</v>
      </c>
      <c r="U31" s="775">
        <f t="shared" si="13"/>
        <v>100</v>
      </c>
      <c r="V31" s="774" t="s">
        <v>17</v>
      </c>
      <c r="W31" s="775">
        <f t="shared" si="14"/>
        <v>100</v>
      </c>
      <c r="X31" s="1809"/>
      <c r="Y31" s="3328"/>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28"/>
      <c r="Q32" s="1806" t="str">
        <f t="shared" si="11"/>
        <v>公共部分装修</v>
      </c>
      <c r="R32" s="774" t="s">
        <v>17</v>
      </c>
      <c r="S32" s="775">
        <f t="shared" si="12"/>
        <v>100</v>
      </c>
      <c r="T32" s="774" t="s">
        <v>17</v>
      </c>
      <c r="U32" s="775">
        <f t="shared" si="13"/>
        <v>100</v>
      </c>
      <c r="V32" s="774" t="s">
        <v>17</v>
      </c>
      <c r="W32" s="775">
        <f t="shared" si="14"/>
        <v>100</v>
      </c>
      <c r="X32" s="1809"/>
      <c r="Y32" s="3328"/>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28"/>
      <c r="Q33" s="1806" t="str">
        <f t="shared" si="11"/>
        <v>成新度</v>
      </c>
      <c r="R33" s="774" t="s">
        <v>17</v>
      </c>
      <c r="S33" s="775" t="e">
        <f t="shared" si="12"/>
        <v>#N/A</v>
      </c>
      <c r="T33" s="774" t="s">
        <v>17</v>
      </c>
      <c r="U33" s="775" t="e">
        <f t="shared" si="13"/>
        <v>#N/A</v>
      </c>
      <c r="V33" s="774" t="s">
        <v>17</v>
      </c>
      <c r="W33" s="775" t="e">
        <f t="shared" si="14"/>
        <v>#N/A</v>
      </c>
      <c r="X33" s="1809"/>
      <c r="Y33" s="3328"/>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28"/>
      <c r="Q34" s="1791" t="str">
        <f t="shared" si="11"/>
        <v>物业管理</v>
      </c>
      <c r="R34" s="770" t="s">
        <v>17</v>
      </c>
      <c r="S34" s="771">
        <f t="shared" si="12"/>
        <v>100</v>
      </c>
      <c r="T34" s="770" t="s">
        <v>17</v>
      </c>
      <c r="U34" s="771">
        <f t="shared" si="13"/>
        <v>100</v>
      </c>
      <c r="V34" s="770" t="s">
        <v>17</v>
      </c>
      <c r="W34" s="771">
        <f t="shared" si="14"/>
        <v>100</v>
      </c>
      <c r="X34" s="772"/>
      <c r="Y34" s="3328"/>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28" t="s">
        <v>2561</v>
      </c>
      <c r="Q35" s="1806" t="str">
        <f t="shared" si="11"/>
        <v>市政基础设施</v>
      </c>
      <c r="R35" s="774" t="s">
        <v>17</v>
      </c>
      <c r="S35" s="775">
        <f t="shared" si="12"/>
        <v>100</v>
      </c>
      <c r="T35" s="774" t="s">
        <v>17</v>
      </c>
      <c r="U35" s="775">
        <f t="shared" si="13"/>
        <v>100</v>
      </c>
      <c r="V35" s="774" t="s">
        <v>17</v>
      </c>
      <c r="W35" s="775">
        <f t="shared" si="14"/>
        <v>100</v>
      </c>
      <c r="X35" s="1809"/>
      <c r="Y35" s="3328"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28"/>
      <c r="Q36" s="1806" t="str">
        <f t="shared" si="11"/>
        <v>内部装修</v>
      </c>
      <c r="R36" s="774" t="s">
        <v>17</v>
      </c>
      <c r="S36" s="775">
        <f t="shared" si="12"/>
        <v>100</v>
      </c>
      <c r="T36" s="774" t="s">
        <v>17</v>
      </c>
      <c r="U36" s="775">
        <f t="shared" si="13"/>
        <v>100</v>
      </c>
      <c r="V36" s="774" t="s">
        <v>17</v>
      </c>
      <c r="W36" s="775">
        <f t="shared" si="14"/>
        <v>100</v>
      </c>
      <c r="X36" s="1809"/>
      <c r="Y36" s="3328"/>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28"/>
      <c r="Q37" s="1806" t="str">
        <f t="shared" si="11"/>
        <v>内部装修状况</v>
      </c>
      <c r="R37" s="774" t="s">
        <v>17</v>
      </c>
      <c r="S37" s="775">
        <f t="shared" si="12"/>
        <v>100</v>
      </c>
      <c r="T37" s="774" t="s">
        <v>17</v>
      </c>
      <c r="U37" s="775">
        <f t="shared" si="13"/>
        <v>100</v>
      </c>
      <c r="V37" s="774" t="s">
        <v>17</v>
      </c>
      <c r="W37" s="775">
        <f t="shared" si="14"/>
        <v>100</v>
      </c>
      <c r="X37" s="1809"/>
      <c r="Y37" s="3328"/>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28"/>
      <c r="Q38" s="776">
        <f t="shared" si="11"/>
        <v>111</v>
      </c>
      <c r="R38" s="777" t="s">
        <v>17</v>
      </c>
      <c r="S38" s="778">
        <f t="shared" si="12"/>
        <v>100</v>
      </c>
      <c r="T38" s="777" t="s">
        <v>17</v>
      </c>
      <c r="U38" s="778">
        <f t="shared" si="13"/>
        <v>100</v>
      </c>
      <c r="V38" s="777" t="s">
        <v>17</v>
      </c>
      <c r="W38" s="778">
        <f t="shared" si="14"/>
        <v>100</v>
      </c>
      <c r="X38" s="779"/>
      <c r="Y38" s="3328"/>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28"/>
      <c r="Q39" s="1806">
        <f t="shared" si="11"/>
        <v>111</v>
      </c>
      <c r="R39" s="774" t="s">
        <v>17</v>
      </c>
      <c r="S39" s="775">
        <f t="shared" si="12"/>
        <v>100</v>
      </c>
      <c r="T39" s="774" t="s">
        <v>17</v>
      </c>
      <c r="U39" s="775">
        <f t="shared" si="13"/>
        <v>100</v>
      </c>
      <c r="V39" s="774" t="s">
        <v>17</v>
      </c>
      <c r="W39" s="775">
        <f t="shared" si="14"/>
        <v>100</v>
      </c>
      <c r="X39" s="1809"/>
      <c r="Y39" s="3328"/>
      <c r="Z39" s="1810">
        <f t="shared" si="15"/>
        <v>111</v>
      </c>
      <c r="AA39" s="1807">
        <f t="shared" si="3"/>
        <v>1</v>
      </c>
      <c r="AB39" s="1807">
        <f t="shared" si="4"/>
        <v>1</v>
      </c>
      <c r="AC39" s="1807">
        <f t="shared" si="5"/>
        <v>1</v>
      </c>
    </row>
    <row r="40" spans="1:29" ht="15.6"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70"/>
      <c r="Q40" s="1806">
        <f t="shared" si="11"/>
        <v>111</v>
      </c>
      <c r="R40" s="774" t="s">
        <v>17</v>
      </c>
      <c r="S40" s="775">
        <f t="shared" si="12"/>
        <v>100</v>
      </c>
      <c r="T40" s="774" t="s">
        <v>17</v>
      </c>
      <c r="U40" s="775">
        <f t="shared" si="13"/>
        <v>100</v>
      </c>
      <c r="V40" s="774" t="s">
        <v>17</v>
      </c>
      <c r="W40" s="775">
        <f t="shared" si="14"/>
        <v>100</v>
      </c>
      <c r="X40" s="1809"/>
      <c r="Y40" s="3370"/>
      <c r="Z40" s="1810">
        <f t="shared" si="15"/>
        <v>111</v>
      </c>
      <c r="AA40" s="1807">
        <f t="shared" si="3"/>
        <v>1</v>
      </c>
      <c r="AB40" s="1807">
        <f t="shared" si="4"/>
        <v>1</v>
      </c>
      <c r="AC40" s="1807">
        <f t="shared" si="5"/>
        <v>1</v>
      </c>
    </row>
    <row r="41" spans="1:29" ht="14.4">
      <c r="A41" s="479" t="s">
        <v>2573</v>
      </c>
      <c r="B41" s="480"/>
      <c r="C41" s="1404" t="s">
        <v>1</v>
      </c>
      <c r="D41" s="1405"/>
      <c r="E41" s="1406"/>
      <c r="F41" s="1407"/>
      <c r="G41" s="1408"/>
      <c r="H41" s="1409"/>
      <c r="I41" s="1406"/>
      <c r="J41" s="1409"/>
      <c r="K41" s="783"/>
      <c r="L41" s="1140"/>
      <c r="M41" s="1141"/>
      <c r="N41" s="1128"/>
      <c r="O41" s="1141"/>
      <c r="P41" s="3310" t="str">
        <f>A41</f>
        <v>成交单价（元/平方米）</v>
      </c>
      <c r="Q41" s="3310"/>
      <c r="R41" s="3366">
        <f>E41</f>
        <v>0</v>
      </c>
      <c r="S41" s="3366"/>
      <c r="T41" s="3366">
        <f>G41</f>
        <v>0</v>
      </c>
      <c r="U41" s="3366"/>
      <c r="V41" s="3366">
        <f>I41</f>
        <v>0</v>
      </c>
      <c r="W41" s="3366"/>
      <c r="X41" s="759"/>
      <c r="Y41" s="781"/>
      <c r="Z41" s="759"/>
      <c r="AA41" s="759"/>
      <c r="AB41" s="759"/>
      <c r="AC41" s="759"/>
    </row>
    <row r="42" spans="1:29" ht="15" thickBot="1">
      <c r="A42" s="486" t="s">
        <v>2665</v>
      </c>
      <c r="B42" s="487"/>
      <c r="C42" s="1410" t="e">
        <f>R43</f>
        <v>#DIV/0!</v>
      </c>
      <c r="D42" s="1411"/>
      <c r="E42" s="1412" t="e">
        <f>R42</f>
        <v>#DIV/0!</v>
      </c>
      <c r="F42" s="1412"/>
      <c r="G42" s="1410" t="e">
        <f>T42</f>
        <v>#DIV/0!</v>
      </c>
      <c r="H42" s="1411"/>
      <c r="I42" s="1412" t="e">
        <f>V42</f>
        <v>#DIV/0!</v>
      </c>
      <c r="J42" s="1411"/>
      <c r="K42" s="784"/>
      <c r="L42" s="1140"/>
      <c r="M42" s="1141"/>
      <c r="N42" s="1128"/>
      <c r="O42" s="1141"/>
      <c r="P42" s="3310" t="str">
        <f>A42</f>
        <v>比较价值（元/平方米）</v>
      </c>
      <c r="Q42" s="3310"/>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759"/>
      <c r="Y42" s="759"/>
      <c r="Z42" s="759"/>
      <c r="AA42" s="759"/>
      <c r="AB42" s="759"/>
      <c r="AC42" s="759"/>
    </row>
    <row r="43" spans="1:29" ht="15" thickBot="1">
      <c r="A43" s="492" t="s">
        <v>2666</v>
      </c>
      <c r="B43" s="493"/>
      <c r="C43" s="1414" t="e">
        <f>R43</f>
        <v>#DIV/0!</v>
      </c>
      <c r="D43" s="1414"/>
      <c r="E43" s="1414"/>
      <c r="F43" s="1414"/>
      <c r="G43" s="1414"/>
      <c r="H43" s="1414"/>
      <c r="I43" s="1414"/>
      <c r="J43" s="1414"/>
      <c r="K43" s="785"/>
      <c r="L43" s="1140"/>
      <c r="M43" s="1141"/>
      <c r="N43" s="1141"/>
      <c r="O43" s="1141"/>
      <c r="P43" s="3330" t="str">
        <f>A43</f>
        <v>估价对象XX用房的比较价值（楼面单价，元/平方米）</v>
      </c>
      <c r="Q43" s="3331"/>
      <c r="R43" s="3365" t="e">
        <f>IF(F1="售价",ROUND(AVERAGE(R42:V42),0),ROUND(AVERAGE(R42:V42),1))</f>
        <v>#DIV/0!</v>
      </c>
      <c r="S43" s="3365"/>
      <c r="T43" s="3365"/>
      <c r="U43" s="3365"/>
      <c r="V43" s="3365"/>
      <c r="W43" s="336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2670</v>
      </c>
      <c r="B51" s="759"/>
      <c r="C51" s="764"/>
      <c r="D51" s="764"/>
      <c r="E51" s="764"/>
      <c r="F51" s="765"/>
      <c r="G51" s="765"/>
      <c r="H51" s="764"/>
      <c r="I51" s="764"/>
      <c r="J51" s="764"/>
      <c r="K51" s="1157"/>
      <c r="L51" s="1158"/>
      <c r="M51" s="1156"/>
      <c r="N51" s="1156"/>
      <c r="O51" s="1156"/>
      <c r="P51" s="503"/>
      <c r="Q51" s="504"/>
    </row>
    <row r="52" spans="1:17" s="508" customFormat="1" ht="14.4">
      <c r="A52" s="505" t="s">
        <v>2544</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2584</v>
      </c>
      <c r="B57" s="528" t="s">
        <v>2550</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7"/>
      <c r="B87" s="569"/>
      <c r="C87" s="570"/>
      <c r="D87" s="570"/>
      <c r="E87" s="570"/>
      <c r="F87" s="570"/>
      <c r="G87" s="591"/>
      <c r="H87" s="591"/>
      <c r="I87" s="591"/>
      <c r="J87" s="591"/>
      <c r="K87" s="591"/>
      <c r="L87" s="591"/>
      <c r="M87" s="592"/>
      <c r="N87" s="1150"/>
      <c r="O87" s="1150"/>
      <c r="P87" s="45"/>
      <c r="Q87" s="504"/>
    </row>
    <row r="88" spans="1:17" ht="14.4">
      <c r="A88" s="527" t="s">
        <v>2559</v>
      </c>
      <c r="B88" s="528" t="s">
        <v>2608</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7"/>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2703</v>
      </c>
      <c r="B1" s="1615"/>
      <c r="C1" s="1616" t="s">
        <v>2526</v>
      </c>
      <c r="D1" s="1617"/>
      <c r="E1" s="1618"/>
      <c r="F1" s="2577"/>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2326</v>
      </c>
      <c r="B2" s="1415" t="e">
        <f ca="1">IF(C2="——",IF(B37="元/平方米",ROUND(C39*D3/10000,0),ROUND(F3*C39/10000,0)),IF(B37="元/平方米",ROUND(C39*D3/10000,0),ROUND(F3*C39/10000,0))-D2)</f>
        <v>#DIV/0!</v>
      </c>
      <c r="C2" s="2579"/>
      <c r="D2" s="1121" t="e">
        <f ca="1">SUMIF(INDIRECT("'"&amp;F2&amp;"'"&amp;"!A:A"),"承租人权益价值",INDIRECT("'"&amp;F2&amp;"'"&amp;"!c:c"))</f>
        <v>#REF!</v>
      </c>
      <c r="E2" s="2580" t="s">
        <v>2327</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2641</v>
      </c>
      <c r="B4" s="402"/>
      <c r="C4" s="3311" t="s">
        <v>2642</v>
      </c>
      <c r="D4" s="3312"/>
      <c r="E4" s="3313" t="s">
        <v>2643</v>
      </c>
      <c r="F4" s="3314"/>
      <c r="G4" s="3311" t="s">
        <v>2644</v>
      </c>
      <c r="H4" s="3312"/>
      <c r="I4" s="3311" t="s">
        <v>2645</v>
      </c>
      <c r="J4" s="3312"/>
      <c r="K4" s="610" t="s">
        <v>2646</v>
      </c>
      <c r="L4" s="1127"/>
      <c r="M4" s="1128"/>
      <c r="N4" s="1128"/>
      <c r="O4" s="1128"/>
      <c r="P4" s="3315" t="s">
        <v>2647</v>
      </c>
      <c r="Q4" s="3316"/>
      <c r="R4" s="3298" t="s">
        <v>2643</v>
      </c>
      <c r="S4" s="3299"/>
      <c r="T4" s="3298" t="s">
        <v>2644</v>
      </c>
      <c r="U4" s="3299"/>
      <c r="V4" s="3323" t="s">
        <v>2645</v>
      </c>
      <c r="W4" s="3323"/>
      <c r="X4" s="1809"/>
      <c r="Y4" s="3298" t="s">
        <v>2647</v>
      </c>
      <c r="Z4" s="3299"/>
      <c r="AA4" s="3293" t="s">
        <v>2643</v>
      </c>
      <c r="AB4" s="3294" t="s">
        <v>2644</v>
      </c>
      <c r="AC4" s="3293" t="s">
        <v>2645</v>
      </c>
    </row>
    <row r="5" spans="1:29">
      <c r="A5" s="404"/>
      <c r="B5" s="405"/>
      <c r="C5" s="3304" t="s">
        <v>2538</v>
      </c>
      <c r="D5" s="3305"/>
      <c r="E5" s="3302" t="s">
        <v>2539</v>
      </c>
      <c r="F5" s="3303"/>
      <c r="G5" s="3304" t="s">
        <v>2540</v>
      </c>
      <c r="H5" s="3305"/>
      <c r="I5" s="3304" t="s">
        <v>2541</v>
      </c>
      <c r="J5" s="3305"/>
      <c r="K5" s="610"/>
      <c r="L5" s="1127"/>
      <c r="M5" s="1128"/>
      <c r="N5" s="1128"/>
      <c r="O5" s="1128"/>
      <c r="P5" s="3317"/>
      <c r="Q5" s="3318"/>
      <c r="R5" s="3300"/>
      <c r="S5" s="3301"/>
      <c r="T5" s="3300"/>
      <c r="U5" s="3301"/>
      <c r="V5" s="3323"/>
      <c r="W5" s="3323"/>
      <c r="X5" s="1809"/>
      <c r="Y5" s="3300"/>
      <c r="Z5" s="3301"/>
      <c r="AA5" s="3294"/>
      <c r="AB5" s="3294"/>
      <c r="AC5" s="3294"/>
    </row>
    <row r="6" spans="1:29" ht="15" thickBot="1">
      <c r="A6" s="406"/>
      <c r="B6" s="407"/>
      <c r="C6" s="3306" t="s">
        <v>2542</v>
      </c>
      <c r="D6" s="3307"/>
      <c r="E6" s="3308" t="s">
        <v>2542</v>
      </c>
      <c r="F6" s="3309"/>
      <c r="G6" s="3306" t="s">
        <v>2542</v>
      </c>
      <c r="H6" s="3307"/>
      <c r="I6" s="3306" t="s">
        <v>2542</v>
      </c>
      <c r="J6" s="3307"/>
      <c r="K6" s="610" t="s">
        <v>2543</v>
      </c>
      <c r="L6" s="1127"/>
      <c r="M6" s="1128"/>
      <c r="N6" s="1128"/>
      <c r="O6" s="1128"/>
      <c r="P6" s="3319"/>
      <c r="Q6" s="3320"/>
      <c r="R6" s="3300"/>
      <c r="S6" s="3301"/>
      <c r="T6" s="3321"/>
      <c r="U6" s="3322"/>
      <c r="V6" s="3323"/>
      <c r="W6" s="3323"/>
      <c r="X6" s="1809"/>
      <c r="Y6" s="3321"/>
      <c r="Z6" s="3322"/>
      <c r="AA6" s="3295"/>
      <c r="AB6" s="3295"/>
      <c r="AC6" s="3295"/>
    </row>
    <row r="7" spans="1:29" s="117" customFormat="1" ht="15" thickBot="1">
      <c r="A7" s="408" t="s">
        <v>2544</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96" t="s">
        <v>2545</v>
      </c>
      <c r="Q7" s="3324"/>
      <c r="R7" s="770" t="s">
        <v>17</v>
      </c>
      <c r="S7" s="771">
        <f t="shared" ref="S7:S14" si="0">F7</f>
        <v>0</v>
      </c>
      <c r="T7" s="770" t="s">
        <v>17</v>
      </c>
      <c r="U7" s="771">
        <f t="shared" ref="U7:U14" si="1">H7</f>
        <v>0</v>
      </c>
      <c r="V7" s="770" t="s">
        <v>17</v>
      </c>
      <c r="W7" s="771">
        <f t="shared" ref="W7:W14" si="2">J7</f>
        <v>0</v>
      </c>
      <c r="X7" s="772"/>
      <c r="Y7" s="3296" t="s">
        <v>2545</v>
      </c>
      <c r="Z7" s="3297"/>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96" t="s">
        <v>2548</v>
      </c>
      <c r="Q8" s="3297"/>
      <c r="R8" s="770" t="s">
        <v>17</v>
      </c>
      <c r="S8" s="771">
        <f t="shared" si="0"/>
        <v>0</v>
      </c>
      <c r="T8" s="770" t="s">
        <v>17</v>
      </c>
      <c r="U8" s="771">
        <f t="shared" si="1"/>
        <v>0</v>
      </c>
      <c r="V8" s="770" t="s">
        <v>17</v>
      </c>
      <c r="W8" s="771">
        <f t="shared" si="2"/>
        <v>0</v>
      </c>
      <c r="X8" s="772"/>
      <c r="Y8" s="3296" t="s">
        <v>2548</v>
      </c>
      <c r="Z8" s="3297"/>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10" t="s">
        <v>2551</v>
      </c>
      <c r="Q9" s="1791" t="str">
        <f t="shared" ref="Q9:Q14" si="6">B9</f>
        <v>用途</v>
      </c>
      <c r="R9" s="770" t="s">
        <v>17</v>
      </c>
      <c r="S9" s="771">
        <f t="shared" si="0"/>
        <v>100</v>
      </c>
      <c r="T9" s="770" t="s">
        <v>17</v>
      </c>
      <c r="U9" s="771">
        <f t="shared" si="1"/>
        <v>100</v>
      </c>
      <c r="V9" s="770" t="s">
        <v>17</v>
      </c>
      <c r="W9" s="771">
        <f t="shared" si="2"/>
        <v>100</v>
      </c>
      <c r="X9" s="772"/>
      <c r="Y9" s="3157"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10"/>
      <c r="Q10" s="1791" t="str">
        <f t="shared" si="6"/>
        <v>土地使用年限（年）</v>
      </c>
      <c r="R10" s="770" t="s">
        <v>17</v>
      </c>
      <c r="S10" s="771">
        <f t="shared" si="0"/>
        <v>100</v>
      </c>
      <c r="T10" s="770" t="s">
        <v>17</v>
      </c>
      <c r="U10" s="771">
        <f t="shared" si="1"/>
        <v>100</v>
      </c>
      <c r="V10" s="770" t="s">
        <v>17</v>
      </c>
      <c r="W10" s="771">
        <f t="shared" si="2"/>
        <v>100</v>
      </c>
      <c r="X10" s="772"/>
      <c r="Y10" s="31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10"/>
      <c r="Q11" s="1791">
        <f t="shared" si="6"/>
        <v>111</v>
      </c>
      <c r="R11" s="770" t="s">
        <v>17</v>
      </c>
      <c r="S11" s="771">
        <f t="shared" si="0"/>
        <v>100</v>
      </c>
      <c r="T11" s="770" t="s">
        <v>17</v>
      </c>
      <c r="U11" s="771">
        <f t="shared" si="1"/>
        <v>100</v>
      </c>
      <c r="V11" s="770" t="s">
        <v>17</v>
      </c>
      <c r="W11" s="771">
        <f t="shared" si="2"/>
        <v>100</v>
      </c>
      <c r="X11" s="772"/>
      <c r="Y11" s="31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10"/>
      <c r="Q12" s="1791">
        <f t="shared" si="6"/>
        <v>111</v>
      </c>
      <c r="R12" s="770" t="s">
        <v>17</v>
      </c>
      <c r="S12" s="771">
        <f t="shared" si="0"/>
        <v>100</v>
      </c>
      <c r="T12" s="770" t="s">
        <v>17</v>
      </c>
      <c r="U12" s="771">
        <f t="shared" si="1"/>
        <v>100</v>
      </c>
      <c r="V12" s="770" t="s">
        <v>17</v>
      </c>
      <c r="W12" s="771">
        <f t="shared" si="2"/>
        <v>100</v>
      </c>
      <c r="X12" s="772"/>
      <c r="Y12" s="315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10"/>
      <c r="Q13" s="1791">
        <f t="shared" si="6"/>
        <v>111</v>
      </c>
      <c r="R13" s="770" t="s">
        <v>17</v>
      </c>
      <c r="S13" s="771">
        <f t="shared" si="0"/>
        <v>100</v>
      </c>
      <c r="T13" s="770" t="s">
        <v>17</v>
      </c>
      <c r="U13" s="771">
        <f t="shared" si="1"/>
        <v>100</v>
      </c>
      <c r="V13" s="770" t="s">
        <v>17</v>
      </c>
      <c r="W13" s="771">
        <f t="shared" si="2"/>
        <v>100</v>
      </c>
      <c r="X13" s="772"/>
      <c r="Y13" s="3157"/>
      <c r="Z13" s="55">
        <f t="shared" si="7"/>
        <v>111</v>
      </c>
      <c r="AA13" s="773">
        <f t="shared" si="3"/>
        <v>1</v>
      </c>
      <c r="AB13" s="773">
        <f t="shared" si="4"/>
        <v>1</v>
      </c>
      <c r="AC13" s="773">
        <f t="shared" si="5"/>
        <v>1</v>
      </c>
    </row>
    <row r="14" spans="1:29" ht="96.6">
      <c r="A14" s="401" t="s">
        <v>2555</v>
      </c>
      <c r="B14" s="629" t="s">
        <v>2705</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25" t="s">
        <v>2556</v>
      </c>
      <c r="Q14" s="1806" t="str">
        <f t="shared" si="6"/>
        <v>交通便捷度</v>
      </c>
      <c r="R14" s="774" t="s">
        <v>17</v>
      </c>
      <c r="S14" s="775">
        <f t="shared" si="0"/>
        <v>100</v>
      </c>
      <c r="T14" s="774" t="s">
        <v>17</v>
      </c>
      <c r="U14" s="775">
        <f t="shared" si="1"/>
        <v>100</v>
      </c>
      <c r="V14" s="774" t="s">
        <v>17</v>
      </c>
      <c r="W14" s="775">
        <f t="shared" si="2"/>
        <v>100</v>
      </c>
      <c r="X14" s="1809"/>
      <c r="Y14" s="3325"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326"/>
      <c r="Q15" s="1806"/>
      <c r="R15" s="774"/>
      <c r="S15" s="775"/>
      <c r="T15" s="774"/>
      <c r="U15" s="775"/>
      <c r="V15" s="774"/>
      <c r="W15" s="775"/>
      <c r="X15" s="1809"/>
      <c r="Y15" s="3326"/>
      <c r="Z15" s="1810"/>
      <c r="AA15" s="1807">
        <v>1</v>
      </c>
      <c r="AB15" s="1807">
        <v>1</v>
      </c>
      <c r="AC15" s="1807">
        <v>1</v>
      </c>
    </row>
    <row r="16" spans="1:29" ht="41.4">
      <c r="A16" s="404"/>
      <c r="B16" s="631" t="s">
        <v>2684</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26"/>
      <c r="Q16" s="1806" t="str">
        <f>B16</f>
        <v>公共配套设施</v>
      </c>
      <c r="R16" s="774" t="s">
        <v>17</v>
      </c>
      <c r="S16" s="775">
        <f>F16</f>
        <v>100</v>
      </c>
      <c r="T16" s="774" t="s">
        <v>17</v>
      </c>
      <c r="U16" s="775">
        <f>H16</f>
        <v>100</v>
      </c>
      <c r="V16" s="774" t="s">
        <v>17</v>
      </c>
      <c r="W16" s="775">
        <f>J16</f>
        <v>100</v>
      </c>
      <c r="X16" s="1809"/>
      <c r="Y16" s="3326"/>
      <c r="Z16" s="1810" t="str">
        <f>Q16</f>
        <v>公共配套设施</v>
      </c>
      <c r="AA16" s="1807">
        <f t="shared" si="3"/>
        <v>1</v>
      </c>
      <c r="AB16" s="1807">
        <f t="shared" si="4"/>
        <v>1</v>
      </c>
      <c r="AC16" s="1807">
        <f t="shared" si="5"/>
        <v>1</v>
      </c>
    </row>
    <row r="17" spans="1:29" ht="15">
      <c r="A17" s="404"/>
      <c r="B17" s="632"/>
      <c r="C17" s="2600"/>
      <c r="D17" s="448"/>
      <c r="E17" s="447"/>
      <c r="F17" s="449"/>
      <c r="G17" s="447"/>
      <c r="H17" s="448"/>
      <c r="I17" s="447"/>
      <c r="J17" s="448"/>
      <c r="K17" s="615"/>
      <c r="L17" s="1137"/>
      <c r="M17" s="1128"/>
      <c r="N17" s="1128"/>
      <c r="O17" s="1128"/>
      <c r="P17" s="3326"/>
      <c r="Q17" s="1806"/>
      <c r="R17" s="774"/>
      <c r="S17" s="775"/>
      <c r="T17" s="774"/>
      <c r="U17" s="775"/>
      <c r="V17" s="774"/>
      <c r="W17" s="775"/>
      <c r="X17" s="1809"/>
      <c r="Y17" s="3326"/>
      <c r="Z17" s="1810"/>
      <c r="AA17" s="1807">
        <v>1</v>
      </c>
      <c r="AB17" s="1807">
        <v>1</v>
      </c>
      <c r="AC17" s="1807">
        <v>1</v>
      </c>
    </row>
    <row r="18" spans="1:29" ht="41.4">
      <c r="A18" s="404"/>
      <c r="B18" s="633" t="s">
        <v>2685</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26"/>
      <c r="Q18" s="1806" t="str">
        <f>B18</f>
        <v>基础设施水平</v>
      </c>
      <c r="R18" s="774" t="s">
        <v>17</v>
      </c>
      <c r="S18" s="775">
        <f>F18</f>
        <v>100</v>
      </c>
      <c r="T18" s="774" t="s">
        <v>17</v>
      </c>
      <c r="U18" s="775">
        <f>H18</f>
        <v>100</v>
      </c>
      <c r="V18" s="774" t="s">
        <v>17</v>
      </c>
      <c r="W18" s="775">
        <f>J18</f>
        <v>100</v>
      </c>
      <c r="X18" s="1809"/>
      <c r="Y18" s="3326"/>
      <c r="Z18" s="1810" t="str">
        <f>Q18</f>
        <v>基础设施水平</v>
      </c>
      <c r="AA18" s="1807">
        <f t="shared" ref="AA18" si="8">D18/F18</f>
        <v>1</v>
      </c>
      <c r="AB18" s="1807">
        <f t="shared" ref="AB18" si="9">D18/H18</f>
        <v>1</v>
      </c>
      <c r="AC18" s="1807">
        <f t="shared" ref="AC18" si="10">D18/J18</f>
        <v>1</v>
      </c>
    </row>
    <row r="19" spans="1:29" ht="15">
      <c r="A19" s="404"/>
      <c r="B19" s="633"/>
      <c r="C19" s="2600"/>
      <c r="D19" s="450"/>
      <c r="E19" s="2600"/>
      <c r="F19" s="453"/>
      <c r="G19" s="2600"/>
      <c r="H19" s="448"/>
      <c r="I19" s="447"/>
      <c r="J19" s="448"/>
      <c r="K19" s="1380"/>
      <c r="L19" s="1137"/>
      <c r="M19" s="1128"/>
      <c r="N19" s="1128"/>
      <c r="O19" s="1128"/>
      <c r="P19" s="3326"/>
      <c r="Q19" s="1806"/>
      <c r="R19" s="774"/>
      <c r="S19" s="775"/>
      <c r="T19" s="774"/>
      <c r="U19" s="775"/>
      <c r="V19" s="774"/>
      <c r="W19" s="775"/>
      <c r="X19" s="1809"/>
      <c r="Y19" s="3326"/>
      <c r="Z19" s="1810"/>
      <c r="AA19" s="1807">
        <v>1</v>
      </c>
      <c r="AB19" s="1807">
        <v>1</v>
      </c>
      <c r="AC19" s="1807">
        <v>1</v>
      </c>
    </row>
    <row r="20" spans="1:29" ht="55.2">
      <c r="A20" s="404"/>
      <c r="B20" s="631" t="s">
        <v>2706</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26"/>
      <c r="Q20" s="1806" t="str">
        <f>B20</f>
        <v>自然及人文环境</v>
      </c>
      <c r="R20" s="774" t="s">
        <v>17</v>
      </c>
      <c r="S20" s="775">
        <f>F20</f>
        <v>100</v>
      </c>
      <c r="T20" s="774" t="s">
        <v>17</v>
      </c>
      <c r="U20" s="775">
        <f>H20</f>
        <v>100</v>
      </c>
      <c r="V20" s="774" t="s">
        <v>17</v>
      </c>
      <c r="W20" s="775">
        <f>J20</f>
        <v>100</v>
      </c>
      <c r="X20" s="1809"/>
      <c r="Y20" s="3326"/>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326"/>
      <c r="Q21" s="1806"/>
      <c r="R21" s="774"/>
      <c r="S21" s="775"/>
      <c r="T21" s="774"/>
      <c r="U21" s="775"/>
      <c r="V21" s="774"/>
      <c r="W21" s="775"/>
      <c r="X21" s="1809"/>
      <c r="Y21" s="3326"/>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26"/>
      <c r="Q22" s="1806" t="str">
        <f>B22</f>
        <v>楼层</v>
      </c>
      <c r="R22" s="774" t="s">
        <v>17</v>
      </c>
      <c r="S22" s="775">
        <f>F22</f>
        <v>100</v>
      </c>
      <c r="T22" s="774" t="s">
        <v>17</v>
      </c>
      <c r="U22" s="775">
        <f>H22</f>
        <v>100</v>
      </c>
      <c r="V22" s="774" t="s">
        <v>17</v>
      </c>
      <c r="W22" s="775">
        <f>J22</f>
        <v>100</v>
      </c>
      <c r="X22" s="1809"/>
      <c r="Y22" s="3326"/>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26"/>
      <c r="Q23" s="1806">
        <f>B23</f>
        <v>111</v>
      </c>
      <c r="R23" s="774" t="s">
        <v>17</v>
      </c>
      <c r="S23" s="775">
        <f>F23</f>
        <v>100</v>
      </c>
      <c r="T23" s="774" t="s">
        <v>17</v>
      </c>
      <c r="U23" s="775">
        <f>H23</f>
        <v>100</v>
      </c>
      <c r="V23" s="774" t="s">
        <v>17</v>
      </c>
      <c r="W23" s="775">
        <f>J23</f>
        <v>100</v>
      </c>
      <c r="X23" s="1809"/>
      <c r="Y23" s="3326"/>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26"/>
      <c r="Q24" s="1806">
        <f t="shared" ref="Q24:Q36" si="11">B24</f>
        <v>111</v>
      </c>
      <c r="R24" s="774" t="s">
        <v>17</v>
      </c>
      <c r="S24" s="775">
        <f>F24</f>
        <v>100</v>
      </c>
      <c r="T24" s="774" t="s">
        <v>17</v>
      </c>
      <c r="U24" s="775">
        <f>H24</f>
        <v>100</v>
      </c>
      <c r="V24" s="774" t="s">
        <v>17</v>
      </c>
      <c r="W24" s="775">
        <f>J24</f>
        <v>100</v>
      </c>
      <c r="X24" s="1809"/>
      <c r="Y24" s="3326"/>
      <c r="Z24" s="1810">
        <f>Q24</f>
        <v>111</v>
      </c>
      <c r="AA24" s="1807">
        <f t="shared" si="3"/>
        <v>1</v>
      </c>
      <c r="AB24" s="1807">
        <f t="shared" si="4"/>
        <v>1</v>
      </c>
      <c r="AC24" s="1807">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26"/>
      <c r="Q25" s="1791">
        <f t="shared" si="11"/>
        <v>111</v>
      </c>
      <c r="R25" s="770" t="s">
        <v>17</v>
      </c>
      <c r="S25" s="771">
        <f>F25</f>
        <v>100</v>
      </c>
      <c r="T25" s="770" t="s">
        <v>17</v>
      </c>
      <c r="U25" s="771">
        <f>H25</f>
        <v>100</v>
      </c>
      <c r="V25" s="770" t="s">
        <v>17</v>
      </c>
      <c r="W25" s="771">
        <f>J25</f>
        <v>100</v>
      </c>
      <c r="X25" s="772"/>
      <c r="Y25" s="3326"/>
      <c r="Z25" s="55">
        <f>Q25</f>
        <v>111</v>
      </c>
      <c r="AA25" s="1807">
        <f>D25/F25</f>
        <v>1</v>
      </c>
      <c r="AB25" s="1807">
        <f>D25/H25</f>
        <v>1</v>
      </c>
      <c r="AC25" s="1807">
        <f>D25/J25</f>
        <v>1</v>
      </c>
    </row>
    <row r="26" spans="1:29" ht="30">
      <c r="A26" s="652" t="s">
        <v>2559</v>
      </c>
      <c r="B26" s="70" t="s">
        <v>2708</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27"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328"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28"/>
      <c r="Q27" s="776" t="str">
        <f t="shared" si="11"/>
        <v>项目停车位配比</v>
      </c>
      <c r="R27" s="777" t="s">
        <v>17</v>
      </c>
      <c r="S27" s="778">
        <f t="shared" si="12"/>
        <v>100</v>
      </c>
      <c r="T27" s="777" t="s">
        <v>17</v>
      </c>
      <c r="U27" s="778">
        <f t="shared" si="13"/>
        <v>100</v>
      </c>
      <c r="V27" s="777" t="s">
        <v>17</v>
      </c>
      <c r="W27" s="778">
        <f t="shared" si="14"/>
        <v>100</v>
      </c>
      <c r="X27" s="779"/>
      <c r="Y27" s="3328"/>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28"/>
      <c r="Q28" s="1806" t="str">
        <f t="shared" si="11"/>
        <v>公共部分装修</v>
      </c>
      <c r="R28" s="774" t="s">
        <v>17</v>
      </c>
      <c r="S28" s="775">
        <f t="shared" si="12"/>
        <v>100</v>
      </c>
      <c r="T28" s="774" t="s">
        <v>17</v>
      </c>
      <c r="U28" s="775">
        <f t="shared" si="13"/>
        <v>100</v>
      </c>
      <c r="V28" s="774" t="s">
        <v>17</v>
      </c>
      <c r="W28" s="775">
        <f t="shared" si="14"/>
        <v>100</v>
      </c>
      <c r="X28" s="1809"/>
      <c r="Y28" s="3328"/>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28"/>
      <c r="Q29" s="1806" t="str">
        <f t="shared" si="11"/>
        <v>成新率</v>
      </c>
      <c r="R29" s="774" t="s">
        <v>17</v>
      </c>
      <c r="S29" s="775" t="e">
        <f t="shared" si="12"/>
        <v>#N/A</v>
      </c>
      <c r="T29" s="774" t="s">
        <v>17</v>
      </c>
      <c r="U29" s="775" t="e">
        <f t="shared" si="13"/>
        <v>#N/A</v>
      </c>
      <c r="V29" s="774" t="s">
        <v>17</v>
      </c>
      <c r="W29" s="775" t="e">
        <f t="shared" si="14"/>
        <v>#N/A</v>
      </c>
      <c r="X29" s="1809"/>
      <c r="Y29" s="3328"/>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28"/>
      <c r="Q30" s="1806" t="str">
        <f t="shared" si="11"/>
        <v>物业等级</v>
      </c>
      <c r="R30" s="774" t="s">
        <v>17</v>
      </c>
      <c r="S30" s="775">
        <f t="shared" si="12"/>
        <v>100</v>
      </c>
      <c r="T30" s="774" t="s">
        <v>17</v>
      </c>
      <c r="U30" s="775">
        <f t="shared" si="13"/>
        <v>100</v>
      </c>
      <c r="V30" s="774" t="s">
        <v>17</v>
      </c>
      <c r="W30" s="775">
        <f t="shared" si="14"/>
        <v>100</v>
      </c>
      <c r="X30" s="1809"/>
      <c r="Y30" s="3328"/>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28"/>
      <c r="Q31" s="1791" t="str">
        <f t="shared" si="11"/>
        <v>停车位面积</v>
      </c>
      <c r="R31" s="770" t="s">
        <v>17</v>
      </c>
      <c r="S31" s="771" t="e">
        <f t="shared" si="12"/>
        <v>#N/A</v>
      </c>
      <c r="T31" s="770" t="s">
        <v>17</v>
      </c>
      <c r="U31" s="771" t="e">
        <f t="shared" si="13"/>
        <v>#N/A</v>
      </c>
      <c r="V31" s="770" t="s">
        <v>17</v>
      </c>
      <c r="W31" s="771" t="e">
        <f t="shared" si="14"/>
        <v>#N/A</v>
      </c>
      <c r="X31" s="772"/>
      <c r="Y31" s="3328"/>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28" t="s">
        <v>2561</v>
      </c>
      <c r="Q32" s="1806" t="str">
        <f t="shared" si="11"/>
        <v>车位类型</v>
      </c>
      <c r="R32" s="774" t="s">
        <v>17</v>
      </c>
      <c r="S32" s="775">
        <f t="shared" si="12"/>
        <v>100</v>
      </c>
      <c r="T32" s="774" t="s">
        <v>17</v>
      </c>
      <c r="U32" s="775">
        <f t="shared" si="13"/>
        <v>100</v>
      </c>
      <c r="V32" s="774" t="s">
        <v>17</v>
      </c>
      <c r="W32" s="775">
        <f t="shared" si="14"/>
        <v>100</v>
      </c>
      <c r="X32" s="1809"/>
      <c r="Y32" s="3328"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28"/>
      <c r="Q33" s="1806" t="str">
        <f t="shared" si="11"/>
        <v>是否直接入户</v>
      </c>
      <c r="R33" s="774" t="s">
        <v>17</v>
      </c>
      <c r="S33" s="775">
        <f t="shared" si="12"/>
        <v>100</v>
      </c>
      <c r="T33" s="774" t="s">
        <v>17</v>
      </c>
      <c r="U33" s="775">
        <f t="shared" si="13"/>
        <v>100</v>
      </c>
      <c r="V33" s="774" t="s">
        <v>17</v>
      </c>
      <c r="W33" s="775">
        <f t="shared" si="14"/>
        <v>100</v>
      </c>
      <c r="X33" s="1809"/>
      <c r="Y33" s="3328"/>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28"/>
      <c r="Q34" s="1806">
        <f t="shared" si="11"/>
        <v>111</v>
      </c>
      <c r="R34" s="774" t="s">
        <v>17</v>
      </c>
      <c r="S34" s="775">
        <f t="shared" si="12"/>
        <v>100</v>
      </c>
      <c r="T34" s="774" t="s">
        <v>17</v>
      </c>
      <c r="U34" s="775">
        <f t="shared" si="13"/>
        <v>100</v>
      </c>
      <c r="V34" s="774" t="s">
        <v>17</v>
      </c>
      <c r="W34" s="775">
        <f t="shared" si="14"/>
        <v>100</v>
      </c>
      <c r="X34" s="1809"/>
      <c r="Y34" s="3328"/>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28"/>
      <c r="Q35" s="776">
        <f t="shared" si="11"/>
        <v>111</v>
      </c>
      <c r="R35" s="777" t="s">
        <v>17</v>
      </c>
      <c r="S35" s="778">
        <f t="shared" si="12"/>
        <v>100</v>
      </c>
      <c r="T35" s="777" t="s">
        <v>17</v>
      </c>
      <c r="U35" s="778">
        <f t="shared" si="13"/>
        <v>100</v>
      </c>
      <c r="V35" s="777" t="s">
        <v>17</v>
      </c>
      <c r="W35" s="778">
        <f t="shared" si="14"/>
        <v>100</v>
      </c>
      <c r="X35" s="779"/>
      <c r="Y35" s="3328"/>
      <c r="Z35" s="780">
        <f t="shared" si="15"/>
        <v>111</v>
      </c>
      <c r="AA35" s="1807">
        <f t="shared" si="3"/>
        <v>1</v>
      </c>
      <c r="AB35" s="1807">
        <f t="shared" si="4"/>
        <v>1</v>
      </c>
      <c r="AC35" s="1807">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28"/>
      <c r="Q36" s="1806">
        <f t="shared" si="11"/>
        <v>111</v>
      </c>
      <c r="R36" s="774" t="s">
        <v>17</v>
      </c>
      <c r="S36" s="775">
        <f t="shared" si="12"/>
        <v>100</v>
      </c>
      <c r="T36" s="774" t="s">
        <v>17</v>
      </c>
      <c r="U36" s="775">
        <f t="shared" si="13"/>
        <v>100</v>
      </c>
      <c r="V36" s="774" t="s">
        <v>17</v>
      </c>
      <c r="W36" s="775">
        <f t="shared" si="14"/>
        <v>100</v>
      </c>
      <c r="X36" s="1809"/>
      <c r="Y36" s="3328"/>
      <c r="Z36" s="1810">
        <f t="shared" si="15"/>
        <v>111</v>
      </c>
      <c r="AA36" s="1807">
        <f t="shared" si="3"/>
        <v>1</v>
      </c>
      <c r="AB36" s="1807">
        <f t="shared" si="4"/>
        <v>1</v>
      </c>
      <c r="AC36" s="1807">
        <f t="shared" si="5"/>
        <v>1</v>
      </c>
    </row>
    <row r="37" spans="1:29" ht="14.4">
      <c r="A37" s="479" t="s">
        <v>2716</v>
      </c>
      <c r="B37" s="2686" t="s">
        <v>2717</v>
      </c>
      <c r="C37" s="1404" t="s">
        <v>1</v>
      </c>
      <c r="D37" s="1405"/>
      <c r="E37" s="1406"/>
      <c r="F37" s="1407"/>
      <c r="G37" s="1408"/>
      <c r="H37" s="1409"/>
      <c r="I37" s="1406"/>
      <c r="J37" s="1409"/>
      <c r="K37" s="619"/>
      <c r="L37" s="1140"/>
      <c r="M37" s="1141"/>
      <c r="N37" s="1128"/>
      <c r="O37" s="1141"/>
      <c r="P37" s="3310" t="str">
        <f>A37</f>
        <v>成交单价</v>
      </c>
      <c r="Q37" s="3310"/>
      <c r="R37" s="3366">
        <f>E37</f>
        <v>0</v>
      </c>
      <c r="S37" s="3366"/>
      <c r="T37" s="3366">
        <f>G37</f>
        <v>0</v>
      </c>
      <c r="U37" s="3366"/>
      <c r="V37" s="3366">
        <f>I37</f>
        <v>0</v>
      </c>
      <c r="W37" s="3366"/>
      <c r="X37" s="759"/>
      <c r="Y37" s="781"/>
      <c r="Z37" s="759"/>
      <c r="AA37" s="759"/>
      <c r="AB37" s="759"/>
      <c r="AC37" s="759"/>
    </row>
    <row r="38" spans="1:29" ht="1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10" t="str">
        <f>A38</f>
        <v>比较价值（元/平方米）</v>
      </c>
      <c r="Q38" s="3310"/>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759"/>
      <c r="Y38" s="759"/>
      <c r="Z38" s="759"/>
      <c r="AA38" s="759"/>
      <c r="AB38" s="759"/>
      <c r="AC38" s="759"/>
    </row>
    <row r="39" spans="1:29" ht="15" thickBot="1">
      <c r="A39" s="492" t="s">
        <v>2719</v>
      </c>
      <c r="B39" s="493"/>
      <c r="C39" s="1414" t="e">
        <f>R39</f>
        <v>#DIV/0!</v>
      </c>
      <c r="D39" s="1414"/>
      <c r="E39" s="1414"/>
      <c r="F39" s="1414"/>
      <c r="G39" s="1414"/>
      <c r="H39" s="1414"/>
      <c r="I39" s="1414"/>
      <c r="J39" s="1414"/>
      <c r="K39" s="621"/>
      <c r="L39" s="1140"/>
      <c r="M39" s="1141"/>
      <c r="N39" s="1141"/>
      <c r="O39" s="1141"/>
      <c r="P39" s="3330" t="str">
        <f>A39</f>
        <v>估价对象XX用房的比较价值（楼面单价，元/平方米）</v>
      </c>
      <c r="Q39" s="3331"/>
      <c r="R39" s="3365" t="e">
        <f>IF(F1="售价",ROUND(AVERAGE(R38:V38),0),ROUND(AVERAGE(R38:V38),1))</f>
        <v>#DIV/0!</v>
      </c>
      <c r="S39" s="3365"/>
      <c r="T39" s="3365"/>
      <c r="U39" s="3365"/>
      <c r="V39" s="3365"/>
      <c r="W39" s="336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2724</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2703</v>
      </c>
      <c r="B1" s="1615"/>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5" t="e">
        <f ca="1">IF(C2="——",ROUND(C37*D3/10000,0),ROUND(C37*D3/10000,0)-D2)</f>
        <v>#DIV/0!</v>
      </c>
      <c r="C2" s="2579"/>
      <c r="D2" s="1121" t="e">
        <f ca="1">SUMIF(INDIRECT("'"&amp;F2&amp;"'"&amp;"!A:A"),"承租人权益价值",INDIRECT("'"&amp;F2&amp;"'"&amp;"!c:c"))</f>
        <v>#REF!</v>
      </c>
      <c r="E2" s="2580" t="s">
        <v>2327</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311" t="s">
        <v>2642</v>
      </c>
      <c r="D4" s="3312"/>
      <c r="E4" s="3313" t="s">
        <v>2643</v>
      </c>
      <c r="F4" s="3314"/>
      <c r="G4" s="3311" t="s">
        <v>2644</v>
      </c>
      <c r="H4" s="3312"/>
      <c r="I4" s="3311" t="s">
        <v>2645</v>
      </c>
      <c r="J4" s="3312"/>
      <c r="K4" s="610" t="s">
        <v>2646</v>
      </c>
      <c r="L4" s="1127"/>
      <c r="M4" s="1128"/>
      <c r="N4" s="1128"/>
      <c r="O4" s="1128"/>
      <c r="P4" s="3315" t="s">
        <v>2647</v>
      </c>
      <c r="Q4" s="3316"/>
      <c r="R4" s="3298" t="s">
        <v>2643</v>
      </c>
      <c r="S4" s="3299"/>
      <c r="T4" s="3298" t="s">
        <v>2644</v>
      </c>
      <c r="U4" s="3299"/>
      <c r="V4" s="3323" t="s">
        <v>2645</v>
      </c>
      <c r="W4" s="3323"/>
      <c r="X4" s="1809"/>
      <c r="Y4" s="3298" t="s">
        <v>2647</v>
      </c>
      <c r="Z4" s="3299"/>
      <c r="AA4" s="3293" t="s">
        <v>2643</v>
      </c>
      <c r="AB4" s="3294" t="s">
        <v>2644</v>
      </c>
      <c r="AC4" s="3293" t="s">
        <v>2645</v>
      </c>
    </row>
    <row r="5" spans="1:29">
      <c r="A5" s="404"/>
      <c r="B5" s="405"/>
      <c r="C5" s="3304" t="s">
        <v>2538</v>
      </c>
      <c r="D5" s="3305"/>
      <c r="E5" s="3302" t="s">
        <v>2539</v>
      </c>
      <c r="F5" s="3303"/>
      <c r="G5" s="3304" t="s">
        <v>2540</v>
      </c>
      <c r="H5" s="3305"/>
      <c r="I5" s="3304" t="s">
        <v>2541</v>
      </c>
      <c r="J5" s="3305"/>
      <c r="K5" s="610"/>
      <c r="L5" s="1127"/>
      <c r="M5" s="1128"/>
      <c r="N5" s="1128"/>
      <c r="O5" s="1128"/>
      <c r="P5" s="3317"/>
      <c r="Q5" s="3318"/>
      <c r="R5" s="3300"/>
      <c r="S5" s="3301"/>
      <c r="T5" s="3300"/>
      <c r="U5" s="3301"/>
      <c r="V5" s="3323"/>
      <c r="W5" s="3323"/>
      <c r="X5" s="1809"/>
      <c r="Y5" s="3300"/>
      <c r="Z5" s="3301"/>
      <c r="AA5" s="3294"/>
      <c r="AB5" s="3294"/>
      <c r="AC5" s="3294"/>
    </row>
    <row r="6" spans="1:29" ht="15" thickBot="1">
      <c r="A6" s="406"/>
      <c r="B6" s="407"/>
      <c r="C6" s="3306" t="s">
        <v>2542</v>
      </c>
      <c r="D6" s="3307"/>
      <c r="E6" s="3308" t="s">
        <v>2542</v>
      </c>
      <c r="F6" s="3309"/>
      <c r="G6" s="3306" t="s">
        <v>2542</v>
      </c>
      <c r="H6" s="3307"/>
      <c r="I6" s="3306" t="s">
        <v>2542</v>
      </c>
      <c r="J6" s="3307"/>
      <c r="K6" s="610" t="s">
        <v>2543</v>
      </c>
      <c r="L6" s="1127"/>
      <c r="M6" s="1128"/>
      <c r="N6" s="1128"/>
      <c r="O6" s="1128"/>
      <c r="P6" s="3319"/>
      <c r="Q6" s="3320"/>
      <c r="R6" s="3300"/>
      <c r="S6" s="3301"/>
      <c r="T6" s="3321"/>
      <c r="U6" s="3322"/>
      <c r="V6" s="3323"/>
      <c r="W6" s="3323"/>
      <c r="X6" s="1809"/>
      <c r="Y6" s="3321"/>
      <c r="Z6" s="3322"/>
      <c r="AA6" s="3295"/>
      <c r="AB6" s="3295"/>
      <c r="AC6" s="3295"/>
    </row>
    <row r="7" spans="1:29" s="117" customFormat="1" ht="15" thickBot="1">
      <c r="A7" s="408" t="s">
        <v>2544</v>
      </c>
      <c r="B7" s="409"/>
      <c r="C7" s="410">
        <f>'数据-取费表'!B2</f>
        <v>43629</v>
      </c>
      <c r="D7" s="411">
        <v>100</v>
      </c>
      <c r="E7" s="412"/>
      <c r="F7" s="413">
        <f>SUMIF(46:46,YEAR(E7)&amp;"-"&amp;MONTH(E7),47:47)</f>
        <v>0</v>
      </c>
      <c r="G7" s="2687"/>
      <c r="H7" s="411">
        <f>SUMIF(46:46,YEAR(G7)&amp;"-"&amp;MONTH(G7),47:47)</f>
        <v>0</v>
      </c>
      <c r="I7" s="412"/>
      <c r="J7" s="411">
        <f>SUMIF(46:46,YEAR(I7)&amp;"-"&amp;MONTH(I7),47:47)</f>
        <v>0</v>
      </c>
      <c r="K7" s="611"/>
      <c r="L7" s="1129"/>
      <c r="M7" s="1130"/>
      <c r="N7" s="1130"/>
      <c r="O7" s="1130"/>
      <c r="P7" s="3296" t="s">
        <v>2545</v>
      </c>
      <c r="Q7" s="3324"/>
      <c r="R7" s="770" t="s">
        <v>17</v>
      </c>
      <c r="S7" s="771">
        <f t="shared" ref="S7:S14" si="0">F7</f>
        <v>0</v>
      </c>
      <c r="T7" s="770" t="s">
        <v>17</v>
      </c>
      <c r="U7" s="771">
        <f t="shared" ref="U7:U14" si="1">H7</f>
        <v>0</v>
      </c>
      <c r="V7" s="770" t="s">
        <v>17</v>
      </c>
      <c r="W7" s="771">
        <f t="shared" ref="W7:W14" si="2">J7</f>
        <v>0</v>
      </c>
      <c r="X7" s="772"/>
      <c r="Y7" s="3296" t="s">
        <v>2545</v>
      </c>
      <c r="Z7" s="3297"/>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96" t="s">
        <v>2548</v>
      </c>
      <c r="Q8" s="3297"/>
      <c r="R8" s="770" t="s">
        <v>17</v>
      </c>
      <c r="S8" s="771">
        <f t="shared" si="0"/>
        <v>0</v>
      </c>
      <c r="T8" s="770" t="s">
        <v>17</v>
      </c>
      <c r="U8" s="771">
        <f t="shared" si="1"/>
        <v>0</v>
      </c>
      <c r="V8" s="770" t="s">
        <v>17</v>
      </c>
      <c r="W8" s="771">
        <f t="shared" si="2"/>
        <v>0</v>
      </c>
      <c r="X8" s="772"/>
      <c r="Y8" s="3296" t="s">
        <v>2548</v>
      </c>
      <c r="Z8" s="3297"/>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10" t="s">
        <v>2551</v>
      </c>
      <c r="Q9" s="1791" t="str">
        <f t="shared" ref="Q9:Q14" si="6">B9</f>
        <v>用途</v>
      </c>
      <c r="R9" s="770" t="s">
        <v>17</v>
      </c>
      <c r="S9" s="771">
        <f t="shared" si="0"/>
        <v>100</v>
      </c>
      <c r="T9" s="770" t="s">
        <v>17</v>
      </c>
      <c r="U9" s="771">
        <f t="shared" si="1"/>
        <v>100</v>
      </c>
      <c r="V9" s="770" t="s">
        <v>17</v>
      </c>
      <c r="W9" s="771">
        <f t="shared" si="2"/>
        <v>100</v>
      </c>
      <c r="X9" s="772"/>
      <c r="Y9" s="3157"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10"/>
      <c r="Q10" s="1791" t="str">
        <f t="shared" si="6"/>
        <v>土地使用年限（年）</v>
      </c>
      <c r="R10" s="770" t="s">
        <v>17</v>
      </c>
      <c r="S10" s="771">
        <f t="shared" si="0"/>
        <v>100</v>
      </c>
      <c r="T10" s="770" t="s">
        <v>17</v>
      </c>
      <c r="U10" s="771">
        <f t="shared" si="1"/>
        <v>100</v>
      </c>
      <c r="V10" s="770" t="s">
        <v>17</v>
      </c>
      <c r="W10" s="771">
        <f t="shared" si="2"/>
        <v>100</v>
      </c>
      <c r="X10" s="772"/>
      <c r="Y10" s="3157"/>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10"/>
      <c r="Q11" s="1791">
        <f t="shared" si="6"/>
        <v>111</v>
      </c>
      <c r="R11" s="770" t="s">
        <v>17</v>
      </c>
      <c r="S11" s="771">
        <f t="shared" si="0"/>
        <v>100</v>
      </c>
      <c r="T11" s="770" t="s">
        <v>17</v>
      </c>
      <c r="U11" s="771">
        <f t="shared" si="1"/>
        <v>100</v>
      </c>
      <c r="V11" s="770" t="s">
        <v>17</v>
      </c>
      <c r="W11" s="771">
        <f t="shared" si="2"/>
        <v>100</v>
      </c>
      <c r="X11" s="772"/>
      <c r="Y11" s="3157"/>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10"/>
      <c r="Q12" s="1791">
        <f t="shared" si="6"/>
        <v>111</v>
      </c>
      <c r="R12" s="770" t="s">
        <v>17</v>
      </c>
      <c r="S12" s="771">
        <f t="shared" si="0"/>
        <v>100</v>
      </c>
      <c r="T12" s="770" t="s">
        <v>17</v>
      </c>
      <c r="U12" s="771">
        <f t="shared" si="1"/>
        <v>100</v>
      </c>
      <c r="V12" s="770" t="s">
        <v>17</v>
      </c>
      <c r="W12" s="771">
        <f t="shared" si="2"/>
        <v>100</v>
      </c>
      <c r="X12" s="772"/>
      <c r="Y12" s="3157"/>
      <c r="Z12" s="55">
        <f t="shared" si="7"/>
        <v>111</v>
      </c>
      <c r="AA12" s="773">
        <f>D12/F12</f>
        <v>1</v>
      </c>
      <c r="AB12" s="773">
        <f>D12/H12</f>
        <v>1</v>
      </c>
      <c r="AC12" s="773">
        <f>D12/J12</f>
        <v>1</v>
      </c>
    </row>
    <row r="13" spans="1:29" ht="15.6" thickBot="1">
      <c r="A13" s="428"/>
      <c r="B13" s="2592">
        <v>111</v>
      </c>
      <c r="C13" s="434"/>
      <c r="D13" s="435">
        <v>100</v>
      </c>
      <c r="E13" s="469"/>
      <c r="F13" s="425">
        <f>SUMIF(59:59,E13,60:60)-SUMIF(59:59,C13,60:60)+100</f>
        <v>100</v>
      </c>
      <c r="G13" s="2688"/>
      <c r="H13" s="438">
        <f>SUMIF(59:59,G13,60:60)-SUMIF(59:59,C13,60:60)+100</f>
        <v>100</v>
      </c>
      <c r="I13" s="469"/>
      <c r="J13" s="435">
        <f>SUMIF(59:59,I13,60:60)-SUMIF(59:59,C13,60:60)+100</f>
        <v>100</v>
      </c>
      <c r="K13" s="613"/>
      <c r="L13" s="1137"/>
      <c r="M13" s="1128"/>
      <c r="N13" s="1128"/>
      <c r="O13" s="1136"/>
      <c r="P13" s="3310"/>
      <c r="Q13" s="1791">
        <f t="shared" si="6"/>
        <v>111</v>
      </c>
      <c r="R13" s="770" t="s">
        <v>17</v>
      </c>
      <c r="S13" s="771">
        <f t="shared" si="0"/>
        <v>100</v>
      </c>
      <c r="T13" s="770" t="s">
        <v>17</v>
      </c>
      <c r="U13" s="771">
        <f t="shared" si="1"/>
        <v>100</v>
      </c>
      <c r="V13" s="770" t="s">
        <v>17</v>
      </c>
      <c r="W13" s="771">
        <f t="shared" si="2"/>
        <v>100</v>
      </c>
      <c r="X13" s="772"/>
      <c r="Y13" s="3157"/>
      <c r="Z13" s="55">
        <f t="shared" si="7"/>
        <v>111</v>
      </c>
      <c r="AA13" s="773">
        <f t="shared" si="3"/>
        <v>1</v>
      </c>
      <c r="AB13" s="773">
        <f t="shared" si="4"/>
        <v>1</v>
      </c>
      <c r="AC13" s="773">
        <f t="shared" si="5"/>
        <v>1</v>
      </c>
    </row>
    <row r="14" spans="1:29" ht="96.6">
      <c r="A14" s="440" t="s">
        <v>2555</v>
      </c>
      <c r="B14" s="69" t="s">
        <v>2705</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25" t="s">
        <v>2556</v>
      </c>
      <c r="Q14" s="1806" t="str">
        <f t="shared" si="6"/>
        <v>交通便捷度</v>
      </c>
      <c r="R14" s="774" t="s">
        <v>17</v>
      </c>
      <c r="S14" s="775">
        <f t="shared" si="0"/>
        <v>100</v>
      </c>
      <c r="T14" s="774" t="s">
        <v>17</v>
      </c>
      <c r="U14" s="775">
        <f t="shared" si="1"/>
        <v>100</v>
      </c>
      <c r="V14" s="774" t="s">
        <v>17</v>
      </c>
      <c r="W14" s="775">
        <f t="shared" si="2"/>
        <v>100</v>
      </c>
      <c r="X14" s="1809"/>
      <c r="Y14" s="3325"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326"/>
      <c r="Q15" s="1806"/>
      <c r="R15" s="774"/>
      <c r="S15" s="775"/>
      <c r="T15" s="774"/>
      <c r="U15" s="775"/>
      <c r="V15" s="774"/>
      <c r="W15" s="775"/>
      <c r="X15" s="1809"/>
      <c r="Y15" s="3326"/>
      <c r="Z15" s="1810"/>
      <c r="AA15" s="1807">
        <v>1</v>
      </c>
      <c r="AB15" s="1807">
        <v>1</v>
      </c>
      <c r="AC15" s="1807">
        <v>1</v>
      </c>
    </row>
    <row r="16" spans="1:29" ht="41.4">
      <c r="A16" s="428"/>
      <c r="B16" s="451" t="s">
        <v>2684</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26"/>
      <c r="Q16" s="1806" t="str">
        <f>B16</f>
        <v>公共配套设施</v>
      </c>
      <c r="R16" s="774" t="s">
        <v>17</v>
      </c>
      <c r="S16" s="775">
        <f>F16</f>
        <v>100</v>
      </c>
      <c r="T16" s="774" t="s">
        <v>17</v>
      </c>
      <c r="U16" s="775">
        <f>H16</f>
        <v>100</v>
      </c>
      <c r="V16" s="774" t="s">
        <v>17</v>
      </c>
      <c r="W16" s="775">
        <f>J16</f>
        <v>100</v>
      </c>
      <c r="X16" s="1809"/>
      <c r="Y16" s="3326"/>
      <c r="Z16" s="1810" t="str">
        <f>Q16</f>
        <v>公共配套设施</v>
      </c>
      <c r="AA16" s="1807">
        <f t="shared" si="3"/>
        <v>1</v>
      </c>
      <c r="AB16" s="1807">
        <f t="shared" si="4"/>
        <v>1</v>
      </c>
      <c r="AC16" s="1807">
        <f t="shared" si="5"/>
        <v>1</v>
      </c>
    </row>
    <row r="17" spans="1:29" ht="15">
      <c r="A17" s="428"/>
      <c r="B17" s="456"/>
      <c r="C17" s="2600"/>
      <c r="D17" s="448"/>
      <c r="E17" s="447"/>
      <c r="F17" s="449"/>
      <c r="G17" s="447"/>
      <c r="H17" s="448"/>
      <c r="I17" s="447"/>
      <c r="J17" s="448"/>
      <c r="K17" s="615"/>
      <c r="L17" s="1137"/>
      <c r="M17" s="1128"/>
      <c r="N17" s="1128"/>
      <c r="O17" s="1136"/>
      <c r="P17" s="3326"/>
      <c r="Q17" s="1806"/>
      <c r="R17" s="774"/>
      <c r="S17" s="775"/>
      <c r="T17" s="774"/>
      <c r="U17" s="775"/>
      <c r="V17" s="774"/>
      <c r="W17" s="775"/>
      <c r="X17" s="1809"/>
      <c r="Y17" s="3326"/>
      <c r="Z17" s="1810"/>
      <c r="AA17" s="1807">
        <v>1</v>
      </c>
      <c r="AB17" s="1807">
        <v>1</v>
      </c>
      <c r="AC17" s="1807">
        <v>1</v>
      </c>
    </row>
    <row r="18" spans="1:29" ht="41.4">
      <c r="A18" s="428"/>
      <c r="B18" s="1381" t="s">
        <v>2685</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26"/>
      <c r="Q18" s="1806" t="str">
        <f>B18</f>
        <v>基础设施水平</v>
      </c>
      <c r="R18" s="774" t="s">
        <v>17</v>
      </c>
      <c r="S18" s="775">
        <f>F18</f>
        <v>100</v>
      </c>
      <c r="T18" s="774" t="s">
        <v>17</v>
      </c>
      <c r="U18" s="775">
        <f>H18</f>
        <v>100</v>
      </c>
      <c r="V18" s="774" t="s">
        <v>17</v>
      </c>
      <c r="W18" s="775">
        <f>J18</f>
        <v>100</v>
      </c>
      <c r="X18" s="1809"/>
      <c r="Y18" s="3326"/>
      <c r="Z18" s="1810" t="str">
        <f>Q18</f>
        <v>基础设施水平</v>
      </c>
      <c r="AA18" s="1807">
        <f t="shared" ref="AA18" si="8">D18/F18</f>
        <v>1</v>
      </c>
      <c r="AB18" s="1807">
        <f t="shared" ref="AB18" si="9">D18/H18</f>
        <v>1</v>
      </c>
      <c r="AC18" s="1807">
        <f t="shared" ref="AC18" si="10">D18/J18</f>
        <v>1</v>
      </c>
    </row>
    <row r="19" spans="1:29" ht="15">
      <c r="A19" s="428"/>
      <c r="B19" s="1381"/>
      <c r="C19" s="2600"/>
      <c r="D19" s="450"/>
      <c r="E19" s="2600"/>
      <c r="F19" s="453"/>
      <c r="G19" s="2600"/>
      <c r="H19" s="448"/>
      <c r="I19" s="447"/>
      <c r="J19" s="448"/>
      <c r="K19" s="1380"/>
      <c r="L19" s="1137"/>
      <c r="M19" s="1128"/>
      <c r="N19" s="1128"/>
      <c r="O19" s="1136"/>
      <c r="P19" s="3326"/>
      <c r="Q19" s="1806"/>
      <c r="R19" s="774"/>
      <c r="S19" s="775"/>
      <c r="T19" s="774"/>
      <c r="U19" s="775"/>
      <c r="V19" s="774"/>
      <c r="W19" s="775"/>
      <c r="X19" s="1809"/>
      <c r="Y19" s="3326"/>
      <c r="Z19" s="1810"/>
      <c r="AA19" s="1807">
        <v>1</v>
      </c>
      <c r="AB19" s="1807">
        <v>1</v>
      </c>
      <c r="AC19" s="1807">
        <v>1</v>
      </c>
    </row>
    <row r="20" spans="1:29" ht="55.2">
      <c r="A20" s="428"/>
      <c r="B20" s="451" t="s">
        <v>2706</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26"/>
      <c r="Q20" s="1806" t="str">
        <f>B20</f>
        <v>自然及人文环境</v>
      </c>
      <c r="R20" s="774" t="s">
        <v>17</v>
      </c>
      <c r="S20" s="775">
        <f>F20</f>
        <v>100</v>
      </c>
      <c r="T20" s="774" t="s">
        <v>17</v>
      </c>
      <c r="U20" s="775">
        <f>H20</f>
        <v>100</v>
      </c>
      <c r="V20" s="774" t="s">
        <v>17</v>
      </c>
      <c r="W20" s="775">
        <f>J20</f>
        <v>100</v>
      </c>
      <c r="X20" s="1809"/>
      <c r="Y20" s="3326"/>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326"/>
      <c r="Q21" s="1806"/>
      <c r="R21" s="774"/>
      <c r="S21" s="775"/>
      <c r="T21" s="774"/>
      <c r="U21" s="775"/>
      <c r="V21" s="774"/>
      <c r="W21" s="775"/>
      <c r="X21" s="1809"/>
      <c r="Y21" s="3326"/>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26"/>
      <c r="Q22" s="1806" t="str">
        <f>B22</f>
        <v>楼层</v>
      </c>
      <c r="R22" s="774" t="s">
        <v>17</v>
      </c>
      <c r="S22" s="775">
        <f>F22</f>
        <v>100</v>
      </c>
      <c r="T22" s="774" t="s">
        <v>17</v>
      </c>
      <c r="U22" s="775">
        <f>H22</f>
        <v>100</v>
      </c>
      <c r="V22" s="774" t="s">
        <v>17</v>
      </c>
      <c r="W22" s="775">
        <f>J22</f>
        <v>100</v>
      </c>
      <c r="X22" s="1809"/>
      <c r="Y22" s="3326"/>
      <c r="Z22" s="1810" t="str">
        <f>Q22</f>
        <v>楼层</v>
      </c>
      <c r="AA22" s="1807">
        <f t="shared" si="3"/>
        <v>1</v>
      </c>
      <c r="AB22" s="1807">
        <f t="shared" si="4"/>
        <v>1</v>
      </c>
      <c r="AC22" s="1807">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26"/>
      <c r="Q23" s="1806">
        <f>B23</f>
        <v>111</v>
      </c>
      <c r="R23" s="774" t="s">
        <v>17</v>
      </c>
      <c r="S23" s="775">
        <f>F23</f>
        <v>100</v>
      </c>
      <c r="T23" s="774" t="s">
        <v>17</v>
      </c>
      <c r="U23" s="775">
        <f>H23</f>
        <v>100</v>
      </c>
      <c r="V23" s="774" t="s">
        <v>17</v>
      </c>
      <c r="W23" s="775">
        <f>J23</f>
        <v>100</v>
      </c>
      <c r="X23" s="1809"/>
      <c r="Y23" s="3326"/>
      <c r="Z23" s="1810">
        <f>Q23</f>
        <v>111</v>
      </c>
      <c r="AA23" s="1807">
        <f t="shared" si="3"/>
        <v>1</v>
      </c>
      <c r="AB23" s="1807">
        <f t="shared" si="4"/>
        <v>1</v>
      </c>
      <c r="AC23" s="1807">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26"/>
      <c r="Q24" s="1806">
        <f t="shared" ref="Q24:Q34" si="11">B24</f>
        <v>111</v>
      </c>
      <c r="R24" s="774" t="s">
        <v>17</v>
      </c>
      <c r="S24" s="775">
        <f>F24</f>
        <v>100</v>
      </c>
      <c r="T24" s="774" t="s">
        <v>17</v>
      </c>
      <c r="U24" s="775">
        <f>H24</f>
        <v>100</v>
      </c>
      <c r="V24" s="774" t="s">
        <v>17</v>
      </c>
      <c r="W24" s="775">
        <f>J24</f>
        <v>100</v>
      </c>
      <c r="X24" s="1809"/>
      <c r="Y24" s="3326"/>
      <c r="Z24" s="1810">
        <f>Q24</f>
        <v>111</v>
      </c>
      <c r="AA24" s="1807">
        <f t="shared" si="3"/>
        <v>1</v>
      </c>
      <c r="AB24" s="1807">
        <f t="shared" si="4"/>
        <v>1</v>
      </c>
      <c r="AC24" s="1807">
        <f t="shared" si="5"/>
        <v>1</v>
      </c>
    </row>
    <row r="25" spans="1:29" s="117" customFormat="1" ht="15.6" thickBot="1">
      <c r="A25" s="431"/>
      <c r="B25" s="2592">
        <v>111</v>
      </c>
      <c r="C25" s="2689"/>
      <c r="D25" s="665">
        <v>100</v>
      </c>
      <c r="E25" s="2689"/>
      <c r="F25" s="666">
        <f>SUMIF(75:75,E25,76:76)-SUMIF(75:75,C25,76:76)+100</f>
        <v>100</v>
      </c>
      <c r="G25" s="2689"/>
      <c r="H25" s="665">
        <f>SUMIF(75:75,G25,76:76)-SUMIF(75:75,C25,76:76)+100</f>
        <v>100</v>
      </c>
      <c r="I25" s="2689"/>
      <c r="J25" s="665">
        <f>SUMIF(75:75,I25,76:76)-SUMIF(75:75,C25,76:76)+100</f>
        <v>100</v>
      </c>
      <c r="K25" s="613"/>
      <c r="L25" s="1129"/>
      <c r="M25" s="1130"/>
      <c r="N25" s="1130"/>
      <c r="O25" s="1131"/>
      <c r="P25" s="3326"/>
      <c r="Q25" s="1791">
        <f t="shared" si="11"/>
        <v>111</v>
      </c>
      <c r="R25" s="770" t="s">
        <v>17</v>
      </c>
      <c r="S25" s="771">
        <f>F25</f>
        <v>100</v>
      </c>
      <c r="T25" s="770" t="s">
        <v>17</v>
      </c>
      <c r="U25" s="771">
        <f>H25</f>
        <v>100</v>
      </c>
      <c r="V25" s="770" t="s">
        <v>17</v>
      </c>
      <c r="W25" s="771">
        <f>J25</f>
        <v>100</v>
      </c>
      <c r="X25" s="772"/>
      <c r="Y25" s="3326"/>
      <c r="Z25" s="55">
        <f>Q25</f>
        <v>111</v>
      </c>
      <c r="AA25" s="1807">
        <f>D25/F25</f>
        <v>1</v>
      </c>
      <c r="AB25" s="1807">
        <f>D25/H25</f>
        <v>1</v>
      </c>
      <c r="AC25" s="1807">
        <f>D25/J25</f>
        <v>1</v>
      </c>
    </row>
    <row r="26" spans="1:29" ht="30">
      <c r="A26" s="466" t="s">
        <v>2559</v>
      </c>
      <c r="B26" s="71" t="s">
        <v>2710</v>
      </c>
      <c r="C26" s="2670"/>
      <c r="D26" s="467">
        <v>100</v>
      </c>
      <c r="E26" s="2670"/>
      <c r="F26" s="667">
        <f>SUMIF(77:77,E26,78:78)-SUMIF(77:77,C26,78:78)+100</f>
        <v>100</v>
      </c>
      <c r="G26" s="2670"/>
      <c r="H26" s="467">
        <f>SUMIF(77:77,G26,78:78)-SUMIF(77:77,C26,78:78)+100</f>
        <v>100</v>
      </c>
      <c r="I26" s="2670"/>
      <c r="J26" s="467">
        <f>SUMIF(77:77,I26,78:78)-SUMIF(77:77,C26,78:78)+100</f>
        <v>100</v>
      </c>
      <c r="K26" s="612"/>
      <c r="L26" s="1137"/>
      <c r="M26" s="1128"/>
      <c r="N26" s="1128"/>
      <c r="O26" s="1136"/>
      <c r="P26" s="3327"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328"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28"/>
      <c r="Q27" s="776" t="str">
        <f t="shared" si="11"/>
        <v>成新率</v>
      </c>
      <c r="R27" s="777" t="s">
        <v>17</v>
      </c>
      <c r="S27" s="778" t="e">
        <f t="shared" si="12"/>
        <v>#N/A</v>
      </c>
      <c r="T27" s="777" t="s">
        <v>17</v>
      </c>
      <c r="U27" s="778" t="e">
        <f t="shared" si="13"/>
        <v>#N/A</v>
      </c>
      <c r="V27" s="777" t="s">
        <v>17</v>
      </c>
      <c r="W27" s="778" t="e">
        <f t="shared" si="14"/>
        <v>#N/A</v>
      </c>
      <c r="X27" s="779"/>
      <c r="Y27" s="3328"/>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28"/>
      <c r="Q28" s="1806" t="str">
        <f t="shared" si="11"/>
        <v>物业等级</v>
      </c>
      <c r="R28" s="774" t="s">
        <v>17</v>
      </c>
      <c r="S28" s="775">
        <f t="shared" si="12"/>
        <v>100</v>
      </c>
      <c r="T28" s="774" t="s">
        <v>17</v>
      </c>
      <c r="U28" s="775">
        <f t="shared" si="13"/>
        <v>100</v>
      </c>
      <c r="V28" s="774" t="s">
        <v>17</v>
      </c>
      <c r="W28" s="775">
        <f t="shared" si="14"/>
        <v>100</v>
      </c>
      <c r="X28" s="1809"/>
      <c r="Y28" s="3328"/>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28"/>
      <c r="Q29" s="1806" t="str">
        <f t="shared" si="11"/>
        <v>有无电梯</v>
      </c>
      <c r="R29" s="774" t="s">
        <v>17</v>
      </c>
      <c r="S29" s="775">
        <f t="shared" si="12"/>
        <v>100</v>
      </c>
      <c r="T29" s="774" t="s">
        <v>17</v>
      </c>
      <c r="U29" s="775">
        <f t="shared" si="13"/>
        <v>100</v>
      </c>
      <c r="V29" s="774" t="s">
        <v>17</v>
      </c>
      <c r="W29" s="775">
        <f t="shared" si="14"/>
        <v>100</v>
      </c>
      <c r="X29" s="1809"/>
      <c r="Y29" s="3328"/>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28"/>
      <c r="Q30" s="1806" t="str">
        <f t="shared" si="11"/>
        <v>建筑面积</v>
      </c>
      <c r="R30" s="774" t="s">
        <v>17</v>
      </c>
      <c r="S30" s="775" t="e">
        <f t="shared" si="12"/>
        <v>#N/A</v>
      </c>
      <c r="T30" s="774" t="s">
        <v>17</v>
      </c>
      <c r="U30" s="775" t="e">
        <f t="shared" si="13"/>
        <v>#N/A</v>
      </c>
      <c r="V30" s="774" t="s">
        <v>17</v>
      </c>
      <c r="W30" s="775" t="e">
        <f t="shared" si="14"/>
        <v>#N/A</v>
      </c>
      <c r="X30" s="1809"/>
      <c r="Y30" s="3328"/>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28"/>
      <c r="Q31" s="1791" t="str">
        <f t="shared" si="11"/>
        <v>是否封闭</v>
      </c>
      <c r="R31" s="770" t="s">
        <v>17</v>
      </c>
      <c r="S31" s="771">
        <f t="shared" si="12"/>
        <v>100</v>
      </c>
      <c r="T31" s="770" t="s">
        <v>17</v>
      </c>
      <c r="U31" s="771">
        <f t="shared" si="13"/>
        <v>100</v>
      </c>
      <c r="V31" s="770" t="s">
        <v>17</v>
      </c>
      <c r="W31" s="771">
        <f t="shared" si="14"/>
        <v>100</v>
      </c>
      <c r="X31" s="772"/>
      <c r="Y31" s="3328"/>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28" t="s">
        <v>2561</v>
      </c>
      <c r="Q32" s="1806">
        <f t="shared" si="11"/>
        <v>111</v>
      </c>
      <c r="R32" s="774" t="s">
        <v>17</v>
      </c>
      <c r="S32" s="775">
        <f t="shared" si="12"/>
        <v>100</v>
      </c>
      <c r="T32" s="774" t="s">
        <v>17</v>
      </c>
      <c r="U32" s="775">
        <f t="shared" si="13"/>
        <v>100</v>
      </c>
      <c r="V32" s="774" t="s">
        <v>17</v>
      </c>
      <c r="W32" s="775">
        <f t="shared" si="14"/>
        <v>100</v>
      </c>
      <c r="X32" s="1809"/>
      <c r="Y32" s="3328" t="s">
        <v>2561</v>
      </c>
      <c r="Z32" s="1810">
        <f t="shared" si="15"/>
        <v>111</v>
      </c>
      <c r="AA32" s="1807">
        <f t="shared" si="3"/>
        <v>1</v>
      </c>
      <c r="AB32" s="1807">
        <f t="shared" si="4"/>
        <v>1</v>
      </c>
      <c r="AC32" s="1807">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28"/>
      <c r="Q33" s="1806">
        <f t="shared" si="11"/>
        <v>111</v>
      </c>
      <c r="R33" s="774" t="s">
        <v>17</v>
      </c>
      <c r="S33" s="775">
        <f t="shared" si="12"/>
        <v>100</v>
      </c>
      <c r="T33" s="774" t="s">
        <v>17</v>
      </c>
      <c r="U33" s="775">
        <f t="shared" si="13"/>
        <v>100</v>
      </c>
      <c r="V33" s="774" t="s">
        <v>17</v>
      </c>
      <c r="W33" s="775">
        <f t="shared" si="14"/>
        <v>100</v>
      </c>
      <c r="X33" s="1809"/>
      <c r="Y33" s="3328"/>
      <c r="Z33" s="1810">
        <f t="shared" si="15"/>
        <v>111</v>
      </c>
      <c r="AA33" s="1807">
        <f t="shared" si="3"/>
        <v>1</v>
      </c>
      <c r="AB33" s="1807">
        <f t="shared" si="4"/>
        <v>1</v>
      </c>
      <c r="AC33" s="1807">
        <f t="shared" si="5"/>
        <v>1</v>
      </c>
    </row>
    <row r="34" spans="1:29" ht="15.6" thickBot="1">
      <c r="A34" s="478"/>
      <c r="B34" s="2594">
        <v>111</v>
      </c>
      <c r="C34" s="437"/>
      <c r="D34" s="438">
        <v>100</v>
      </c>
      <c r="E34" s="2688"/>
      <c r="F34" s="439">
        <f>SUMIF(95:95,E34,96:96)-SUMIF(95:95,C34,96:96)+100</f>
        <v>100</v>
      </c>
      <c r="G34" s="2688"/>
      <c r="H34" s="438">
        <f>SUMIF(95:95,G34,96:96)-SUMIF(95:95,C34,96:96)+100</f>
        <v>100</v>
      </c>
      <c r="I34" s="2688"/>
      <c r="J34" s="438">
        <f>SUMIF(95:95,I34,96:96)-SUMIF(95:95,C34,96:96)+100</f>
        <v>100</v>
      </c>
      <c r="K34" s="613"/>
      <c r="L34" s="1137"/>
      <c r="M34" s="1128"/>
      <c r="N34" s="1128"/>
      <c r="O34" s="1136"/>
      <c r="P34" s="3328"/>
      <c r="Q34" s="1806">
        <f t="shared" si="11"/>
        <v>111</v>
      </c>
      <c r="R34" s="774" t="s">
        <v>17</v>
      </c>
      <c r="S34" s="775">
        <f t="shared" si="12"/>
        <v>100</v>
      </c>
      <c r="T34" s="774" t="s">
        <v>17</v>
      </c>
      <c r="U34" s="775">
        <f t="shared" si="13"/>
        <v>100</v>
      </c>
      <c r="V34" s="774" t="s">
        <v>17</v>
      </c>
      <c r="W34" s="775">
        <f t="shared" si="14"/>
        <v>100</v>
      </c>
      <c r="X34" s="1809"/>
      <c r="Y34" s="3328"/>
      <c r="Z34" s="1810">
        <f t="shared" si="15"/>
        <v>111</v>
      </c>
      <c r="AA34" s="1807">
        <f t="shared" si="3"/>
        <v>1</v>
      </c>
      <c r="AB34" s="1807">
        <f t="shared" si="4"/>
        <v>1</v>
      </c>
      <c r="AC34" s="1807">
        <f t="shared" si="5"/>
        <v>1</v>
      </c>
    </row>
    <row r="35" spans="1:29" ht="14.4">
      <c r="A35" s="479" t="s">
        <v>2573</v>
      </c>
      <c r="B35" s="480"/>
      <c r="C35" s="1404" t="s">
        <v>1</v>
      </c>
      <c r="D35" s="1405"/>
      <c r="E35" s="1406"/>
      <c r="F35" s="1407"/>
      <c r="G35" s="1408"/>
      <c r="H35" s="1409"/>
      <c r="I35" s="1406"/>
      <c r="J35" s="1409"/>
      <c r="K35" s="783"/>
      <c r="L35" s="1140"/>
      <c r="M35" s="1141"/>
      <c r="N35" s="1128"/>
      <c r="O35" s="1141"/>
      <c r="P35" s="3310" t="str">
        <f>A35</f>
        <v>成交单价（元/平方米）</v>
      </c>
      <c r="Q35" s="3310"/>
      <c r="R35" s="3366">
        <f>E35</f>
        <v>0</v>
      </c>
      <c r="S35" s="3366"/>
      <c r="T35" s="3366">
        <f>G35</f>
        <v>0</v>
      </c>
      <c r="U35" s="3366"/>
      <c r="V35" s="3366">
        <f>I35</f>
        <v>0</v>
      </c>
      <c r="W35" s="3366"/>
      <c r="X35" s="759"/>
      <c r="Y35" s="781"/>
      <c r="Z35" s="759"/>
      <c r="AA35" s="759"/>
      <c r="AB35" s="759"/>
      <c r="AC35" s="759"/>
    </row>
    <row r="36" spans="1:29" ht="1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310" t="str">
        <f>A36</f>
        <v>比较价值（元/平方米）</v>
      </c>
      <c r="Q36" s="3310"/>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759"/>
      <c r="Y36" s="759"/>
      <c r="Z36" s="759"/>
      <c r="AA36" s="759"/>
      <c r="AB36" s="759"/>
      <c r="AC36" s="759"/>
    </row>
    <row r="37" spans="1:29" ht="15" thickBot="1">
      <c r="A37" s="492" t="s">
        <v>2666</v>
      </c>
      <c r="B37" s="493"/>
      <c r="C37" s="1414" t="e">
        <f>R37</f>
        <v>#DIV/0!</v>
      </c>
      <c r="D37" s="1414"/>
      <c r="E37" s="1414"/>
      <c r="F37" s="1414"/>
      <c r="G37" s="1414"/>
      <c r="H37" s="1414"/>
      <c r="I37" s="1414"/>
      <c r="J37" s="1414"/>
      <c r="K37" s="785"/>
      <c r="L37" s="1140"/>
      <c r="M37" s="1141"/>
      <c r="N37" s="1141"/>
      <c r="O37" s="1141"/>
      <c r="P37" s="3330" t="str">
        <f>A37</f>
        <v>估价对象XX用房的比较价值（楼面单价，元/平方米）</v>
      </c>
      <c r="Q37" s="3331"/>
      <c r="R37" s="3365" t="e">
        <f>IF(F1="售价",ROUND(AVERAGE(R36:V36),0),ROUND(AVERAGE(R36:V36),1))</f>
        <v>#DIV/0!</v>
      </c>
      <c r="S37" s="3365"/>
      <c r="T37" s="3365"/>
      <c r="U37" s="3365"/>
      <c r="V37" s="3365"/>
      <c r="W37" s="336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2584</v>
      </c>
      <c r="B51" s="528" t="s">
        <v>2550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311" t="s">
        <v>2642</v>
      </c>
      <c r="D4" s="3312"/>
      <c r="E4" s="3313" t="s">
        <v>2643</v>
      </c>
      <c r="F4" s="3314"/>
      <c r="G4" s="3311" t="s">
        <v>2644</v>
      </c>
      <c r="H4" s="3312"/>
      <c r="I4" s="3311" t="s">
        <v>2645</v>
      </c>
      <c r="J4" s="3312"/>
      <c r="K4" s="610" t="s">
        <v>2646</v>
      </c>
      <c r="L4" s="1127"/>
      <c r="M4" s="1128"/>
      <c r="N4" s="1128"/>
      <c r="O4" s="1128"/>
      <c r="P4" s="3315" t="s">
        <v>2647</v>
      </c>
      <c r="Q4" s="3316"/>
      <c r="R4" s="3298" t="s">
        <v>2643</v>
      </c>
      <c r="S4" s="3299"/>
      <c r="T4" s="3298" t="s">
        <v>2644</v>
      </c>
      <c r="U4" s="3299"/>
      <c r="V4" s="3323" t="s">
        <v>2645</v>
      </c>
      <c r="W4" s="3323"/>
      <c r="X4" s="1809"/>
      <c r="Y4" s="3298" t="s">
        <v>2647</v>
      </c>
      <c r="Z4" s="3299"/>
      <c r="AA4" s="3293" t="s">
        <v>2643</v>
      </c>
      <c r="AB4" s="3294" t="s">
        <v>2644</v>
      </c>
      <c r="AC4" s="3293" t="s">
        <v>2645</v>
      </c>
    </row>
    <row r="5" spans="1:29">
      <c r="A5" s="404"/>
      <c r="B5" s="405"/>
      <c r="C5" s="3304" t="s">
        <v>2538</v>
      </c>
      <c r="D5" s="3305"/>
      <c r="E5" s="3302" t="s">
        <v>2539</v>
      </c>
      <c r="F5" s="3303"/>
      <c r="G5" s="3304" t="s">
        <v>2540</v>
      </c>
      <c r="H5" s="3305"/>
      <c r="I5" s="3304" t="s">
        <v>2541</v>
      </c>
      <c r="J5" s="3305"/>
      <c r="K5" s="610"/>
      <c r="L5" s="1127"/>
      <c r="M5" s="1128"/>
      <c r="N5" s="1128"/>
      <c r="O5" s="1128"/>
      <c r="P5" s="3317"/>
      <c r="Q5" s="3318"/>
      <c r="R5" s="3300"/>
      <c r="S5" s="3301"/>
      <c r="T5" s="3300"/>
      <c r="U5" s="3301"/>
      <c r="V5" s="3323"/>
      <c r="W5" s="3323"/>
      <c r="X5" s="1809"/>
      <c r="Y5" s="3300"/>
      <c r="Z5" s="3301"/>
      <c r="AA5" s="3294"/>
      <c r="AB5" s="3294"/>
      <c r="AC5" s="3294"/>
    </row>
    <row r="6" spans="1:29" ht="15" thickBot="1">
      <c r="A6" s="406"/>
      <c r="B6" s="407"/>
      <c r="C6" s="3388" t="s">
        <v>2793</v>
      </c>
      <c r="D6" s="3389"/>
      <c r="E6" s="3390" t="s">
        <v>2793</v>
      </c>
      <c r="F6" s="3391"/>
      <c r="G6" s="3388" t="s">
        <v>2793</v>
      </c>
      <c r="H6" s="3389"/>
      <c r="I6" s="3388" t="s">
        <v>2793</v>
      </c>
      <c r="J6" s="3389"/>
      <c r="K6" s="610" t="s">
        <v>2543</v>
      </c>
      <c r="L6" s="1127"/>
      <c r="M6" s="1128"/>
      <c r="N6" s="1128"/>
      <c r="O6" s="1128"/>
      <c r="P6" s="3319"/>
      <c r="Q6" s="3320"/>
      <c r="R6" s="3300"/>
      <c r="S6" s="3301"/>
      <c r="T6" s="3321"/>
      <c r="U6" s="3322"/>
      <c r="V6" s="3323"/>
      <c r="W6" s="3323"/>
      <c r="X6" s="1809"/>
      <c r="Y6" s="3321"/>
      <c r="Z6" s="3322"/>
      <c r="AA6" s="3295"/>
      <c r="AB6" s="3295"/>
      <c r="AC6" s="3295"/>
    </row>
    <row r="7" spans="1:29" s="117" customFormat="1" ht="15" thickBot="1">
      <c r="A7" s="408" t="s">
        <v>2544</v>
      </c>
      <c r="B7" s="409"/>
      <c r="C7" s="410">
        <f>'数据-取费表'!B2</f>
        <v>43629</v>
      </c>
      <c r="D7" s="411">
        <v>100</v>
      </c>
      <c r="E7" s="412"/>
      <c r="F7" s="413">
        <f>SUMIF(65:65,YEAR(E7)&amp;"-"&amp;INT((MONTH(E7)+2)/3),66:66)</f>
        <v>0</v>
      </c>
      <c r="G7" s="2687"/>
      <c r="H7" s="411">
        <f>SUMIF(65:65,YEAR(G7)&amp;"-"&amp;INT((MONTH(G7)+2)/3),66:66)</f>
        <v>0</v>
      </c>
      <c r="I7" s="2687"/>
      <c r="J7" s="411">
        <f>SUMIF(65:65,YEAR(I7)&amp;"-"&amp;INT((MONTH(I7)+2)/3),66:66)</f>
        <v>0</v>
      </c>
      <c r="K7" s="611"/>
      <c r="L7" s="1129"/>
      <c r="M7" s="1130"/>
      <c r="N7" s="1130"/>
      <c r="O7" s="1130"/>
      <c r="P7" s="3296" t="s">
        <v>2545</v>
      </c>
      <c r="Q7" s="3324"/>
      <c r="R7" s="770" t="s">
        <v>17</v>
      </c>
      <c r="S7" s="771">
        <f t="shared" ref="S7:S15" si="0">F7</f>
        <v>0</v>
      </c>
      <c r="T7" s="770" t="s">
        <v>17</v>
      </c>
      <c r="U7" s="771">
        <f t="shared" ref="U7:U15" si="1">H7</f>
        <v>0</v>
      </c>
      <c r="V7" s="770" t="s">
        <v>17</v>
      </c>
      <c r="W7" s="771">
        <f t="shared" ref="W7:W15" si="2">J7</f>
        <v>0</v>
      </c>
      <c r="X7" s="772"/>
      <c r="Y7" s="3296" t="s">
        <v>2545</v>
      </c>
      <c r="Z7" s="3297"/>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96" t="s">
        <v>2548</v>
      </c>
      <c r="Q8" s="3297"/>
      <c r="R8" s="770" t="s">
        <v>17</v>
      </c>
      <c r="S8" s="771">
        <f t="shared" si="0"/>
        <v>0</v>
      </c>
      <c r="T8" s="770" t="s">
        <v>17</v>
      </c>
      <c r="U8" s="771">
        <f t="shared" si="1"/>
        <v>0</v>
      </c>
      <c r="V8" s="770" t="s">
        <v>17</v>
      </c>
      <c r="W8" s="771">
        <f t="shared" si="2"/>
        <v>0</v>
      </c>
      <c r="X8" s="772"/>
      <c r="Y8" s="3296" t="s">
        <v>2548</v>
      </c>
      <c r="Z8" s="3297"/>
      <c r="AA8" s="773" t="e">
        <f t="shared" ref="AA8:AA40" si="3">D8/F8</f>
        <v>#DIV/0!</v>
      </c>
      <c r="AB8" s="773" t="e">
        <f t="shared" ref="AB8:AB40" si="4">D8/H8</f>
        <v>#DIV/0!</v>
      </c>
      <c r="AC8" s="773" t="e">
        <f t="shared" ref="AC8:AC40" si="5">D8/J8</f>
        <v>#DIV/0!</v>
      </c>
    </row>
    <row r="9" spans="1:29" s="117" customFormat="1" ht="14.4">
      <c r="A9" s="415" t="s">
        <v>2549</v>
      </c>
      <c r="B9" s="71" t="s">
        <v>2550</v>
      </c>
      <c r="C9" s="2690"/>
      <c r="D9" s="135">
        <v>100</v>
      </c>
      <c r="E9" s="2690"/>
      <c r="F9" s="135">
        <f>SUMIF(70:70,E9,71:71)-SUMIF(70:70,C9,71:71)+100</f>
        <v>100</v>
      </c>
      <c r="G9" s="2690"/>
      <c r="H9" s="135">
        <f>SUMIF(70:70,G9,71:71)-SUMIF(70:70,C9,71:71)+100</f>
        <v>100</v>
      </c>
      <c r="I9" s="2690"/>
      <c r="J9" s="135">
        <f>SUMIF(70:70,I9,71:71)-SUMIF(70:70,C9,71:71)+100</f>
        <v>100</v>
      </c>
      <c r="K9" s="611"/>
      <c r="L9" s="1129"/>
      <c r="M9" s="1130"/>
      <c r="N9" s="1130"/>
      <c r="O9" s="1131"/>
      <c r="P9" s="3310" t="s">
        <v>2551</v>
      </c>
      <c r="Q9" s="1791" t="str">
        <f t="shared" ref="Q9:Q15" si="6">B9</f>
        <v>用途</v>
      </c>
      <c r="R9" s="770" t="s">
        <v>17</v>
      </c>
      <c r="S9" s="771">
        <f t="shared" si="0"/>
        <v>100</v>
      </c>
      <c r="T9" s="770" t="s">
        <v>17</v>
      </c>
      <c r="U9" s="771">
        <f t="shared" si="1"/>
        <v>100</v>
      </c>
      <c r="V9" s="770" t="s">
        <v>17</v>
      </c>
      <c r="W9" s="771">
        <f t="shared" si="2"/>
        <v>100</v>
      </c>
      <c r="X9" s="772"/>
      <c r="Y9" s="3157"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106</v>
      </c>
      <c r="G10" s="432"/>
      <c r="H10" s="136">
        <f>ROUND(100/'数据-取费表'!G16,0)</f>
        <v>106</v>
      </c>
      <c r="I10" s="432"/>
      <c r="J10" s="136">
        <f>ROUND(100/'数据-取费表'!G16,0)</f>
        <v>106</v>
      </c>
      <c r="K10" s="672"/>
      <c r="L10" s="1132"/>
      <c r="M10" s="1133"/>
      <c r="N10" s="1133"/>
      <c r="O10" s="1134"/>
      <c r="P10" s="3310"/>
      <c r="Q10" s="1791" t="str">
        <f t="shared" si="6"/>
        <v>土地使用年限（年）</v>
      </c>
      <c r="R10" s="770" t="s">
        <v>17</v>
      </c>
      <c r="S10" s="771">
        <f t="shared" si="0"/>
        <v>106</v>
      </c>
      <c r="T10" s="770" t="s">
        <v>17</v>
      </c>
      <c r="U10" s="771">
        <f t="shared" si="1"/>
        <v>106</v>
      </c>
      <c r="V10" s="770" t="s">
        <v>17</v>
      </c>
      <c r="W10" s="771">
        <f t="shared" si="2"/>
        <v>106</v>
      </c>
      <c r="X10" s="772"/>
      <c r="Y10" s="3157"/>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10"/>
      <c r="Q11" s="1791" t="str">
        <f t="shared" si="6"/>
        <v>容积率</v>
      </c>
      <c r="R11" s="770" t="s">
        <v>17</v>
      </c>
      <c r="S11" s="771" t="e">
        <f t="shared" si="0"/>
        <v>#N/A</v>
      </c>
      <c r="T11" s="770" t="s">
        <v>17</v>
      </c>
      <c r="U11" s="771" t="e">
        <f t="shared" si="1"/>
        <v>#N/A</v>
      </c>
      <c r="V11" s="770" t="s">
        <v>17</v>
      </c>
      <c r="W11" s="771" t="e">
        <f t="shared" si="2"/>
        <v>#N/A</v>
      </c>
      <c r="X11" s="772"/>
      <c r="Y11" s="3157"/>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10"/>
      <c r="Q12" s="1791">
        <f t="shared" si="6"/>
        <v>111</v>
      </c>
      <c r="R12" s="770" t="s">
        <v>17</v>
      </c>
      <c r="S12" s="771">
        <f t="shared" si="0"/>
        <v>100</v>
      </c>
      <c r="T12" s="770" t="s">
        <v>17</v>
      </c>
      <c r="U12" s="771">
        <f t="shared" si="1"/>
        <v>100</v>
      </c>
      <c r="V12" s="770" t="s">
        <v>17</v>
      </c>
      <c r="W12" s="771">
        <f t="shared" si="2"/>
        <v>100</v>
      </c>
      <c r="X12" s="772"/>
      <c r="Y12" s="3157"/>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10"/>
      <c r="Q13" s="1791">
        <f t="shared" si="6"/>
        <v>111</v>
      </c>
      <c r="R13" s="770" t="s">
        <v>17</v>
      </c>
      <c r="S13" s="771">
        <f t="shared" si="0"/>
        <v>100</v>
      </c>
      <c r="T13" s="770" t="s">
        <v>17</v>
      </c>
      <c r="U13" s="771">
        <f t="shared" si="1"/>
        <v>100</v>
      </c>
      <c r="V13" s="770" t="s">
        <v>17</v>
      </c>
      <c r="W13" s="771">
        <f t="shared" si="2"/>
        <v>100</v>
      </c>
      <c r="X13" s="772"/>
      <c r="Y13" s="3157"/>
      <c r="Z13" s="55">
        <f t="shared" si="7"/>
        <v>111</v>
      </c>
      <c r="AA13" s="773">
        <f t="shared" si="3"/>
        <v>1</v>
      </c>
      <c r="AB13" s="773">
        <f t="shared" si="4"/>
        <v>1</v>
      </c>
      <c r="AC13" s="773">
        <f t="shared" si="5"/>
        <v>1</v>
      </c>
    </row>
    <row r="14" spans="1:29" ht="15.6"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10"/>
      <c r="Q14" s="1791">
        <f t="shared" si="6"/>
        <v>111</v>
      </c>
      <c r="R14" s="770" t="s">
        <v>17</v>
      </c>
      <c r="S14" s="771">
        <f t="shared" si="0"/>
        <v>100</v>
      </c>
      <c r="T14" s="770" t="s">
        <v>17</v>
      </c>
      <c r="U14" s="771">
        <f t="shared" si="1"/>
        <v>100</v>
      </c>
      <c r="V14" s="770" t="s">
        <v>17</v>
      </c>
      <c r="W14" s="771">
        <f t="shared" si="2"/>
        <v>100</v>
      </c>
      <c r="X14" s="772"/>
      <c r="Y14" s="3157"/>
      <c r="Z14" s="55">
        <f t="shared" si="7"/>
        <v>111</v>
      </c>
      <c r="AA14" s="773">
        <f t="shared" si="3"/>
        <v>1</v>
      </c>
      <c r="AB14" s="773">
        <f t="shared" si="4"/>
        <v>1</v>
      </c>
      <c r="AC14" s="773">
        <f t="shared" si="5"/>
        <v>1</v>
      </c>
    </row>
    <row r="15" spans="1:29" ht="69">
      <c r="A15" s="440" t="s">
        <v>2555</v>
      </c>
      <c r="B15" s="629" t="s">
        <v>2794</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25" t="s">
        <v>2556</v>
      </c>
      <c r="Q15" s="1806" t="str">
        <f t="shared" si="6"/>
        <v>产业集聚程度</v>
      </c>
      <c r="R15" s="774" t="s">
        <v>17</v>
      </c>
      <c r="S15" s="775">
        <f t="shared" si="0"/>
        <v>100</v>
      </c>
      <c r="T15" s="774" t="s">
        <v>17</v>
      </c>
      <c r="U15" s="775">
        <f t="shared" si="1"/>
        <v>100</v>
      </c>
      <c r="V15" s="774" t="s">
        <v>17</v>
      </c>
      <c r="W15" s="775">
        <f t="shared" si="2"/>
        <v>100</v>
      </c>
      <c r="X15" s="1809"/>
      <c r="Y15" s="3325" t="s">
        <v>2556</v>
      </c>
      <c r="Z15" s="1810" t="str">
        <f t="shared" si="7"/>
        <v>产业集聚程度</v>
      </c>
      <c r="AA15" s="1807">
        <f t="shared" si="3"/>
        <v>1</v>
      </c>
      <c r="AB15" s="1807">
        <f t="shared" si="4"/>
        <v>1</v>
      </c>
      <c r="AC15" s="1807">
        <f t="shared" si="5"/>
        <v>1</v>
      </c>
    </row>
    <row r="16" spans="1:29" ht="15">
      <c r="A16" s="428"/>
      <c r="B16" s="630"/>
      <c r="C16" s="447"/>
      <c r="D16" s="448"/>
      <c r="E16" s="2603"/>
      <c r="F16" s="448"/>
      <c r="G16" s="2603"/>
      <c r="H16" s="450"/>
      <c r="I16" s="2603"/>
      <c r="J16" s="448"/>
      <c r="K16" s="672"/>
      <c r="L16" s="1137"/>
      <c r="M16" s="1128"/>
      <c r="N16" s="1128"/>
      <c r="O16" s="1136"/>
      <c r="P16" s="3326"/>
      <c r="Q16" s="1806"/>
      <c r="R16" s="774"/>
      <c r="S16" s="775"/>
      <c r="T16" s="774"/>
      <c r="U16" s="775"/>
      <c r="V16" s="774"/>
      <c r="W16" s="775"/>
      <c r="X16" s="1809"/>
      <c r="Y16" s="3326"/>
      <c r="Z16" s="1810"/>
      <c r="AA16" s="1807">
        <v>1</v>
      </c>
      <c r="AB16" s="1807">
        <v>1</v>
      </c>
      <c r="AC16" s="1807">
        <v>1</v>
      </c>
    </row>
    <row r="17" spans="1:29" ht="96.6">
      <c r="A17" s="428"/>
      <c r="B17" s="631" t="s">
        <v>2705</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26"/>
      <c r="Q17" s="1806" t="str">
        <f>B17</f>
        <v>交通便捷度</v>
      </c>
      <c r="R17" s="774" t="s">
        <v>17</v>
      </c>
      <c r="S17" s="775">
        <f>F17</f>
        <v>100</v>
      </c>
      <c r="T17" s="774" t="s">
        <v>17</v>
      </c>
      <c r="U17" s="775">
        <f>H17</f>
        <v>100</v>
      </c>
      <c r="V17" s="774" t="s">
        <v>17</v>
      </c>
      <c r="W17" s="775">
        <f>J17</f>
        <v>100</v>
      </c>
      <c r="X17" s="1809"/>
      <c r="Y17" s="3326"/>
      <c r="Z17" s="1810" t="str">
        <f>Q17</f>
        <v>交通便捷度</v>
      </c>
      <c r="AA17" s="1807">
        <f t="shared" si="3"/>
        <v>1</v>
      </c>
      <c r="AB17" s="1807">
        <f t="shared" si="4"/>
        <v>1</v>
      </c>
      <c r="AC17" s="1807">
        <f t="shared" si="5"/>
        <v>1</v>
      </c>
    </row>
    <row r="18" spans="1:29" ht="15">
      <c r="A18" s="428"/>
      <c r="B18" s="632"/>
      <c r="C18" s="447"/>
      <c r="D18" s="448"/>
      <c r="E18" s="2597"/>
      <c r="F18" s="448"/>
      <c r="G18" s="2597"/>
      <c r="H18" s="448"/>
      <c r="I18" s="2596"/>
      <c r="J18" s="448"/>
      <c r="K18" s="672"/>
      <c r="L18" s="1137"/>
      <c r="M18" s="1128"/>
      <c r="N18" s="1128"/>
      <c r="O18" s="1136"/>
      <c r="P18" s="3326"/>
      <c r="Q18" s="1806"/>
      <c r="R18" s="774"/>
      <c r="S18" s="775"/>
      <c r="T18" s="774"/>
      <c r="U18" s="775"/>
      <c r="V18" s="774"/>
      <c r="W18" s="775"/>
      <c r="X18" s="1809"/>
      <c r="Y18" s="3326"/>
      <c r="Z18" s="1810"/>
      <c r="AA18" s="1807">
        <v>1</v>
      </c>
      <c r="AB18" s="1807">
        <v>1</v>
      </c>
      <c r="AC18" s="1807">
        <v>1</v>
      </c>
    </row>
    <row r="19" spans="1:29" ht="28.8">
      <c r="A19" s="428"/>
      <c r="B19" s="631" t="s">
        <v>2744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26"/>
      <c r="Q19" s="1806" t="str">
        <f t="shared" ref="Q19:Q33" si="8">B19</f>
        <v>区域土地利用方向</v>
      </c>
      <c r="R19" s="774" t="s">
        <v>17</v>
      </c>
      <c r="S19" s="775">
        <f>F19</f>
        <v>100</v>
      </c>
      <c r="T19" s="774" t="s">
        <v>17</v>
      </c>
      <c r="U19" s="775">
        <f>H19</f>
        <v>100</v>
      </c>
      <c r="V19" s="774" t="s">
        <v>17</v>
      </c>
      <c r="W19" s="775">
        <f>J19</f>
        <v>100</v>
      </c>
      <c r="X19" s="1809"/>
      <c r="Y19" s="3326"/>
      <c r="Z19" s="1810" t="str">
        <f>Q19</f>
        <v>区域土地利用方向</v>
      </c>
      <c r="AA19" s="1807">
        <f t="shared" si="3"/>
        <v>1</v>
      </c>
      <c r="AB19" s="1807">
        <f t="shared" si="4"/>
        <v>1</v>
      </c>
      <c r="AC19" s="1807">
        <f t="shared" si="5"/>
        <v>1</v>
      </c>
    </row>
    <row r="20" spans="1:29" ht="15">
      <c r="A20" s="404"/>
      <c r="B20" s="632"/>
      <c r="C20" s="447"/>
      <c r="D20" s="448"/>
      <c r="E20" s="2597"/>
      <c r="F20" s="448"/>
      <c r="G20" s="2597"/>
      <c r="H20" s="448"/>
      <c r="I20" s="2597"/>
      <c r="J20" s="448"/>
      <c r="K20" s="809"/>
      <c r="L20" s="1137"/>
      <c r="M20" s="1128"/>
      <c r="N20" s="1128"/>
      <c r="O20" s="1136"/>
      <c r="P20" s="3326"/>
      <c r="Q20" s="1806"/>
      <c r="R20" s="774"/>
      <c r="S20" s="775"/>
      <c r="T20" s="774"/>
      <c r="U20" s="775"/>
      <c r="V20" s="774"/>
      <c r="W20" s="775"/>
      <c r="X20" s="1809"/>
      <c r="Y20" s="3326"/>
      <c r="Z20" s="1810"/>
      <c r="AA20" s="1807"/>
      <c r="AB20" s="1807"/>
      <c r="AC20" s="1807"/>
    </row>
    <row r="21" spans="1:29" ht="82.8">
      <c r="A21" s="404"/>
      <c r="B21" s="631" t="s">
        <v>2795</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26"/>
      <c r="Q21" s="1806" t="str">
        <f t="shared" si="8"/>
        <v>环境状况</v>
      </c>
      <c r="R21" s="774" t="s">
        <v>17</v>
      </c>
      <c r="S21" s="775">
        <f>F21</f>
        <v>100</v>
      </c>
      <c r="T21" s="774" t="s">
        <v>17</v>
      </c>
      <c r="U21" s="775">
        <f>H21</f>
        <v>100</v>
      </c>
      <c r="V21" s="774" t="s">
        <v>17</v>
      </c>
      <c r="W21" s="775">
        <f>J21</f>
        <v>100</v>
      </c>
      <c r="X21" s="1809"/>
      <c r="Y21" s="3326"/>
      <c r="Z21" s="1810" t="str">
        <f>Q21</f>
        <v>环境状况</v>
      </c>
      <c r="AA21" s="1807">
        <f t="shared" si="3"/>
        <v>1</v>
      </c>
      <c r="AB21" s="1807">
        <f t="shared" si="4"/>
        <v>1</v>
      </c>
      <c r="AC21" s="1807">
        <f t="shared" si="5"/>
        <v>1</v>
      </c>
    </row>
    <row r="22" spans="1:29" ht="15">
      <c r="A22" s="404"/>
      <c r="B22" s="632"/>
      <c r="C22" s="447"/>
      <c r="D22" s="448"/>
      <c r="E22" s="2603"/>
      <c r="F22" s="448"/>
      <c r="G22" s="2603"/>
      <c r="H22" s="448"/>
      <c r="I22" s="447"/>
      <c r="J22" s="448"/>
      <c r="K22" s="672"/>
      <c r="L22" s="1137"/>
      <c r="M22" s="1128"/>
      <c r="N22" s="1128"/>
      <c r="O22" s="1136"/>
      <c r="P22" s="3326"/>
      <c r="Q22" s="1806"/>
      <c r="R22" s="774"/>
      <c r="S22" s="775"/>
      <c r="T22" s="774"/>
      <c r="U22" s="775"/>
      <c r="V22" s="774"/>
      <c r="W22" s="775"/>
      <c r="X22" s="1809"/>
      <c r="Y22" s="3326"/>
      <c r="Z22" s="1810"/>
      <c r="AA22" s="1807">
        <v>1</v>
      </c>
      <c r="AB22" s="1807">
        <v>1</v>
      </c>
      <c r="AC22" s="1807">
        <v>1</v>
      </c>
    </row>
    <row r="23" spans="1:29" s="117" customFormat="1" ht="41.4">
      <c r="A23" s="649"/>
      <c r="B23" s="633" t="s">
        <v>2650</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26"/>
      <c r="Q23" s="1791" t="str">
        <f t="shared" si="8"/>
        <v>公共配套设施</v>
      </c>
      <c r="R23" s="770" t="s">
        <v>17</v>
      </c>
      <c r="S23" s="771">
        <f>F23</f>
        <v>100</v>
      </c>
      <c r="T23" s="770" t="s">
        <v>17</v>
      </c>
      <c r="U23" s="771">
        <f>H23</f>
        <v>100</v>
      </c>
      <c r="V23" s="770" t="s">
        <v>17</v>
      </c>
      <c r="W23" s="771">
        <f>J23</f>
        <v>100</v>
      </c>
      <c r="X23" s="772"/>
      <c r="Y23" s="3326"/>
      <c r="Z23" s="55" t="str">
        <f>Q23</f>
        <v>公共配套设施</v>
      </c>
      <c r="AA23" s="1807">
        <f>D23/F23</f>
        <v>1</v>
      </c>
      <c r="AB23" s="1807">
        <f>D23/H23</f>
        <v>1</v>
      </c>
      <c r="AC23" s="1807">
        <f>D23/J23</f>
        <v>1</v>
      </c>
    </row>
    <row r="24" spans="1:29" s="117" customFormat="1" ht="15">
      <c r="A24" s="649"/>
      <c r="B24" s="632"/>
      <c r="C24" s="2691"/>
      <c r="D24" s="448"/>
      <c r="E24" s="2603"/>
      <c r="F24" s="448"/>
      <c r="G24" s="2603"/>
      <c r="H24" s="448"/>
      <c r="I24" s="447"/>
      <c r="J24" s="448"/>
      <c r="K24" s="672"/>
      <c r="L24" s="1129"/>
      <c r="M24" s="1130"/>
      <c r="N24" s="1130"/>
      <c r="O24" s="1131"/>
      <c r="P24" s="3326"/>
      <c r="Q24" s="1791"/>
      <c r="R24" s="770"/>
      <c r="S24" s="771"/>
      <c r="T24" s="770"/>
      <c r="U24" s="771"/>
      <c r="V24" s="770"/>
      <c r="W24" s="771"/>
      <c r="X24" s="772"/>
      <c r="Y24" s="3326"/>
      <c r="Z24" s="55"/>
      <c r="AA24" s="773">
        <v>1</v>
      </c>
      <c r="AB24" s="773">
        <v>1</v>
      </c>
      <c r="AC24" s="773">
        <v>1</v>
      </c>
    </row>
    <row r="25" spans="1:29" s="117" customFormat="1" ht="41.4">
      <c r="A25" s="649"/>
      <c r="B25" s="633" t="s">
        <v>2651</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26"/>
      <c r="Q25" s="1791" t="str">
        <f t="shared" ref="Q25" si="9">B25</f>
        <v>基础设施水平</v>
      </c>
      <c r="R25" s="770" t="s">
        <v>17</v>
      </c>
      <c r="S25" s="771">
        <f>F25</f>
        <v>100</v>
      </c>
      <c r="T25" s="770" t="s">
        <v>17</v>
      </c>
      <c r="U25" s="771">
        <f>H25</f>
        <v>100</v>
      </c>
      <c r="V25" s="770" t="s">
        <v>17</v>
      </c>
      <c r="W25" s="771">
        <f>J25</f>
        <v>100</v>
      </c>
      <c r="X25" s="772"/>
      <c r="Y25" s="3326"/>
      <c r="Z25" s="55" t="str">
        <f>Q25</f>
        <v>基础设施水平</v>
      </c>
      <c r="AA25" s="1807">
        <f>D25/F25</f>
        <v>1</v>
      </c>
      <c r="AB25" s="1807">
        <f>D25/H25</f>
        <v>1</v>
      </c>
      <c r="AC25" s="1807">
        <f>D25/J25</f>
        <v>1</v>
      </c>
    </row>
    <row r="26" spans="1:29" s="117" customFormat="1" ht="15">
      <c r="A26" s="649"/>
      <c r="B26" s="632"/>
      <c r="C26" s="2691"/>
      <c r="D26" s="448"/>
      <c r="E26" s="2692"/>
      <c r="F26" s="448"/>
      <c r="G26" s="2692"/>
      <c r="H26" s="448"/>
      <c r="I26" s="2692"/>
      <c r="J26" s="448"/>
      <c r="K26" s="672"/>
      <c r="L26" s="1129"/>
      <c r="M26" s="1130"/>
      <c r="N26" s="1130"/>
      <c r="O26" s="1131"/>
      <c r="P26" s="3326"/>
      <c r="Q26" s="1791"/>
      <c r="R26" s="770"/>
      <c r="S26" s="771"/>
      <c r="T26" s="770"/>
      <c r="U26" s="771"/>
      <c r="V26" s="770"/>
      <c r="W26" s="771"/>
      <c r="X26" s="772"/>
      <c r="Y26" s="332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26"/>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326"/>
      <c r="Z27" s="1810" t="str">
        <f t="shared" ref="Z27:Z40" si="13">Q27</f>
        <v>临街状况</v>
      </c>
      <c r="AA27" s="1807">
        <f t="shared" si="3"/>
        <v>1</v>
      </c>
      <c r="AB27" s="1807">
        <f t="shared" si="4"/>
        <v>1</v>
      </c>
      <c r="AC27" s="1807">
        <f t="shared" si="5"/>
        <v>1</v>
      </c>
    </row>
    <row r="28" spans="1:29" ht="28.8">
      <c r="A28" s="428"/>
      <c r="B28" s="633" t="s">
        <v>2687</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26"/>
      <c r="Q28" s="1806" t="str">
        <f t="shared" si="8"/>
        <v>毗邻道路的类型与等级</v>
      </c>
      <c r="R28" s="774" t="s">
        <v>17</v>
      </c>
      <c r="S28" s="775">
        <f t="shared" si="10"/>
        <v>100</v>
      </c>
      <c r="T28" s="774" t="s">
        <v>17</v>
      </c>
      <c r="U28" s="775">
        <f t="shared" si="11"/>
        <v>100</v>
      </c>
      <c r="V28" s="774" t="s">
        <v>17</v>
      </c>
      <c r="W28" s="775">
        <f t="shared" si="12"/>
        <v>100</v>
      </c>
      <c r="X28" s="1809"/>
      <c r="Y28" s="3326"/>
      <c r="Z28" s="1810" t="str">
        <f t="shared" si="13"/>
        <v>毗邻道路的类型与等级</v>
      </c>
      <c r="AA28" s="1807">
        <f t="shared" si="3"/>
        <v>1</v>
      </c>
      <c r="AB28" s="1807">
        <f t="shared" si="4"/>
        <v>1</v>
      </c>
      <c r="AC28" s="1807">
        <f t="shared" si="5"/>
        <v>1</v>
      </c>
    </row>
    <row r="29" spans="1:29" ht="15">
      <c r="A29" s="428"/>
      <c r="B29" s="632"/>
      <c r="C29" s="447"/>
      <c r="D29" s="448"/>
      <c r="E29" s="2603"/>
      <c r="F29" s="448"/>
      <c r="G29" s="2603"/>
      <c r="H29" s="448"/>
      <c r="I29" s="2603"/>
      <c r="J29" s="448"/>
      <c r="K29" s="613"/>
      <c r="L29" s="1137"/>
      <c r="M29" s="1128"/>
      <c r="N29" s="1128"/>
      <c r="O29" s="1136"/>
      <c r="P29" s="3326"/>
      <c r="Q29" s="1806"/>
      <c r="R29" s="774"/>
      <c r="S29" s="775"/>
      <c r="T29" s="774"/>
      <c r="U29" s="775"/>
      <c r="V29" s="774"/>
      <c r="W29" s="775"/>
      <c r="X29" s="1809"/>
      <c r="Y29" s="3326"/>
      <c r="Z29" s="1810"/>
      <c r="AA29" s="1807">
        <v>1</v>
      </c>
      <c r="AB29" s="1807">
        <v>1</v>
      </c>
      <c r="AC29" s="1807">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26"/>
      <c r="Q30" s="1806" t="str">
        <f t="shared" si="8"/>
        <v>土地级别</v>
      </c>
      <c r="R30" s="774" t="s">
        <v>17</v>
      </c>
      <c r="S30" s="775">
        <f t="shared" si="10"/>
        <v>100</v>
      </c>
      <c r="T30" s="774" t="s">
        <v>17</v>
      </c>
      <c r="U30" s="775">
        <f t="shared" si="11"/>
        <v>100</v>
      </c>
      <c r="V30" s="774" t="s">
        <v>17</v>
      </c>
      <c r="W30" s="775">
        <f t="shared" si="12"/>
        <v>100</v>
      </c>
      <c r="X30" s="1809"/>
      <c r="Y30" s="3326"/>
      <c r="Z30" s="1810" t="str">
        <f t="shared" si="13"/>
        <v>土地级别</v>
      </c>
      <c r="AA30" s="1807">
        <f t="shared" si="3"/>
        <v>1</v>
      </c>
      <c r="AB30" s="1807">
        <f t="shared" si="4"/>
        <v>1</v>
      </c>
      <c r="AC30" s="1807">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26"/>
      <c r="Q31" s="1806">
        <f t="shared" si="8"/>
        <v>111</v>
      </c>
      <c r="R31" s="774" t="s">
        <v>17</v>
      </c>
      <c r="S31" s="775">
        <f t="shared" si="10"/>
        <v>100</v>
      </c>
      <c r="T31" s="774" t="s">
        <v>17</v>
      </c>
      <c r="U31" s="775">
        <f t="shared" si="11"/>
        <v>100</v>
      </c>
      <c r="V31" s="774" t="s">
        <v>17</v>
      </c>
      <c r="W31" s="775">
        <f t="shared" si="12"/>
        <v>100</v>
      </c>
      <c r="X31" s="1809"/>
      <c r="Y31" s="3326"/>
      <c r="Z31" s="1810">
        <f t="shared" si="13"/>
        <v>111</v>
      </c>
      <c r="AA31" s="1807">
        <f t="shared" si="3"/>
        <v>1</v>
      </c>
      <c r="AB31" s="1807">
        <f t="shared" si="4"/>
        <v>1</v>
      </c>
      <c r="AC31" s="1807">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27" t="s">
        <v>2561</v>
      </c>
      <c r="Q32" s="1806">
        <f t="shared" si="8"/>
        <v>111</v>
      </c>
      <c r="R32" s="774" t="s">
        <v>17</v>
      </c>
      <c r="S32" s="775">
        <f t="shared" si="10"/>
        <v>100</v>
      </c>
      <c r="T32" s="774" t="s">
        <v>17</v>
      </c>
      <c r="U32" s="775">
        <f t="shared" si="11"/>
        <v>100</v>
      </c>
      <c r="V32" s="774" t="s">
        <v>17</v>
      </c>
      <c r="W32" s="775">
        <f t="shared" si="12"/>
        <v>100</v>
      </c>
      <c r="X32" s="1809"/>
      <c r="Y32" s="3328" t="s">
        <v>2561</v>
      </c>
      <c r="Z32" s="1810">
        <f t="shared" si="13"/>
        <v>111</v>
      </c>
      <c r="AA32" s="1807">
        <f t="shared" si="3"/>
        <v>1</v>
      </c>
      <c r="AB32" s="1807">
        <f t="shared" si="4"/>
        <v>1</v>
      </c>
      <c r="AC32" s="1807">
        <f t="shared" si="5"/>
        <v>1</v>
      </c>
    </row>
    <row r="33" spans="1:29" s="471" customFormat="1" ht="15.6"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28"/>
      <c r="Q33" s="1806">
        <f t="shared" si="8"/>
        <v>111</v>
      </c>
      <c r="R33" s="777" t="s">
        <v>17</v>
      </c>
      <c r="S33" s="778">
        <f t="shared" si="10"/>
        <v>100</v>
      </c>
      <c r="T33" s="777" t="s">
        <v>17</v>
      </c>
      <c r="U33" s="778">
        <f t="shared" si="11"/>
        <v>100</v>
      </c>
      <c r="V33" s="777" t="s">
        <v>17</v>
      </c>
      <c r="W33" s="778">
        <f t="shared" si="12"/>
        <v>100</v>
      </c>
      <c r="X33" s="779"/>
      <c r="Y33" s="3328"/>
      <c r="Z33" s="780">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28"/>
      <c r="Q34" s="1806" t="str">
        <f>B34</f>
        <v>宗地面积</v>
      </c>
      <c r="R34" s="774" t="s">
        <v>17</v>
      </c>
      <c r="S34" s="775" t="e">
        <f t="shared" si="10"/>
        <v>#N/A</v>
      </c>
      <c r="T34" s="774" t="s">
        <v>17</v>
      </c>
      <c r="U34" s="775" t="e">
        <f t="shared" si="11"/>
        <v>#N/A</v>
      </c>
      <c r="V34" s="774" t="s">
        <v>17</v>
      </c>
      <c r="W34" s="775" t="e">
        <f t="shared" si="12"/>
        <v>#N/A</v>
      </c>
      <c r="X34" s="1809"/>
      <c r="Y34" s="3328"/>
      <c r="Z34" s="1810" t="str">
        <f t="shared" si="13"/>
        <v>宗地面积</v>
      </c>
      <c r="AA34" s="1807" t="e">
        <f t="shared" si="3"/>
        <v>#N/A</v>
      </c>
      <c r="AB34" s="1807" t="e">
        <f t="shared" si="4"/>
        <v>#N/A</v>
      </c>
      <c r="AC34" s="1807" t="e">
        <f t="shared" si="5"/>
        <v>#N/A</v>
      </c>
    </row>
    <row r="35" spans="1:29" ht="15">
      <c r="A35" s="472"/>
      <c r="B35" s="422" t="s">
        <v>2748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7"/>
      <c r="M35" s="1128"/>
      <c r="N35" s="1128"/>
      <c r="O35" s="1136"/>
      <c r="P35" s="3328"/>
      <c r="Q35" s="1806" t="str">
        <f t="shared" ref="Q35:Q40" si="14">B35</f>
        <v>宗地形状</v>
      </c>
      <c r="R35" s="774" t="s">
        <v>17</v>
      </c>
      <c r="S35" s="775">
        <f t="shared" si="10"/>
        <v>100</v>
      </c>
      <c r="T35" s="774" t="s">
        <v>17</v>
      </c>
      <c r="U35" s="775">
        <f t="shared" si="11"/>
        <v>100</v>
      </c>
      <c r="V35" s="774" t="s">
        <v>17</v>
      </c>
      <c r="W35" s="775">
        <f t="shared" si="12"/>
        <v>100</v>
      </c>
      <c r="X35" s="1809"/>
      <c r="Y35" s="3328"/>
      <c r="Z35" s="1810" t="str">
        <f t="shared" si="13"/>
        <v>宗地形状</v>
      </c>
      <c r="AA35" s="1807">
        <f t="shared" si="3"/>
        <v>1</v>
      </c>
      <c r="AB35" s="1807">
        <f t="shared" si="4"/>
        <v>1</v>
      </c>
      <c r="AC35" s="1807">
        <f t="shared" si="5"/>
        <v>1</v>
      </c>
    </row>
    <row r="36" spans="1:29" s="117" customFormat="1" ht="15">
      <c r="A36" s="473"/>
      <c r="B36" s="422" t="s">
        <v>2750</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9"/>
      <c r="M36" s="1130"/>
      <c r="N36" s="1130"/>
      <c r="O36" s="1131"/>
      <c r="P36" s="3328"/>
      <c r="Q36" s="1806" t="str">
        <f t="shared" si="14"/>
        <v>宗地开发程度</v>
      </c>
      <c r="R36" s="770" t="s">
        <v>17</v>
      </c>
      <c r="S36" s="771">
        <f t="shared" si="10"/>
        <v>100</v>
      </c>
      <c r="T36" s="770" t="s">
        <v>17</v>
      </c>
      <c r="U36" s="771">
        <f t="shared" si="11"/>
        <v>100</v>
      </c>
      <c r="V36" s="770" t="s">
        <v>17</v>
      </c>
      <c r="W36" s="771">
        <f t="shared" si="12"/>
        <v>100</v>
      </c>
      <c r="X36" s="772"/>
      <c r="Y36" s="3328"/>
      <c r="Z36" s="55" t="str">
        <f t="shared" si="13"/>
        <v>宗地开发程度</v>
      </c>
      <c r="AA36" s="773">
        <f t="shared" si="3"/>
        <v>1</v>
      </c>
      <c r="AB36" s="773">
        <f t="shared" si="4"/>
        <v>1</v>
      </c>
      <c r="AC36" s="773">
        <f t="shared" si="5"/>
        <v>1</v>
      </c>
    </row>
    <row r="37" spans="1:29" ht="15">
      <c r="A37" s="472"/>
      <c r="B37" s="422" t="s">
        <v>2751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7"/>
      <c r="M37" s="1128"/>
      <c r="N37" s="1128"/>
      <c r="O37" s="1136"/>
      <c r="P37" s="3328" t="s">
        <v>2561</v>
      </c>
      <c r="Q37" s="1806" t="str">
        <f t="shared" si="14"/>
        <v>工程地质条件</v>
      </c>
      <c r="R37" s="774" t="s">
        <v>17</v>
      </c>
      <c r="S37" s="775">
        <f t="shared" si="10"/>
        <v>100</v>
      </c>
      <c r="T37" s="774" t="s">
        <v>17</v>
      </c>
      <c r="U37" s="775">
        <f t="shared" si="11"/>
        <v>100</v>
      </c>
      <c r="V37" s="774" t="s">
        <v>17</v>
      </c>
      <c r="W37" s="775">
        <f t="shared" si="12"/>
        <v>100</v>
      </c>
      <c r="X37" s="1809"/>
      <c r="Y37" s="3328" t="s">
        <v>2561</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28"/>
      <c r="Q38" s="1806">
        <f t="shared" si="14"/>
        <v>111</v>
      </c>
      <c r="R38" s="774" t="s">
        <v>17</v>
      </c>
      <c r="S38" s="775">
        <f t="shared" si="10"/>
        <v>100</v>
      </c>
      <c r="T38" s="774" t="s">
        <v>17</v>
      </c>
      <c r="U38" s="775">
        <f t="shared" si="11"/>
        <v>100</v>
      </c>
      <c r="V38" s="774" t="s">
        <v>17</v>
      </c>
      <c r="W38" s="775">
        <f t="shared" si="12"/>
        <v>100</v>
      </c>
      <c r="X38" s="1809"/>
      <c r="Y38" s="3328"/>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28"/>
      <c r="Q39" s="1806">
        <f t="shared" si="14"/>
        <v>111</v>
      </c>
      <c r="R39" s="774" t="s">
        <v>17</v>
      </c>
      <c r="S39" s="775">
        <f t="shared" si="10"/>
        <v>100</v>
      </c>
      <c r="T39" s="774" t="s">
        <v>17</v>
      </c>
      <c r="U39" s="775">
        <f t="shared" si="11"/>
        <v>100</v>
      </c>
      <c r="V39" s="774" t="s">
        <v>17</v>
      </c>
      <c r="W39" s="775">
        <f t="shared" si="12"/>
        <v>100</v>
      </c>
      <c r="X39" s="1809"/>
      <c r="Y39" s="3328"/>
      <c r="Z39" s="1810">
        <f t="shared" si="13"/>
        <v>111</v>
      </c>
      <c r="AA39" s="1807">
        <f t="shared" si="3"/>
        <v>1</v>
      </c>
      <c r="AB39" s="1807">
        <f t="shared" si="4"/>
        <v>1</v>
      </c>
      <c r="AC39" s="1807">
        <f t="shared" si="5"/>
        <v>1</v>
      </c>
    </row>
    <row r="40" spans="1:29" s="471" customFormat="1" ht="15.6" thickBot="1">
      <c r="A40" s="468"/>
      <c r="B40" s="1384">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28"/>
      <c r="Q40" s="1806">
        <f t="shared" si="14"/>
        <v>111</v>
      </c>
      <c r="R40" s="777" t="s">
        <v>17</v>
      </c>
      <c r="S40" s="778">
        <f t="shared" si="10"/>
        <v>100</v>
      </c>
      <c r="T40" s="777" t="s">
        <v>17</v>
      </c>
      <c r="U40" s="778">
        <f t="shared" si="11"/>
        <v>100</v>
      </c>
      <c r="V40" s="777" t="s">
        <v>17</v>
      </c>
      <c r="W40" s="778">
        <f t="shared" si="12"/>
        <v>100</v>
      </c>
      <c r="X40" s="779"/>
      <c r="Y40" s="3328"/>
      <c r="Z40" s="780">
        <f t="shared" si="13"/>
        <v>111</v>
      </c>
      <c r="AA40" s="1807">
        <f t="shared" si="3"/>
        <v>1</v>
      </c>
      <c r="AB40" s="1807">
        <f t="shared" si="4"/>
        <v>1</v>
      </c>
      <c r="AC40" s="1807">
        <f t="shared" si="5"/>
        <v>1</v>
      </c>
    </row>
    <row r="41" spans="1:29" ht="14.4">
      <c r="A41" s="479" t="s">
        <v>2716</v>
      </c>
      <c r="B41" s="2695" t="s">
        <v>2796</v>
      </c>
      <c r="C41" s="682" t="s">
        <v>1</v>
      </c>
      <c r="D41" s="481"/>
      <c r="E41" s="482"/>
      <c r="F41" s="483"/>
      <c r="G41" s="484"/>
      <c r="H41" s="485"/>
      <c r="I41" s="482"/>
      <c r="J41" s="485"/>
      <c r="K41" s="783"/>
      <c r="L41" s="1140"/>
      <c r="M41" s="1128"/>
      <c r="N41" s="1128"/>
      <c r="O41" s="1141"/>
      <c r="P41" s="3310" t="str">
        <f>A41</f>
        <v>成交单价</v>
      </c>
      <c r="Q41" s="3310"/>
      <c r="R41" s="3323">
        <f>E41</f>
        <v>0</v>
      </c>
      <c r="S41" s="3323"/>
      <c r="T41" s="3323">
        <f>G41</f>
        <v>0</v>
      </c>
      <c r="U41" s="3323"/>
      <c r="V41" s="3323">
        <f>I41</f>
        <v>0</v>
      </c>
      <c r="W41" s="3323"/>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310" t="str">
        <f>A42</f>
        <v>比较价值（元/平方米）</v>
      </c>
      <c r="Q42" s="3310"/>
      <c r="R42" s="3329" t="e">
        <f>ROUND(PRODUCT(R41,AA7:AA40),0)</f>
        <v>#DIV/0!</v>
      </c>
      <c r="S42" s="3329"/>
      <c r="T42" s="3329" t="e">
        <f>ROUND(PRODUCT(T41,AB7:AB40),0)</f>
        <v>#DIV/0!</v>
      </c>
      <c r="U42" s="3329"/>
      <c r="V42" s="3329" t="e">
        <f>ROUND(PRODUCT(V41,AC7:AC40),0)</f>
        <v>#DIV/0!</v>
      </c>
      <c r="W42" s="3329"/>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0"/>
      <c r="M43" s="1128"/>
      <c r="N43" s="1128"/>
      <c r="O43" s="1141"/>
      <c r="P43" s="3330" t="str">
        <f>A43</f>
        <v>估价对象XX用房的比较价值（楼面单价，元/平方米）</v>
      </c>
      <c r="Q43" s="3331"/>
      <c r="R43" s="3332" t="e">
        <f>ROUND(AVERAGE(R42:V42),0)</f>
        <v>#DIV/0!</v>
      </c>
      <c r="S43" s="3332"/>
      <c r="T43" s="3332"/>
      <c r="U43" s="3332"/>
      <c r="V43" s="3332"/>
      <c r="W43" s="333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2754</v>
      </c>
      <c r="B50" s="685" t="s">
        <v>2755</v>
      </c>
      <c r="C50" s="2696" t="s">
        <v>2756</v>
      </c>
      <c r="D50" s="2697" t="s">
        <v>2757</v>
      </c>
      <c r="E50" s="686" t="s">
        <v>2758</v>
      </c>
      <c r="F50" s="687" t="s">
        <v>2759</v>
      </c>
      <c r="G50" s="3311" t="s">
        <v>2760</v>
      </c>
      <c r="H50" s="3333"/>
      <c r="I50" s="1810" t="s">
        <v>2797</v>
      </c>
      <c r="J50" s="1810" t="str">
        <f>项目基本情况!F35</f>
        <v>福建省福州市</v>
      </c>
      <c r="K50" s="2699" t="s">
        <v>2762</v>
      </c>
      <c r="L50" s="1103"/>
      <c r="M50" s="1141"/>
      <c r="N50" s="1141"/>
      <c r="O50" s="1141"/>
    </row>
    <row r="51" spans="1:17" s="692" customFormat="1">
      <c r="A51" s="688" t="s">
        <v>2763</v>
      </c>
      <c r="B51" s="689" t="e">
        <f>C43</f>
        <v>#DIV/0!</v>
      </c>
      <c r="C51" s="690">
        <v>1</v>
      </c>
      <c r="D51" s="1160">
        <v>1</v>
      </c>
      <c r="E51" s="690">
        <f>'数据-汇总表'!E8+'数据-汇总表'!E9</f>
        <v>30810.510000000002</v>
      </c>
      <c r="F51" s="691" t="e">
        <f t="shared" ref="F51:F60" si="15">ROUND(B51*E51/10000,0)</f>
        <v>#DIV/0!</v>
      </c>
      <c r="G51" s="3334"/>
      <c r="H51" s="3310"/>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335"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335"/>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335"/>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335"/>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0"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36026.980000000003</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0" t="s">
        <v>2765</v>
      </c>
      <c r="H59" s="1101">
        <f>项目基本情况!B37</f>
        <v>0</v>
      </c>
      <c r="I59" s="939">
        <f>SUMIF(修正!A45:A56,H59,修正!H45:H56)</f>
        <v>0</v>
      </c>
      <c r="J59" s="940"/>
      <c r="K59" s="1142"/>
      <c r="L59" s="938"/>
      <c r="M59" s="938"/>
      <c r="N59" s="938"/>
      <c r="O59" s="938"/>
    </row>
    <row r="60" spans="1:17" s="692" customFormat="1" ht="14.4" thickBot="1">
      <c r="A60" s="693" t="s">
        <v>2776</v>
      </c>
      <c r="B60" s="262" t="e">
        <f t="shared" si="17"/>
        <v>#DIV/0!</v>
      </c>
      <c r="C60" s="200">
        <f t="shared" si="16"/>
        <v>0</v>
      </c>
      <c r="D60" s="1161">
        <v>0.25</v>
      </c>
      <c r="E60" s="261">
        <f>'数据-汇总表'!E15</f>
        <v>0</v>
      </c>
      <c r="F60" s="691" t="e">
        <f t="shared" si="15"/>
        <v>#DIV/0!</v>
      </c>
      <c r="G60" s="2701" t="s">
        <v>2770</v>
      </c>
      <c r="H60" s="1111">
        <f>项目基本情况!C37</f>
        <v>0</v>
      </c>
      <c r="I60" s="939">
        <f>SUMIF(修正!A45:A56,H60,修正!H45:H56)</f>
        <v>0</v>
      </c>
      <c r="J60" s="940"/>
      <c r="K60" s="1141"/>
      <c r="L60" s="938"/>
      <c r="M60" s="938"/>
      <c r="N60" s="938"/>
      <c r="O60" s="938"/>
    </row>
    <row r="61" spans="1:17" s="692" customFormat="1" ht="14.4" thickBot="1">
      <c r="A61" s="695" t="s">
        <v>2777</v>
      </c>
      <c r="B61" s="696" t="s">
        <v>28</v>
      </c>
      <c r="C61" s="696" t="s">
        <v>29</v>
      </c>
      <c r="D61" s="696" t="s">
        <v>1026</v>
      </c>
      <c r="E61" s="696">
        <f>IF(B41="楼面地价",SUM(E51:E60),'数据-汇总表'!D3)</f>
        <v>37123.449999999997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2670</v>
      </c>
      <c r="B64" s="759"/>
      <c r="C64" s="764"/>
      <c r="D64" s="764"/>
      <c r="E64" s="764"/>
      <c r="F64" s="765"/>
      <c r="G64" s="765"/>
      <c r="H64" s="764"/>
      <c r="I64" s="764"/>
      <c r="J64" s="764"/>
      <c r="K64" s="766"/>
      <c r="L64" s="767"/>
      <c r="M64" s="764"/>
      <c r="N64" s="764"/>
      <c r="O64" s="1156"/>
      <c r="P64" s="503"/>
      <c r="Q64" s="504"/>
    </row>
    <row r="65" spans="1:17" s="508" customFormat="1" ht="14.4">
      <c r="A65" s="2702" t="s">
        <v>2778</v>
      </c>
      <c r="B65" s="1356"/>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07" t="s">
        <v>2798</v>
      </c>
      <c r="B66" s="332" t="str">
        <f>"北京市平均增长率"&amp;TEXT(基准地价修正!P24,"0.00%")</f>
        <v>北京市平均增长率1.40%</v>
      </c>
      <c r="C66" s="603">
        <v>100</v>
      </c>
      <c r="D66" s="595"/>
      <c r="E66" s="595"/>
      <c r="F66" s="595"/>
      <c r="G66" s="595"/>
      <c r="H66" s="595"/>
      <c r="I66" s="595"/>
      <c r="J66" s="595"/>
      <c r="K66" s="595"/>
      <c r="L66" s="595"/>
      <c r="M66" s="1564"/>
      <c r="N66" s="1564"/>
      <c r="O66" s="1565"/>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2584</v>
      </c>
      <c r="B70" s="528" t="s">
        <v>2550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3.2"/>
  <cols>
    <col min="1" max="1" width="9.77734375" style="2779" customWidth="1"/>
    <col min="2" max="2" width="19.21875" style="2885" customWidth="1"/>
    <col min="3" max="4" width="12" style="2711"/>
    <col min="5" max="5" width="14.6640625" style="2711" customWidth="1"/>
    <col min="6" max="8" width="12" style="2711"/>
    <col min="9" max="9" width="12.21875" style="2711" bestFit="1" customWidth="1"/>
    <col min="10" max="10" width="12" style="2711"/>
    <col min="11" max="11" width="8.109375" style="2774" customWidth="1"/>
    <col min="12" max="12" width="12" style="2711"/>
    <col min="13" max="13" width="8.44140625" style="2711" customWidth="1"/>
    <col min="14" max="14" width="9.77734375" style="2711" customWidth="1"/>
    <col min="15" max="25" width="12" style="2711"/>
    <col min="26" max="26" width="9.33203125" style="2779" customWidth="1"/>
    <col min="27" max="32" width="9.33203125" style="1369" customWidth="1"/>
    <col min="33" max="36" width="9.33203125" style="2779" customWidth="1"/>
    <col min="37" max="38" width="9.33203125" style="2711" customWidth="1"/>
    <col min="39" max="16384" width="12" style="2711"/>
  </cols>
  <sheetData>
    <row r="1" spans="1:36" ht="31.2">
      <c r="A1" s="240" t="s">
        <v>2800</v>
      </c>
      <c r="B1" s="241"/>
      <c r="C1" s="245" t="s">
        <v>2801</v>
      </c>
      <c r="D1" s="388">
        <f>SUM(D29:D30,D33:D39)</f>
        <v>0</v>
      </c>
      <c r="E1" s="2708"/>
      <c r="F1" s="2708"/>
      <c r="G1" s="2708"/>
      <c r="H1" s="2708"/>
      <c r="I1" s="2708"/>
      <c r="J1" s="2708"/>
      <c r="K1" s="1367"/>
      <c r="L1" s="2709" t="s">
        <v>2802</v>
      </c>
      <c r="M1" s="1077">
        <f>SUMPRODUCT((区片价!B5:B9=I2)*(区片价!C3:F3=E2)*(区片价!C5:F9))</f>
        <v>0</v>
      </c>
      <c r="N1" s="1080">
        <f>SUMPRODUCT((因素修正幅度!B5:B9=I2)*(因素修正幅度!C3:F3=E2)*(因素修正幅度!C5:F9))</f>
        <v>0</v>
      </c>
      <c r="O1" s="2710"/>
      <c r="P1" s="2710"/>
      <c r="Q1" s="1367"/>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6">
      <c r="A2" s="245" t="s">
        <v>2808</v>
      </c>
      <c r="B2" s="248" t="e">
        <f>C26</f>
        <v>#DIV/0!</v>
      </c>
      <c r="C2" s="2712" t="s">
        <v>2809</v>
      </c>
      <c r="D2" s="2713" t="s">
        <v>2810</v>
      </c>
      <c r="E2" s="2714"/>
      <c r="F2" s="2713" t="s">
        <v>2811</v>
      </c>
      <c r="G2" s="2715">
        <f>IF(E2="商业",项目基本情况!B37,IF(E2="办公",项目基本情况!C37,IF(E2="住宅",项目基本情况!D37,项目基本情况!E37)))</f>
        <v>0</v>
      </c>
      <c r="H2" s="2713" t="s">
        <v>2812</v>
      </c>
      <c r="I2" s="2715">
        <f>IF(E2="商业",项目基本情况!B38,IF(E2="办公",项目基本情况!C38,IF(E2="住宅",项目基本情况!D38,项目基本情况!E38)))</f>
        <v>0</v>
      </c>
      <c r="J2" s="2716"/>
      <c r="K2" s="1367"/>
      <c r="L2" s="2717" t="s">
        <v>2813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7" t="s">
        <v>2814</v>
      </c>
      <c r="B3" s="248" t="e">
        <f>ROUND(B2*10000/D1,0)</f>
        <v>#DIV/0!</v>
      </c>
      <c r="C3" s="2712" t="s">
        <v>2815</v>
      </c>
      <c r="D3" s="2713" t="s">
        <v>2816</v>
      </c>
      <c r="E3" s="2718"/>
      <c r="F3" s="2719" t="s">
        <v>2817</v>
      </c>
      <c r="G3" s="913">
        <f>IF(F3="宗地容积率",'数据-汇总表'!I4,IF(F3="估价对象容积率",'数据-汇总表'!I6,'数据-汇总表'!I7))</f>
        <v>1.6</v>
      </c>
      <c r="H3" s="198" t="s">
        <v>2818</v>
      </c>
      <c r="I3" s="941"/>
      <c r="J3" s="2716" t="s">
        <v>2819</v>
      </c>
      <c r="K3" s="1367"/>
      <c r="L3" s="2717" t="s">
        <v>2820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408"/>
      <c r="B4" s="3409"/>
      <c r="C4" s="3409"/>
      <c r="D4" s="3410"/>
      <c r="E4" s="3410"/>
      <c r="F4" s="3410"/>
      <c r="G4" s="3410"/>
      <c r="H4" s="3410"/>
      <c r="I4" s="3410"/>
      <c r="J4" s="3411"/>
      <c r="K4" s="1367"/>
      <c r="L4" s="2717" t="s">
        <v>2821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6" thickBot="1">
      <c r="A5" s="2720" t="s">
        <v>807</v>
      </c>
      <c r="B5" s="2721" t="s">
        <v>2822</v>
      </c>
      <c r="C5" s="914" t="e">
        <f>ROUND(IF(E2="商业",C6*C7+C16,(IF(E2="住宅",C6*C12+C16,C6+C16))),0)</f>
        <v>#DIV/0!</v>
      </c>
      <c r="D5" s="1783" t="e">
        <f>ROUND(IF(F17="增加",C6+C16,C6-C16),0)</f>
        <v>#DIV/0!</v>
      </c>
      <c r="E5" s="1783"/>
      <c r="F5" s="2722"/>
      <c r="G5" s="2723"/>
      <c r="H5" s="2723"/>
      <c r="I5" s="2723"/>
      <c r="J5" s="2724"/>
      <c r="K5" s="2725"/>
      <c r="L5" s="2717" t="s">
        <v>2823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6" thickBot="1">
      <c r="A6" s="2730" t="s">
        <v>2824</v>
      </c>
      <c r="B6" s="2731" t="s">
        <v>2825</v>
      </c>
      <c r="C6" s="915">
        <f>SUMIF(L1:L12,G2,M1:M12)</f>
        <v>0</v>
      </c>
      <c r="D6" s="2732" t="s">
        <v>2826</v>
      </c>
      <c r="E6" s="2733"/>
      <c r="F6" s="2733"/>
      <c r="G6" s="2734"/>
      <c r="H6" s="2734"/>
      <c r="I6" s="2734"/>
      <c r="J6" s="2735"/>
      <c r="K6" s="1838"/>
      <c r="L6" s="2717" t="s">
        <v>2827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392" t="str">
        <f>IF(E2="商业",IF(C8="不临58条商业街","",2),"")</f>
        <v/>
      </c>
      <c r="B7" s="2736" t="s">
        <v>2828</v>
      </c>
      <c r="C7" s="916" t="e">
        <f>IF(C8="不临58条商业街",1,ROUND(1+(1.6*E8+1.2*E9+0.8*E10+0.4*E11)*C9,4))</f>
        <v>#DIV/0!</v>
      </c>
      <c r="D7" s="2737" t="s">
        <v>2829</v>
      </c>
      <c r="E7" s="942"/>
      <c r="F7" s="2738"/>
      <c r="G7" s="2739"/>
      <c r="H7" s="2739"/>
      <c r="I7" s="2739"/>
      <c r="J7" s="2740"/>
      <c r="K7" s="1838"/>
      <c r="L7" s="2717" t="s">
        <v>2830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1.6</v>
      </c>
      <c r="AA7" s="1602"/>
      <c r="AB7" s="1602"/>
      <c r="AC7" s="1603"/>
      <c r="AD7" s="1604"/>
      <c r="AE7" s="1604"/>
      <c r="AF7" s="1604"/>
      <c r="AG7" s="1604"/>
      <c r="AH7" s="1604"/>
      <c r="AI7" s="1604"/>
      <c r="AJ7" s="1605"/>
    </row>
    <row r="8" spans="1:36" ht="15">
      <c r="A8" s="3412"/>
      <c r="B8" s="198" t="s">
        <v>2833</v>
      </c>
      <c r="C8" s="2741"/>
      <c r="D8" s="917" t="s">
        <v>139</v>
      </c>
      <c r="E8" s="918" t="e">
        <f>ROUND(C11/E7,4)</f>
        <v>#DIV/0!</v>
      </c>
      <c r="F8" s="2742" t="s">
        <v>2834</v>
      </c>
      <c r="G8" s="2743"/>
      <c r="H8" s="2743"/>
      <c r="I8" s="2743"/>
      <c r="J8" s="2744"/>
      <c r="K8" s="1367"/>
      <c r="L8" s="2717" t="s">
        <v>2835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405" t="s">
        <v>2836</v>
      </c>
      <c r="X8" s="3406"/>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412"/>
      <c r="B9" s="198" t="s">
        <v>2849</v>
      </c>
      <c r="C9" s="919">
        <f>SUMIF(修正!C59:C119,C8,修正!E59:E119)</f>
        <v>0</v>
      </c>
      <c r="D9" s="200" t="s">
        <v>140</v>
      </c>
      <c r="E9" s="200" t="e">
        <f>ROUND(C11/E7,4)</f>
        <v>#DIV/0!</v>
      </c>
      <c r="F9" s="2742" t="s">
        <v>2850</v>
      </c>
      <c r="G9" s="2743"/>
      <c r="H9" s="2743"/>
      <c r="I9" s="2743"/>
      <c r="J9" s="2744"/>
      <c r="K9" s="1367"/>
      <c r="L9" s="2717" t="s">
        <v>2851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407"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12"/>
      <c r="B10" s="198" t="s">
        <v>2854</v>
      </c>
      <c r="C10" s="200">
        <f>SUMIF(修正!C59:C119,C8,修正!F59:F119)</f>
        <v>0</v>
      </c>
      <c r="D10" s="200" t="s">
        <v>141</v>
      </c>
      <c r="E10" s="200" t="e">
        <f>ROUND(C11/E7,4)</f>
        <v>#DIV/0!</v>
      </c>
      <c r="F10" s="2742" t="s">
        <v>2855</v>
      </c>
      <c r="G10" s="2743"/>
      <c r="H10" s="2743"/>
      <c r="I10" s="2743"/>
      <c r="J10" s="2744"/>
      <c r="K10" s="1367"/>
      <c r="L10" s="2717" t="s">
        <v>2856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40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412"/>
      <c r="B11" s="2745" t="s">
        <v>2857</v>
      </c>
      <c r="C11" s="920">
        <f>C10/4</f>
        <v>0</v>
      </c>
      <c r="D11" s="920" t="s">
        <v>142</v>
      </c>
      <c r="E11" s="920" t="e">
        <f>ROUND(C11/E7,4)</f>
        <v>#DIV/0!</v>
      </c>
      <c r="F11" s="2746" t="s">
        <v>2858</v>
      </c>
      <c r="G11" s="2747"/>
      <c r="H11" s="2747"/>
      <c r="I11" s="2747"/>
      <c r="J11" s="2748"/>
      <c r="K11" s="1367"/>
      <c r="L11" s="2717" t="s">
        <v>2859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407" t="s">
        <v>2860</v>
      </c>
      <c r="X11" s="1610" t="s">
        <v>2861</v>
      </c>
      <c r="Y11" s="1611">
        <f>$G$3</f>
        <v>1.6</v>
      </c>
      <c r="Z11" s="1611">
        <f t="shared" ref="Z11:AJ11" si="3">$G$3</f>
        <v>1.6</v>
      </c>
      <c r="AA11" s="1611">
        <f t="shared" si="3"/>
        <v>1.6</v>
      </c>
      <c r="AB11" s="1611">
        <f t="shared" si="3"/>
        <v>1.6</v>
      </c>
      <c r="AC11" s="1611">
        <f t="shared" si="3"/>
        <v>1.6</v>
      </c>
      <c r="AD11" s="1611">
        <f t="shared" si="3"/>
        <v>1.6</v>
      </c>
      <c r="AE11" s="1611">
        <f t="shared" si="3"/>
        <v>1.6</v>
      </c>
      <c r="AF11" s="1611">
        <f t="shared" si="3"/>
        <v>1.6</v>
      </c>
      <c r="AG11" s="1611">
        <f t="shared" si="3"/>
        <v>1.6</v>
      </c>
      <c r="AH11" s="1611">
        <f t="shared" si="3"/>
        <v>1.6</v>
      </c>
      <c r="AI11" s="1611">
        <f t="shared" si="3"/>
        <v>1.6</v>
      </c>
      <c r="AJ11" s="1611">
        <f t="shared" si="3"/>
        <v>1.6</v>
      </c>
    </row>
    <row r="12" spans="1:36" ht="25.8" thickBot="1">
      <c r="A12" s="3392" t="s">
        <v>2862</v>
      </c>
      <c r="B12" s="2749" t="s">
        <v>2863</v>
      </c>
      <c r="C12" s="916">
        <f>ROUND(C15*D15*E15*F15*G15*H15*I15*J15,4)</f>
        <v>1</v>
      </c>
      <c r="D12" s="2750" t="s">
        <v>2864</v>
      </c>
      <c r="E12" s="2751"/>
      <c r="F12" s="2751"/>
      <c r="G12" s="2752"/>
      <c r="H12" s="2752"/>
      <c r="I12" s="2752"/>
      <c r="J12" s="2753"/>
      <c r="K12" s="1367"/>
      <c r="L12" s="2754" t="s">
        <v>2865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407"/>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13"/>
      <c r="B13" s="2755" t="s">
        <v>2867</v>
      </c>
      <c r="C13" s="2756" t="s">
        <v>2868</v>
      </c>
      <c r="D13" s="1804" t="s">
        <v>2869</v>
      </c>
      <c r="E13" s="1804" t="s">
        <v>2870</v>
      </c>
      <c r="F13" s="30" t="s">
        <v>2871</v>
      </c>
      <c r="G13" s="2757" t="s">
        <v>2872</v>
      </c>
      <c r="H13" s="2757" t="s">
        <v>2872</v>
      </c>
      <c r="I13" s="2757" t="s">
        <v>2872</v>
      </c>
      <c r="J13" s="2758" t="s">
        <v>2872</v>
      </c>
      <c r="K13" s="1367"/>
      <c r="L13" s="1367"/>
      <c r="M13" s="1367"/>
      <c r="N13" s="1367"/>
      <c r="O13" s="1367"/>
      <c r="P13" s="1367"/>
      <c r="Q13" s="1367"/>
      <c r="R13" s="1598">
        <v>12</v>
      </c>
      <c r="S13" s="1599"/>
      <c r="T13" s="1598" t="e">
        <f t="shared" si="0"/>
        <v>#DIV/0!</v>
      </c>
      <c r="U13" s="1599"/>
      <c r="V13" s="1598" t="e">
        <f t="shared" si="1"/>
        <v>#DIV/0!</v>
      </c>
      <c r="W13" s="3407"/>
      <c r="X13" s="1612"/>
      <c r="Y13" s="1609">
        <f>(-0.163*(Y12^2)-0.59*Y12+7617)*(10^(-4))/Y11</f>
        <v>0.4760625</v>
      </c>
      <c r="Z13" s="1609">
        <f t="shared" ref="Z13:AJ13" si="5">(-0.163*(Z12^2)-0.59*Z12+7617)*(10^(-4))/Z11</f>
        <v>0.4760625</v>
      </c>
      <c r="AA13" s="1609">
        <f t="shared" si="5"/>
        <v>0.4760625</v>
      </c>
      <c r="AB13" s="1609">
        <f t="shared" si="5"/>
        <v>0.4760625</v>
      </c>
      <c r="AC13" s="1609">
        <f t="shared" si="5"/>
        <v>0.4760625</v>
      </c>
      <c r="AD13" s="1609">
        <f t="shared" si="5"/>
        <v>0.4760625</v>
      </c>
      <c r="AE13" s="1609">
        <f t="shared" si="5"/>
        <v>0.4760625</v>
      </c>
      <c r="AF13" s="1609">
        <f t="shared" si="5"/>
        <v>0.4760625</v>
      </c>
      <c r="AG13" s="1609">
        <f t="shared" si="5"/>
        <v>0.4760625</v>
      </c>
      <c r="AH13" s="1609">
        <f t="shared" si="5"/>
        <v>0.4760625</v>
      </c>
      <c r="AI13" s="1609">
        <f t="shared" si="5"/>
        <v>0.4760625</v>
      </c>
      <c r="AJ13" s="1609">
        <f t="shared" si="5"/>
        <v>0.4760625</v>
      </c>
    </row>
    <row r="14" spans="1:36" ht="15">
      <c r="A14" s="3413"/>
      <c r="B14" s="2759"/>
      <c r="C14" s="2760"/>
      <c r="D14" s="2761"/>
      <c r="E14" s="2761"/>
      <c r="F14" s="2762"/>
      <c r="G14" s="2763" t="s">
        <v>2873</v>
      </c>
      <c r="H14" s="2764"/>
      <c r="I14" s="2765"/>
      <c r="J14" s="2766"/>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414"/>
      <c r="B15" s="2767" t="s">
        <v>2874</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92" t="s">
        <v>2879</v>
      </c>
      <c r="B16" s="2736" t="s">
        <v>2880</v>
      </c>
      <c r="C16" s="2926" t="e">
        <f>ROUND(IF(F17="与级别开发程度一致",0,(G17-E17)/C17),0)</f>
        <v>#DIV/0!</v>
      </c>
      <c r="D16" s="3403" t="s">
        <v>2884</v>
      </c>
      <c r="E16" s="3404"/>
      <c r="F16" s="3403" t="s">
        <v>2881</v>
      </c>
      <c r="G16" s="3404"/>
      <c r="H16" s="2770"/>
      <c r="I16" s="2770"/>
      <c r="J16" s="2930"/>
      <c r="K16" s="2770"/>
      <c r="L16" s="2770"/>
      <c r="M16" s="2770"/>
      <c r="N16" s="2770"/>
      <c r="O16" s="2771"/>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393"/>
      <c r="B17" s="2937" t="s">
        <v>2883</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 thickBot="1">
      <c r="A18" s="2931" t="s">
        <v>808</v>
      </c>
      <c r="B18" s="2932" t="s">
        <v>2886</v>
      </c>
      <c r="C18" s="2933">
        <f>SUMIF(修正!C18:C39,E3,修正!E18:E39)</f>
        <v>0</v>
      </c>
      <c r="D18" s="2934"/>
      <c r="E18" s="2935"/>
      <c r="F18" s="2935"/>
      <c r="G18" s="2935"/>
      <c r="H18" s="2935"/>
      <c r="I18" s="2935"/>
      <c r="J18" s="2936"/>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9.4" thickBot="1">
      <c r="A19" s="2775" t="s">
        <v>809</v>
      </c>
      <c r="B19" s="2776" t="s">
        <v>2887</v>
      </c>
      <c r="C19" s="921" t="e">
        <f>ROUND(IF(H19="按公示增长率计算",SUMPRODUCT((地价!A3:A26=YEAR(G19)&amp;"-"&amp;ROUNDUP(MONTH(G19)/3,0))*(地价!X2:AB2=E2)*(地价!X3:AB26)),IF(H19="地价指数",M20/M19,(1+I19)^O19)),4)</f>
        <v>#DIV/0!</v>
      </c>
      <c r="D19" s="2780" t="s">
        <v>2888</v>
      </c>
      <c r="E19" s="922">
        <v>41640</v>
      </c>
      <c r="F19" s="2780" t="s">
        <v>2889</v>
      </c>
      <c r="G19" s="923">
        <f>'数据-取费表'!B2</f>
        <v>43629</v>
      </c>
      <c r="H19" s="2781" t="s">
        <v>2890</v>
      </c>
      <c r="I19" s="924" t="str">
        <f>IF(H19="季度增幅（自定义）",SUMIF(N21:N24,E2,O21:O24),"")</f>
        <v/>
      </c>
      <c r="J19" s="2778"/>
      <c r="K19" s="1374"/>
      <c r="L19" s="2782" t="s">
        <v>2891</v>
      </c>
      <c r="M19" s="1730">
        <f>ROUND(SUMIF(地价!B2:F2,E2,地价!B26:F26),0)</f>
        <v>0</v>
      </c>
      <c r="N19" s="2783" t="s">
        <v>2892</v>
      </c>
      <c r="O19" s="925">
        <f>ROUNDDOWN(DATEDIF(E19,G19,"M")/3,0)</f>
        <v>21</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9.4" thickBot="1">
      <c r="A20" s="2787" t="s">
        <v>810</v>
      </c>
      <c r="B20" s="2788" t="s">
        <v>2893</v>
      </c>
      <c r="C20" s="926" t="e">
        <f>ROUND(POWER(1+G20,J20-I20)*(POWER(1+G20,I20)-1)/(POWER(1+G20,J20)-1),4)</f>
        <v>#DIV/0!</v>
      </c>
      <c r="D20" s="2789" t="s">
        <v>2894</v>
      </c>
      <c r="E20" s="1764">
        <f ca="1">存贷款利率!D4/100</f>
        <v>4.3499999999999997E-2</v>
      </c>
      <c r="F20" s="2789" t="s">
        <v>2885</v>
      </c>
      <c r="G20" s="931">
        <f>SUMIF(M26:P26,E2,M28:P28)</f>
        <v>0</v>
      </c>
      <c r="H20" s="2789" t="s">
        <v>2895</v>
      </c>
      <c r="I20" s="932" t="e">
        <f>SUMIF('数据-取费表'!C6:C15,E2,'数据-取费表'!F6:F15)/COUNTIF('数据-取费表'!C6:C15,E2)</f>
        <v>#DIV/0!</v>
      </c>
      <c r="J20" s="933">
        <f>IF(E2="住宅",70,IF(E2="商业",40,50))</f>
        <v>50</v>
      </c>
      <c r="K20" s="1374"/>
      <c r="L20" s="2790" t="s">
        <v>2896</v>
      </c>
      <c r="M20" s="1731">
        <f>ROUND(SUMPRODUCT((地价!A4:A26=YEAR(G19)&amp;"-"&amp;ROUNDUP(MONTH(G19)/3,0))*(地价!B2:F2=E2)*(地价!B4:F26)),0)</f>
        <v>0</v>
      </c>
      <c r="N20" s="2791" t="s">
        <v>2897</v>
      </c>
      <c r="O20" s="2792" t="s">
        <v>2898</v>
      </c>
      <c r="P20" s="2793" t="s">
        <v>2899</v>
      </c>
      <c r="R20" s="1373"/>
      <c r="S20" s="1373"/>
      <c r="T20" s="1368"/>
      <c r="U20" s="1368"/>
      <c r="V20" s="1368"/>
      <c r="W20" s="1367"/>
      <c r="X20" s="1367"/>
      <c r="Y20" s="1367"/>
      <c r="Z20" s="1374"/>
      <c r="AA20" s="1375"/>
      <c r="AB20" s="1375"/>
      <c r="AC20" s="1375"/>
      <c r="AD20" s="1375"/>
      <c r="AE20" s="1375"/>
      <c r="AF20" s="1375"/>
    </row>
    <row r="21" spans="1:37" s="2729" customFormat="1" ht="14.4">
      <c r="A21" s="2794" t="s">
        <v>811</v>
      </c>
      <c r="B21" s="2795" t="s">
        <v>2900</v>
      </c>
      <c r="C21" s="934">
        <f>IF(B21="容积率修正",IF(G3&lt;=10,D22,J22),C23)</f>
        <v>0</v>
      </c>
      <c r="D21" s="2796"/>
      <c r="E21" s="2796"/>
      <c r="F21" s="2796"/>
      <c r="G21" s="2796"/>
      <c r="H21" s="2796"/>
      <c r="I21" s="2796"/>
      <c r="J21" s="2797"/>
      <c r="K21" s="1374"/>
      <c r="N21" s="2798" t="s">
        <v>2901</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29" customFormat="1" ht="14.4">
      <c r="A22" s="2655" t="s">
        <v>2902</v>
      </c>
      <c r="B22" s="2799" t="s">
        <v>2903</v>
      </c>
      <c r="C22" s="1806" t="s">
        <v>2904</v>
      </c>
      <c r="D22" s="1806" t="b">
        <f>IF(E22=G22,F22,IF(G3&lt;=10,ROUND(F22+(H22-F22)*(G3-E22)/(G22-E22),4),"——"))</f>
        <v>0</v>
      </c>
      <c r="E22" s="913">
        <f>ROUNDDOWN(G3,1)</f>
        <v>1.6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798" t="s">
        <v>2905</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9.4" thickBot="1">
      <c r="A23" s="2655" t="s">
        <v>2906</v>
      </c>
      <c r="B23" s="2800" t="s">
        <v>2907</v>
      </c>
      <c r="C23" s="1010">
        <f>ROUND(IF(G3&gt;1,IF(I3&lt;7,SUMPRODUCT((B93:B98=I3)*(C92:N92=G2)*(C93:N98)),SUMIF(C92:N92,G2,C100:N100)),IF(I3&lt;7,SUMPRODUCT((B102:B107=I3)*(C92:N92=G2)*(C102:N107)),SUMIF(C92:N92,G2,C109:N109))),4)</f>
        <v>0</v>
      </c>
      <c r="D23" s="2764"/>
      <c r="E23" s="2764"/>
      <c r="F23" s="2801"/>
      <c r="G23" s="2802"/>
      <c r="H23" s="2803"/>
      <c r="I23" s="2804"/>
      <c r="J23" s="2805"/>
      <c r="K23" s="1367"/>
      <c r="N23" s="2798" t="s">
        <v>2908</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79"/>
    </row>
    <row r="24" spans="1:37" s="2729" customFormat="1" ht="15" thickBot="1">
      <c r="A24" s="2787" t="s">
        <v>812</v>
      </c>
      <c r="B24" s="2776" t="s">
        <v>2909</v>
      </c>
      <c r="C24" s="921">
        <f>SUMIF(A45:A88,E2,B45:B88)</f>
        <v>0</v>
      </c>
      <c r="D24" s="2777"/>
      <c r="E24" s="2806"/>
      <c r="F24" s="2806"/>
      <c r="G24" s="2806"/>
      <c r="H24" s="2806"/>
      <c r="I24" s="2806"/>
      <c r="J24" s="2807"/>
      <c r="K24" s="1374"/>
      <c r="N24" s="2808" t="s">
        <v>2910</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 thickBot="1">
      <c r="A25" s="2787" t="s">
        <v>813</v>
      </c>
      <c r="B25" s="2809" t="s">
        <v>2911</v>
      </c>
      <c r="C25" s="927"/>
      <c r="D25" s="2739"/>
      <c r="E25" s="2739"/>
      <c r="F25" s="2810"/>
      <c r="G25" s="2739"/>
      <c r="H25" s="2739"/>
      <c r="I25" s="2739"/>
      <c r="J25" s="2740"/>
      <c r="K25" s="1367"/>
      <c r="N25" s="2811" t="s">
        <v>2912</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4.4">
      <c r="A26" s="2812"/>
      <c r="B26" s="2799" t="s">
        <v>2913</v>
      </c>
      <c r="C26" s="206" t="e">
        <f>E29+SUM(E33:E39)</f>
        <v>#DIV/0!</v>
      </c>
      <c r="D26" s="2813"/>
      <c r="E26" s="2764"/>
      <c r="F26" s="2814"/>
      <c r="G26" s="2764"/>
      <c r="H26" s="2764"/>
      <c r="I26" s="2764"/>
      <c r="J26" s="2815"/>
      <c r="K26" s="1367"/>
      <c r="L26" s="2768" t="s">
        <v>2810</v>
      </c>
      <c r="M26" s="917" t="s">
        <v>2875</v>
      </c>
      <c r="N26" s="917" t="s">
        <v>2876</v>
      </c>
      <c r="O26" s="917" t="s">
        <v>2877</v>
      </c>
      <c r="P26" s="2769" t="s">
        <v>2878</v>
      </c>
      <c r="R26" s="1373"/>
      <c r="S26" s="1373"/>
      <c r="T26" s="1368"/>
      <c r="U26" s="1368"/>
      <c r="V26" s="1368"/>
      <c r="W26" s="1367"/>
      <c r="X26" s="1367"/>
      <c r="Y26" s="1367"/>
      <c r="Z26" s="1374"/>
      <c r="AA26" s="1375"/>
      <c r="AB26" s="1375"/>
      <c r="AC26" s="1375"/>
      <c r="AD26" s="1375"/>
    </row>
    <row r="27" spans="1:37" ht="15" thickBot="1">
      <c r="A27" s="2812"/>
      <c r="B27" s="2816" t="s">
        <v>2914</v>
      </c>
      <c r="C27" s="928" t="e">
        <f>E30+SUM(I33:I39)</f>
        <v>#DIV/0!</v>
      </c>
      <c r="D27" s="2817"/>
      <c r="E27" s="2818"/>
      <c r="F27" s="2819"/>
      <c r="G27" s="2818"/>
      <c r="H27" s="2818"/>
      <c r="I27" s="2818"/>
      <c r="J27" s="2820"/>
      <c r="K27" s="1367"/>
      <c r="L27" s="2772"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1"/>
      <c r="B28" s="2822" t="s">
        <v>2915</v>
      </c>
      <c r="C28" s="2823" t="s">
        <v>2916</v>
      </c>
      <c r="D28" s="2823" t="s">
        <v>2917</v>
      </c>
      <c r="E28" s="2824" t="s">
        <v>2918</v>
      </c>
      <c r="F28" s="2825"/>
      <c r="G28" s="2752"/>
      <c r="H28" s="2752"/>
      <c r="I28" s="2752"/>
      <c r="J28" s="2753"/>
      <c r="K28" s="1367"/>
      <c r="L28" s="2773" t="s">
        <v>2885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2919</v>
      </c>
      <c r="C29" s="206" t="e">
        <f>ROUND(C5*C18*C19*C20*C21*C24,0)</f>
        <v>#DIV/0!</v>
      </c>
      <c r="D29" s="2828"/>
      <c r="E29" s="939" t="e">
        <f>ROUND(C29*D29/10000,0)</f>
        <v>#DIV/0!</v>
      </c>
      <c r="F29" s="2829" t="s">
        <v>2920</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8" thickBot="1">
      <c r="A30" s="2832"/>
      <c r="B30" s="2833" t="s">
        <v>2921</v>
      </c>
      <c r="C30" s="229" t="e">
        <f>ROUND(IF(E2="工业",C29*M39,C29*M38),0)</f>
        <v>#DIV/0!</v>
      </c>
      <c r="D30" s="2834"/>
      <c r="E30" s="939" t="e">
        <f>ROUND(C30*D30/10000,0)</f>
        <v>#DIV/0!</v>
      </c>
      <c r="F30" s="2835" t="s">
        <v>2922</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3.8">
      <c r="A31" s="2838"/>
      <c r="B31" s="2839" t="s">
        <v>2923</v>
      </c>
      <c r="C31" s="2840" t="s">
        <v>2924</v>
      </c>
      <c r="D31" s="2752"/>
      <c r="E31" s="2840"/>
      <c r="F31" s="2840"/>
      <c r="G31" s="2750" t="s">
        <v>2925</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36">
      <c r="A32" s="2826"/>
      <c r="B32" s="2842"/>
      <c r="C32" s="501" t="s">
        <v>2916</v>
      </c>
      <c r="D32" s="498" t="s">
        <v>2917</v>
      </c>
      <c r="E32" s="498" t="s">
        <v>2918</v>
      </c>
      <c r="F32" s="388" t="s">
        <v>2926</v>
      </c>
      <c r="G32" s="2843" t="s">
        <v>2916</v>
      </c>
      <c r="H32" s="2843" t="s">
        <v>2917</v>
      </c>
      <c r="I32" s="2843" t="s">
        <v>2918</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400" t="s">
        <v>2927</v>
      </c>
      <c r="B33" s="2844" t="s">
        <v>2928</v>
      </c>
      <c r="C33" s="206" t="e">
        <f>ROUND(D5*C19*C20*C24*F33,0)</f>
        <v>#DIV/0!</v>
      </c>
      <c r="D33" s="2828"/>
      <c r="E33" s="200" t="e">
        <f>ROUND(C33*D33/10000,0)</f>
        <v>#DIV/0!</v>
      </c>
      <c r="F33" s="200">
        <f>SUMIF(修正!A45:A56,G2,修正!B45:B56)</f>
        <v>0</v>
      </c>
      <c r="G33" s="200" t="e">
        <f t="shared" ref="G33" si="6">ROUND(IF(E2="工业",C33*$M$39,C33*$M$38),0)</f>
        <v>#DIV/0!</v>
      </c>
      <c r="H33" s="200">
        <f>D33</f>
        <v>0</v>
      </c>
      <c r="I33" s="200" t="e">
        <f>ROUND(G33*H33/10000,0)</f>
        <v>#DIV/0!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401"/>
      <c r="B34" s="2756" t="s">
        <v>2929</v>
      </c>
      <c r="C34" s="206" t="e">
        <f>ROUND(D5*C19*C20*C24*F34,0)</f>
        <v>#DIV/0!</v>
      </c>
      <c r="D34" s="282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401"/>
      <c r="B35" s="2756" t="s">
        <v>2930</v>
      </c>
      <c r="C35" s="206" t="e">
        <f>ROUND(D5*C19*C20*C24*F35,0)</f>
        <v>#DIV/0!</v>
      </c>
      <c r="D35" s="2828"/>
      <c r="E35" s="200" t="e">
        <f t="shared" si="7"/>
        <v>#DIV/0!</v>
      </c>
      <c r="F35" s="200">
        <f>SUMIF(修正!A45:A56,G2,修正!D45:D56)</f>
        <v>0</v>
      </c>
      <c r="G35" s="200" t="e">
        <f>ROUND(IF(E2="工业",C35*$M$39,C35*$M$38),0)</f>
        <v>#DIV/0!</v>
      </c>
      <c r="H35" s="200">
        <f t="shared" si="8"/>
        <v>0</v>
      </c>
      <c r="I35" s="200" t="e">
        <f t="shared" si="9"/>
        <v>#DIV/0!</v>
      </c>
      <c r="J35" s="2845"/>
      <c r="K35" s="1367"/>
      <c r="L35" s="1367"/>
      <c r="M35" s="1367"/>
      <c r="N35" s="1367"/>
      <c r="O35" s="1367"/>
      <c r="P35" s="1367"/>
      <c r="Q35" s="1367"/>
      <c r="R35" s="1367"/>
      <c r="S35" s="1367"/>
      <c r="T35" s="1367"/>
      <c r="U35" s="1367"/>
      <c r="V35" s="1367"/>
      <c r="W35" s="1367"/>
      <c r="X35" s="1367"/>
      <c r="Y35" s="1367"/>
      <c r="Z35" s="1368"/>
    </row>
    <row r="36" spans="1:37" ht="13.8" thickBot="1">
      <c r="A36" s="3402"/>
      <c r="B36" s="2756" t="s">
        <v>2931</v>
      </c>
      <c r="C36" s="206" t="e">
        <f>ROUND(D5*C19*C20*C24*F36,0)</f>
        <v>#DIV/0!</v>
      </c>
      <c r="D36" s="2828"/>
      <c r="E36" s="200" t="e">
        <f t="shared" si="7"/>
        <v>#DIV/0!</v>
      </c>
      <c r="F36" s="200">
        <f>SUMIF(修正!A45:A56,G2,修正!E45:E56)</f>
        <v>0</v>
      </c>
      <c r="G36" s="200" t="e">
        <f>ROUND(IF(E2="工业",C36*$M$39,C36*$M$38),0)</f>
        <v>#DIV/0!</v>
      </c>
      <c r="H36" s="200">
        <f t="shared" si="8"/>
        <v>0</v>
      </c>
      <c r="I36" s="200" t="e">
        <f t="shared" si="9"/>
        <v>#DIV/0!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2932</v>
      </c>
      <c r="C37" s="200" t="e">
        <f>ROUND(D5*C19*C20*C24*F37,0)</f>
        <v>#DIV/0!</v>
      </c>
      <c r="D37" s="2828"/>
      <c r="E37" s="200" t="e">
        <f t="shared" si="7"/>
        <v>#DIV/0!</v>
      </c>
      <c r="F37" s="206">
        <f>SUMIF(修正!A45:A56,G2,修正!F45:F56)</f>
        <v>0</v>
      </c>
      <c r="G37" s="200" t="e">
        <f>ROUND(IF(E2="工业",C37*$M$39,C37*$M$38),0)</f>
        <v>#DIV/0!</v>
      </c>
      <c r="H37" s="200">
        <f t="shared" si="8"/>
        <v>0</v>
      </c>
      <c r="I37" s="200" t="e">
        <f t="shared" si="9"/>
        <v>#DIV/0!</v>
      </c>
      <c r="J37" s="2845"/>
      <c r="K37" s="1367"/>
      <c r="L37" s="2847" t="s">
        <v>2933</v>
      </c>
      <c r="M37" s="2848"/>
      <c r="N37" s="1367"/>
      <c r="O37" s="1367"/>
      <c r="P37" s="1367"/>
      <c r="Q37" s="1367"/>
      <c r="R37" s="1367"/>
      <c r="S37" s="1367"/>
      <c r="T37" s="1367"/>
      <c r="U37" s="1367"/>
      <c r="V37" s="1367"/>
      <c r="W37" s="1367"/>
      <c r="X37" s="1367"/>
      <c r="Y37" s="1367"/>
      <c r="Z37" s="1368"/>
    </row>
    <row r="38" spans="1:37">
      <c r="A38" s="2846"/>
      <c r="B38" s="2756" t="s">
        <v>2934</v>
      </c>
      <c r="C38" s="200" t="e">
        <f>ROUND(D5*C19*C41*C24*F38,0)</f>
        <v>#DIV/0!</v>
      </c>
      <c r="D38" s="2828"/>
      <c r="E38" s="200" t="e">
        <f t="shared" si="7"/>
        <v>#DIV/0!</v>
      </c>
      <c r="F38" s="206">
        <f>SUMIF(修正!A45:A56,G2,修正!G45:G56)</f>
        <v>0</v>
      </c>
      <c r="G38" s="200" t="e">
        <f>ROUND(IF(E2="工业",C38*$M$39,C38*$M$38),0)</f>
        <v>#DIV/0!</v>
      </c>
      <c r="H38" s="200">
        <f t="shared" si="8"/>
        <v>0</v>
      </c>
      <c r="I38" s="200" t="e">
        <f t="shared" si="9"/>
        <v>#DIV/0!</v>
      </c>
      <c r="J38" s="2845"/>
      <c r="K38" s="1367"/>
      <c r="L38" s="1883" t="s">
        <v>2935</v>
      </c>
      <c r="M38" s="2849">
        <v>0.25</v>
      </c>
      <c r="N38" s="1367"/>
      <c r="O38" s="1367"/>
      <c r="P38" s="1367"/>
      <c r="Q38" s="1367"/>
      <c r="R38" s="1367"/>
      <c r="S38" s="1367"/>
      <c r="T38" s="1367"/>
      <c r="U38" s="1367"/>
      <c r="V38" s="1367"/>
      <c r="W38" s="1367"/>
      <c r="X38" s="1367"/>
      <c r="Y38" s="1367"/>
      <c r="Z38" s="1368"/>
    </row>
    <row r="39" spans="1:37" ht="13.8" thickBot="1">
      <c r="A39" s="2832"/>
      <c r="B39" s="2850" t="s">
        <v>2936</v>
      </c>
      <c r="C39" s="229" t="e">
        <f>ROUND(D5*C19*C41*C24*F39,0)</f>
        <v>#DIV/0!</v>
      </c>
      <c r="D39" s="2834"/>
      <c r="E39" s="229" t="e">
        <f t="shared" si="7"/>
        <v>#DIV/0!</v>
      </c>
      <c r="F39" s="929">
        <f>SUMIF(修正!A45:A56,G2,修正!H45:H56)</f>
        <v>0</v>
      </c>
      <c r="G39" s="229" t="e">
        <f>ROUND(IF(E2="工业",C39*$M$39,C39*$M$38),0)</f>
        <v>#DIV/0!</v>
      </c>
      <c r="H39" s="229">
        <f t="shared" si="8"/>
        <v>0</v>
      </c>
      <c r="I39" s="229" t="e">
        <f t="shared" si="9"/>
        <v>#DIV/0!</v>
      </c>
      <c r="J39" s="2851"/>
      <c r="K39" s="1367"/>
      <c r="L39" s="2852" t="s">
        <v>2878</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1" t="s">
        <v>3047</v>
      </c>
      <c r="C41" s="388" t="e">
        <f>ROUND(POWER(1+E41,H41-G41)*(POWER(1+E41,G41)-1)/(POWER(1+E41,H41)-1),4)</f>
        <v>#DIV/0!</v>
      </c>
      <c r="D41" s="200" t="s">
        <v>2885</v>
      </c>
      <c r="E41" s="2920">
        <f>G20</f>
        <v>0</v>
      </c>
      <c r="F41" s="200" t="s">
        <v>2895</v>
      </c>
      <c r="G41" s="218"/>
      <c r="H41" s="200">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 thickBot="1">
      <c r="A45" s="2855" t="s">
        <v>2937</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4.4">
      <c r="A46" s="2857" t="s">
        <v>2938</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5.2">
      <c r="A47" s="2861" t="s">
        <v>2939</v>
      </c>
      <c r="B47" s="1805" t="s">
        <v>2940</v>
      </c>
      <c r="C47" s="1805" t="s">
        <v>2941</v>
      </c>
      <c r="D47" s="1805" t="s">
        <v>2942</v>
      </c>
      <c r="E47" s="816" t="s">
        <v>2943</v>
      </c>
      <c r="F47" s="2862" t="s">
        <v>2944</v>
      </c>
      <c r="G47" s="1805" t="s">
        <v>754</v>
      </c>
      <c r="H47" s="2863" t="s">
        <v>2945</v>
      </c>
      <c r="I47" s="1805" t="s">
        <v>2946</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2.8">
      <c r="A48" s="2861" t="s">
        <v>2947</v>
      </c>
      <c r="B48" s="2864" t="str">
        <f>估价对象房地状况!C4</f>
        <v>估价对象位于XX商圈，周边商业氛围成熟，人流量大，商业繁华度好</v>
      </c>
      <c r="C48" s="2761"/>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1" t="s">
        <v>2948</v>
      </c>
      <c r="B49" s="2865" t="str">
        <f>估价对象房地状况!C18</f>
        <v>估价对象周边道路状况、公共交通通达情况、停车便捷程度，综合评价交通便捷度较好</v>
      </c>
      <c r="C49" s="2761"/>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2949</v>
      </c>
      <c r="B50" s="2865">
        <f>估价对象房地状况!C19</f>
        <v>0</v>
      </c>
      <c r="C50" s="2761"/>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1" t="s">
        <v>2950</v>
      </c>
      <c r="B51" s="2866" t="s">
        <v>2951</v>
      </c>
      <c r="C51" s="2761"/>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2952</v>
      </c>
      <c r="B52" s="2865">
        <f>估价对象房地状况!C24</f>
        <v>0</v>
      </c>
      <c r="C52" s="2761"/>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1" t="s">
        <v>2953</v>
      </c>
      <c r="B53" s="2867" t="s">
        <v>2954</v>
      </c>
      <c r="C53" s="2761"/>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68" t="s">
        <v>2955</v>
      </c>
      <c r="B54" s="1721" t="str">
        <f>估价对象房地状况!C21</f>
        <v>估价对象所在区域公共配套设施齐备情况</v>
      </c>
      <c r="C54" s="2761"/>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68" t="s">
        <v>2956</v>
      </c>
      <c r="B55" s="2865" t="str">
        <f>估价对象房地状况!C22</f>
        <v>估价对象所在区域基础设施水平</v>
      </c>
      <c r="C55" s="2761"/>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69" t="s">
        <v>2957</v>
      </c>
      <c r="B56" s="2870" t="str">
        <f>估价对象房地状况!C20</f>
        <v>区域自然环境：；人文环境；综合评价环境状况一般</v>
      </c>
      <c r="C56" s="2761"/>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7" t="s">
        <v>2958</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1" t="s">
        <v>2939</v>
      </c>
      <c r="B58" s="1805"/>
      <c r="C58" s="1805" t="s">
        <v>2941</v>
      </c>
      <c r="D58" s="1805" t="s">
        <v>2942</v>
      </c>
      <c r="E58" s="816" t="s">
        <v>2943</v>
      </c>
      <c r="F58" s="2862" t="s">
        <v>2959</v>
      </c>
      <c r="G58" s="1805" t="s">
        <v>754</v>
      </c>
      <c r="H58" s="2863" t="s">
        <v>2945</v>
      </c>
      <c r="I58" s="1805" t="s">
        <v>2946</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2.8">
      <c r="A59" s="2861" t="s">
        <v>2960</v>
      </c>
      <c r="B59" s="2864" t="str">
        <f>估价对象房地状况!C17</f>
        <v>估价对象位于XX商圈，周边办公楼项目较多，入驻率高，办公集聚程度较好</v>
      </c>
      <c r="C59" s="2761"/>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1" t="s">
        <v>2948</v>
      </c>
      <c r="B60" s="2865" t="str">
        <f>估价对象房地状况!C18</f>
        <v>估价对象周边道路状况、公共交通通达情况、停车便捷程度，综合评价交通便捷度较好</v>
      </c>
      <c r="C60" s="2761"/>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2949</v>
      </c>
      <c r="B61" s="2865">
        <f>估价对象房地状况!C19</f>
        <v>0</v>
      </c>
      <c r="C61" s="2761"/>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1" t="s">
        <v>2950</v>
      </c>
      <c r="B62" s="2866" t="s">
        <v>2951</v>
      </c>
      <c r="C62" s="2761"/>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2952</v>
      </c>
      <c r="B63" s="2865">
        <f>估价对象房地状况!C24</f>
        <v>0</v>
      </c>
      <c r="C63" s="2761"/>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1" t="s">
        <v>2953</v>
      </c>
      <c r="B64" s="2867" t="s">
        <v>2954</v>
      </c>
      <c r="C64" s="2761"/>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1" t="s">
        <v>2955</v>
      </c>
      <c r="B65" s="1721" t="str">
        <f>估价对象房地状况!C21</f>
        <v>估价对象所在区域公共配套设施齐备情况</v>
      </c>
      <c r="C65" s="2761"/>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1" t="s">
        <v>2956</v>
      </c>
      <c r="B66" s="1721" t="str">
        <f>估价对象房地状况!C22</f>
        <v>估价对象所在区域基础设施水平</v>
      </c>
      <c r="C66" s="2761"/>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69" t="s">
        <v>2957</v>
      </c>
      <c r="B67" s="2871" t="str">
        <f>估价对象房地状况!C20</f>
        <v>区域自然环境：；人文环境；综合评价环境状况一般</v>
      </c>
      <c r="C67" s="2761"/>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7" t="s">
        <v>2961</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1" t="s">
        <v>2939</v>
      </c>
      <c r="B69" s="1805"/>
      <c r="C69" s="1805" t="s">
        <v>2941</v>
      </c>
      <c r="D69" s="1805" t="s">
        <v>2942</v>
      </c>
      <c r="E69" s="816" t="s">
        <v>2943</v>
      </c>
      <c r="F69" s="2862" t="s">
        <v>2959</v>
      </c>
      <c r="G69" s="1805" t="s">
        <v>754</v>
      </c>
      <c r="H69" s="2863" t="s">
        <v>2945</v>
      </c>
      <c r="I69" s="1805" t="s">
        <v>2946</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66">
      <c r="A70" s="2861" t="s">
        <v>2962</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1" t="s">
        <v>2948</v>
      </c>
      <c r="B71" s="2865" t="str">
        <f>估价对象房地状况!C18</f>
        <v>估价对象周边道路状况、公共交通通达情况、停车便捷程度，综合评价交通便捷度较好</v>
      </c>
      <c r="C71" s="2761"/>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2949</v>
      </c>
      <c r="B72" s="2865">
        <f>估价对象房地状况!C19</f>
        <v>0</v>
      </c>
      <c r="C72" s="2761"/>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1" t="s">
        <v>2963</v>
      </c>
      <c r="B73" s="2865">
        <f>估价对象房地状况!C24</f>
        <v>0</v>
      </c>
      <c r="C73" s="2761"/>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1" t="s">
        <v>2955</v>
      </c>
      <c r="B74" s="1721" t="str">
        <f>估价对象房地状况!C21</f>
        <v>估价对象所在区域公共配套设施齐备情况</v>
      </c>
      <c r="C74" s="2761"/>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1" t="s">
        <v>2956</v>
      </c>
      <c r="B75" s="1721" t="str">
        <f>估价对象房地状况!C22</f>
        <v>估价对象所在区域基础设施水平</v>
      </c>
      <c r="C75" s="2761"/>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36">
      <c r="A76" s="2861" t="s">
        <v>2953</v>
      </c>
      <c r="B76" s="2867" t="s">
        <v>2954</v>
      </c>
      <c r="C76" s="2761"/>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9.6">
      <c r="A77" s="2861" t="s">
        <v>2957</v>
      </c>
      <c r="B77" s="2864" t="str">
        <f>估价对象房地状况!C20</f>
        <v>区域自然环境：；人文环境；综合评价环境状况一般</v>
      </c>
      <c r="C77" s="2761"/>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36.6" thickBot="1">
      <c r="A78" s="2869" t="s">
        <v>2964</v>
      </c>
      <c r="B78" s="2873"/>
      <c r="C78" s="2761"/>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4.4">
      <c r="A79" s="2857" t="s">
        <v>2965</v>
      </c>
      <c r="B79" s="2858">
        <f>1+E81</f>
        <v>1</v>
      </c>
      <c r="C79" s="811"/>
      <c r="D79" s="811"/>
      <c r="E79" s="812"/>
      <c r="F79" s="2860"/>
      <c r="G79" s="6"/>
      <c r="H79" s="6"/>
      <c r="I79" s="6"/>
      <c r="J79" s="7"/>
      <c r="K79" s="7"/>
      <c r="L79" s="7"/>
      <c r="M79" s="7"/>
      <c r="N79" s="7"/>
      <c r="Z79" s="2711"/>
      <c r="AA79" s="2779"/>
      <c r="AG79" s="1369"/>
      <c r="AK79" s="2779"/>
    </row>
    <row r="80" spans="1:37" ht="25.2">
      <c r="A80" s="2861" t="s">
        <v>2939</v>
      </c>
      <c r="B80" s="1805"/>
      <c r="C80" s="1805" t="s">
        <v>2941</v>
      </c>
      <c r="D80" s="1805" t="s">
        <v>2942</v>
      </c>
      <c r="E80" s="816" t="s">
        <v>2943</v>
      </c>
      <c r="F80" s="2862" t="s">
        <v>2959</v>
      </c>
      <c r="G80" s="1805" t="s">
        <v>754</v>
      </c>
      <c r="H80" s="2863" t="s">
        <v>2945</v>
      </c>
      <c r="I80" s="1805" t="s">
        <v>2946</v>
      </c>
      <c r="J80" s="603" t="s">
        <v>2593</v>
      </c>
      <c r="K80" s="603" t="s">
        <v>2594</v>
      </c>
      <c r="L80" s="603" t="s">
        <v>2595</v>
      </c>
      <c r="M80" s="603" t="s">
        <v>2596</v>
      </c>
      <c r="N80" s="603" t="s">
        <v>2597</v>
      </c>
      <c r="Z80" s="2711"/>
      <c r="AA80" s="2779"/>
      <c r="AG80" s="1369"/>
      <c r="AK80" s="2779"/>
    </row>
    <row r="81" spans="1:37" ht="39.6">
      <c r="A81" s="2861" t="s">
        <v>2966</v>
      </c>
      <c r="B81" s="2865" t="str">
        <f>估价对象房地状况!G15</f>
        <v>估价对象位于XX开发区，园区建设成熟度XX，产业集聚程度XX</v>
      </c>
      <c r="C81" s="2761"/>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1"/>
      <c r="AA81" s="2779"/>
      <c r="AG81" s="1369"/>
      <c r="AK81" s="2779"/>
    </row>
    <row r="82" spans="1:37" ht="66">
      <c r="A82" s="2861" t="s">
        <v>2948</v>
      </c>
      <c r="B82" s="2865" t="str">
        <f>估价对象房地状况!G16</f>
        <v>估价对象周边道路状况、公共交通通达情况、停车便捷程度，综合评价交通便捷度较好</v>
      </c>
      <c r="C82" s="2761"/>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1"/>
      <c r="AA82" s="2779"/>
      <c r="AG82" s="1369"/>
      <c r="AK82" s="2779"/>
    </row>
    <row r="83" spans="1:37" ht="24">
      <c r="A83" s="2861" t="s">
        <v>2949</v>
      </c>
      <c r="B83" s="2865">
        <f>估价对象房地状况!G17</f>
        <v>0</v>
      </c>
      <c r="C83" s="2761"/>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1"/>
      <c r="AA83" s="2779"/>
      <c r="AG83" s="1369"/>
      <c r="AK83" s="2779"/>
    </row>
    <row r="84" spans="1:37" ht="13.8">
      <c r="A84" s="2861" t="s">
        <v>2963</v>
      </c>
      <c r="B84" s="2865">
        <f>估价对象房地状况!G22</f>
        <v>0</v>
      </c>
      <c r="C84" s="2761"/>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1"/>
      <c r="AA84" s="2779"/>
      <c r="AG84" s="1369"/>
      <c r="AK84" s="2779"/>
    </row>
    <row r="85" spans="1:37" ht="26.4">
      <c r="A85" s="2861" t="s">
        <v>2955</v>
      </c>
      <c r="B85" s="1721" t="str">
        <f>估价对象房地状况!G19</f>
        <v>估价对象所在区域公共配套设施齐备情况</v>
      </c>
      <c r="C85" s="2761"/>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1"/>
      <c r="AA85" s="2779"/>
      <c r="AG85" s="1369"/>
      <c r="AK85" s="2779"/>
    </row>
    <row r="86" spans="1:37" ht="26.4">
      <c r="A86" s="2861" t="s">
        <v>2956</v>
      </c>
      <c r="B86" s="1721" t="str">
        <f>估价对象房地状况!G20</f>
        <v>估价对象所在区域基础设施水平</v>
      </c>
      <c r="C86" s="2761"/>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1"/>
      <c r="AA86" s="2779"/>
      <c r="AG86" s="1369"/>
      <c r="AK86" s="2779"/>
    </row>
    <row r="87" spans="1:37" ht="36">
      <c r="A87" s="2861" t="s">
        <v>2953</v>
      </c>
      <c r="B87" s="2867" t="s">
        <v>2967</v>
      </c>
      <c r="C87" s="2761"/>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1"/>
      <c r="AA87" s="2779"/>
      <c r="AG87" s="1369"/>
      <c r="AK87" s="2779"/>
    </row>
    <row r="88" spans="1:37" ht="53.4" thickBot="1">
      <c r="A88" s="2869" t="s">
        <v>2968</v>
      </c>
      <c r="B88" s="2874" t="str">
        <f>估价对象房地状况!G18</f>
        <v>该园区内是否有污染型企业，绿化情况，卫生条件，整体环境状况判断</v>
      </c>
      <c r="C88" s="2761"/>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1"/>
      <c r="AA88" s="2779"/>
      <c r="AG88" s="1369"/>
      <c r="AK88" s="2779"/>
    </row>
    <row r="90" spans="1:37">
      <c r="A90" s="3394" t="s">
        <v>2969</v>
      </c>
      <c r="B90" s="3394"/>
      <c r="C90" s="3394"/>
      <c r="D90" s="3394"/>
      <c r="E90" s="3394"/>
      <c r="F90" s="3394"/>
      <c r="G90" s="3394"/>
      <c r="H90" s="3394"/>
      <c r="I90" s="3394"/>
      <c r="J90" s="3394"/>
      <c r="K90" s="2875"/>
      <c r="L90" s="2875"/>
      <c r="M90" s="2875"/>
      <c r="N90" s="2875"/>
    </row>
    <row r="91" spans="1:37">
      <c r="A91" s="3396" t="s">
        <v>2970</v>
      </c>
      <c r="B91" s="3396" t="s">
        <v>2971</v>
      </c>
      <c r="C91" s="2829" t="s">
        <v>2972</v>
      </c>
      <c r="D91" s="2830"/>
      <c r="E91" s="2830"/>
      <c r="F91" s="2830"/>
      <c r="G91" s="2830"/>
      <c r="H91" s="2830"/>
      <c r="I91" s="2830"/>
      <c r="J91" s="2876"/>
      <c r="K91" s="2877"/>
      <c r="L91" s="2877"/>
      <c r="M91" s="2877"/>
      <c r="N91" s="2877"/>
    </row>
    <row r="92" spans="1:37">
      <c r="A92" s="3396"/>
      <c r="B92" s="3396"/>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397"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98"/>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98"/>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98"/>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98"/>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98"/>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98"/>
      <c r="B99" s="2878" t="s">
        <v>2853</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99"/>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97" t="s">
        <v>2974</v>
      </c>
      <c r="B101" s="2882" t="s">
        <v>2975</v>
      </c>
      <c r="C101" s="2883">
        <f>$G$3</f>
        <v>1.6</v>
      </c>
      <c r="D101" s="2883">
        <f t="shared" ref="D101:N101" si="31">$G$3</f>
        <v>1.6</v>
      </c>
      <c r="E101" s="2883">
        <f t="shared" si="31"/>
        <v>1.6</v>
      </c>
      <c r="F101" s="2883">
        <f t="shared" si="31"/>
        <v>1.6</v>
      </c>
      <c r="G101" s="2883">
        <f t="shared" si="31"/>
        <v>1.6</v>
      </c>
      <c r="H101" s="2883">
        <f t="shared" si="31"/>
        <v>1.6</v>
      </c>
      <c r="I101" s="2883">
        <f t="shared" si="31"/>
        <v>1.6</v>
      </c>
      <c r="J101" s="2883">
        <f t="shared" si="31"/>
        <v>1.6</v>
      </c>
      <c r="K101" s="2883">
        <f t="shared" si="31"/>
        <v>1.6</v>
      </c>
      <c r="L101" s="2883">
        <f t="shared" si="31"/>
        <v>1.6</v>
      </c>
      <c r="M101" s="2883">
        <f t="shared" si="31"/>
        <v>1.6</v>
      </c>
      <c r="N101" s="2883">
        <f t="shared" si="31"/>
        <v>1.6</v>
      </c>
    </row>
    <row r="102" spans="1:14">
      <c r="A102" s="3398"/>
      <c r="B102" s="2878">
        <v>1</v>
      </c>
      <c r="C102" s="2879">
        <f>1.9362/C101</f>
        <v>1.2101249999999999</v>
      </c>
      <c r="D102" s="2879">
        <f>1.9362/D101</f>
        <v>1.2101249999999999</v>
      </c>
      <c r="E102" s="2879">
        <f>1.8629/E101</f>
        <v>1.1643124999999999</v>
      </c>
      <c r="F102" s="2879">
        <f>1.8629/F101</f>
        <v>1.1643124999999999</v>
      </c>
      <c r="G102" s="2879">
        <f>1.8629/G101</f>
        <v>1.1643124999999999</v>
      </c>
      <c r="H102" s="2879">
        <f>1.8629/H101</f>
        <v>1.1643124999999999</v>
      </c>
      <c r="I102" s="2879">
        <f>1.8629/I101</f>
        <v>1.1643124999999999</v>
      </c>
      <c r="J102" s="2879">
        <f>1.942/J101</f>
        <v>1.2137499999999999</v>
      </c>
      <c r="K102" s="2879">
        <f>1.942/K101</f>
        <v>1.2137499999999999</v>
      </c>
      <c r="L102" s="2879">
        <f>1.942/L101</f>
        <v>1.2137499999999999</v>
      </c>
      <c r="M102" s="2879">
        <f>1.942/M101</f>
        <v>1.2137499999999999</v>
      </c>
      <c r="N102" s="2879">
        <f>1.942/N101</f>
        <v>1.2137499999999999</v>
      </c>
    </row>
    <row r="103" spans="1:14">
      <c r="A103" s="3398"/>
      <c r="B103" s="2878">
        <v>2</v>
      </c>
      <c r="C103" s="2879">
        <f>1.4198/C101</f>
        <v>0.88737499999999991</v>
      </c>
      <c r="D103" s="2879">
        <f>1.4198/D101</f>
        <v>0.88737499999999991</v>
      </c>
      <c r="E103" s="2879">
        <f>1.3372/E101</f>
        <v>0.83574999999999988</v>
      </c>
      <c r="F103" s="2879">
        <f>1.3372/F101</f>
        <v>0.83574999999999988</v>
      </c>
      <c r="G103" s="2879">
        <f>1.3372/G101</f>
        <v>0.83574999999999988</v>
      </c>
      <c r="H103" s="2879">
        <f>1.3372/H101</f>
        <v>0.83574999999999988</v>
      </c>
      <c r="I103" s="2879">
        <f>1.3372/I101</f>
        <v>0.83574999999999988</v>
      </c>
      <c r="J103" s="2879">
        <f>1.2799/J101</f>
        <v>0.79993749999999997</v>
      </c>
      <c r="K103" s="2879">
        <f>1.2799/K101</f>
        <v>0.79993749999999997</v>
      </c>
      <c r="L103" s="2879">
        <f>1.2799/L101</f>
        <v>0.79993749999999997</v>
      </c>
      <c r="M103" s="2879">
        <f>1.2799/M101</f>
        <v>0.79993749999999997</v>
      </c>
      <c r="N103" s="2879">
        <f>1.2799/N101</f>
        <v>0.79993749999999997</v>
      </c>
    </row>
    <row r="104" spans="1:14">
      <c r="A104" s="3398"/>
      <c r="B104" s="2878">
        <v>3</v>
      </c>
      <c r="C104" s="2879">
        <f>1.1594/C101</f>
        <v>0.72462499999999996</v>
      </c>
      <c r="D104" s="2879">
        <f>1.1594/D101</f>
        <v>0.72462499999999996</v>
      </c>
      <c r="E104" s="2879">
        <f>1.0788/E101</f>
        <v>0.6742499999999999</v>
      </c>
      <c r="F104" s="2879">
        <f>1.0788/F101</f>
        <v>0.6742499999999999</v>
      </c>
      <c r="G104" s="2879">
        <f>1.0788/G101</f>
        <v>0.6742499999999999</v>
      </c>
      <c r="H104" s="2879">
        <f>1.0788/H101</f>
        <v>0.6742499999999999</v>
      </c>
      <c r="I104" s="2879">
        <f>1.0788/I101</f>
        <v>0.6742499999999999</v>
      </c>
      <c r="J104" s="2879">
        <f>1.0072/J101</f>
        <v>0.62950000000000006</v>
      </c>
      <c r="K104" s="2879">
        <f>1.0072/K101</f>
        <v>0.62950000000000006</v>
      </c>
      <c r="L104" s="2879">
        <f>1.0072/L101</f>
        <v>0.62950000000000006</v>
      </c>
      <c r="M104" s="2879">
        <f>1.0072/M101</f>
        <v>0.62950000000000006</v>
      </c>
      <c r="N104" s="2879">
        <f>1.0072/N101</f>
        <v>0.62950000000000006</v>
      </c>
    </row>
    <row r="105" spans="1:14">
      <c r="A105" s="3398"/>
      <c r="B105" s="2878">
        <v>4</v>
      </c>
      <c r="C105" s="2879">
        <f>0.9622/C101</f>
        <v>0.60137499999999999</v>
      </c>
      <c r="D105" s="2879">
        <f>0.9622/D101</f>
        <v>0.60137499999999999</v>
      </c>
      <c r="E105" s="2879">
        <f>0.8656/E101</f>
        <v>0.54100000000000004</v>
      </c>
      <c r="F105" s="2879">
        <f>0.8656/F101</f>
        <v>0.54100000000000004</v>
      </c>
      <c r="G105" s="2879">
        <f>0.8656/G101</f>
        <v>0.54100000000000004</v>
      </c>
      <c r="H105" s="2879">
        <f>0.8656/H101</f>
        <v>0.54100000000000004</v>
      </c>
      <c r="I105" s="2879">
        <f>0.8656/I101</f>
        <v>0.54100000000000004</v>
      </c>
      <c r="J105" s="2879">
        <f>0.7525/J101</f>
        <v>0.47031249999999997</v>
      </c>
      <c r="K105" s="2879">
        <f>0.7525/K101</f>
        <v>0.47031249999999997</v>
      </c>
      <c r="L105" s="2879">
        <f>0.7525/L101</f>
        <v>0.47031249999999997</v>
      </c>
      <c r="M105" s="2879">
        <f>0.7525/M101</f>
        <v>0.47031249999999997</v>
      </c>
      <c r="N105" s="2879">
        <f>0.7525/N101</f>
        <v>0.47031249999999997</v>
      </c>
    </row>
    <row r="106" spans="1:14">
      <c r="A106" s="3398"/>
      <c r="B106" s="2878">
        <v>5</v>
      </c>
      <c r="C106" s="2879">
        <f>0.8417/C101</f>
        <v>0.52606249999999999</v>
      </c>
      <c r="D106" s="2879">
        <f>0.8417/D101</f>
        <v>0.52606249999999999</v>
      </c>
      <c r="E106" s="2879">
        <f>0.7371/E101</f>
        <v>0.46068749999999997</v>
      </c>
      <c r="F106" s="2879">
        <f>0.7371/F101</f>
        <v>0.46068749999999997</v>
      </c>
      <c r="G106" s="2879">
        <f>0.7371/G101</f>
        <v>0.46068749999999997</v>
      </c>
      <c r="H106" s="2879">
        <f>0.7371/H101</f>
        <v>0.46068749999999997</v>
      </c>
      <c r="I106" s="2879">
        <f>0.7371/I101</f>
        <v>0.46068749999999997</v>
      </c>
      <c r="J106" s="2879">
        <f>0.5659/J101</f>
        <v>0.35368749999999993</v>
      </c>
      <c r="K106" s="2879">
        <f>0.5659/K101</f>
        <v>0.35368749999999993</v>
      </c>
      <c r="L106" s="2879">
        <f>0.5659/L101</f>
        <v>0.35368749999999993</v>
      </c>
      <c r="M106" s="2879">
        <f>0.5659/M101</f>
        <v>0.35368749999999993</v>
      </c>
      <c r="N106" s="2879">
        <f>0.5659/N101</f>
        <v>0.35368749999999993</v>
      </c>
    </row>
    <row r="107" spans="1:14">
      <c r="A107" s="3398"/>
      <c r="B107" s="2878">
        <v>6</v>
      </c>
      <c r="C107" s="2879">
        <f>0.7608/C101</f>
        <v>0.47549999999999998</v>
      </c>
      <c r="D107" s="2879">
        <f>0.7608/D101</f>
        <v>0.47549999999999998</v>
      </c>
      <c r="E107" s="2879">
        <f>0.6482/E101</f>
        <v>0.40512499999999996</v>
      </c>
      <c r="F107" s="2879">
        <f>0.6482/F101</f>
        <v>0.40512499999999996</v>
      </c>
      <c r="G107" s="2879">
        <f>0.6482/G101</f>
        <v>0.40512499999999996</v>
      </c>
      <c r="H107" s="2879">
        <f>0.6482/H101</f>
        <v>0.40512499999999996</v>
      </c>
      <c r="I107" s="2879">
        <f>0.6482/I101</f>
        <v>0.40512499999999996</v>
      </c>
      <c r="J107" s="2879">
        <f>0.4525/J101</f>
        <v>0.28281249999999997</v>
      </c>
      <c r="K107" s="2879">
        <f>0.4525/K101</f>
        <v>0.28281249999999997</v>
      </c>
      <c r="L107" s="2879">
        <f>0.4525/L101</f>
        <v>0.28281249999999997</v>
      </c>
      <c r="M107" s="2879">
        <f>0.4525/M101</f>
        <v>0.28281249999999997</v>
      </c>
      <c r="N107" s="2879">
        <f>0.4525/N101</f>
        <v>0.28281249999999997</v>
      </c>
    </row>
    <row r="108" spans="1:14">
      <c r="A108" s="3398"/>
      <c r="B108" s="3224" t="s">
        <v>2976</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99"/>
      <c r="B109" s="3225"/>
      <c r="C109" s="2881">
        <f>(-0.163*(C108^2)-0.59*C108+7617)*(10^(-4))/C101</f>
        <v>0.4760625</v>
      </c>
      <c r="D109" s="2881">
        <f>(-0.163*(D108^2)-0.59*D108+7617)*(10^(-4))/D101</f>
        <v>0.4760625</v>
      </c>
      <c r="E109" s="2881">
        <f>(-0.161*(E108^2)-7.509*E108+6533)*(10^(-4))/E101</f>
        <v>0.40831249999999997</v>
      </c>
      <c r="F109" s="2881">
        <f>(-0.161*(F108^2)-7.509*F108+6533)*(10^(-4))/F101</f>
        <v>0.40831249999999997</v>
      </c>
      <c r="G109" s="2881">
        <f>(-0.161*(G108^2)-7.509*G108+6533)*(10^(-4))/G101</f>
        <v>0.40831249999999997</v>
      </c>
      <c r="H109" s="2881">
        <f>(-0.161*(H108^2)-7.509*H108+6533)*(10^(-4))/H101</f>
        <v>0.40831249999999997</v>
      </c>
      <c r="I109" s="2881">
        <f>(-0.161*(I108^2)-7.509*I108+6533)*(10^(-4))/I101</f>
        <v>0.40831249999999997</v>
      </c>
      <c r="J109" s="2881">
        <f>(-0.214*(J108^2)-21.991*J108+4665)*(10^(-4))/J101</f>
        <v>0.2915625</v>
      </c>
      <c r="K109" s="2881">
        <f>(-0.214*(K108^2)-21.991*K108+4665)*(10^(-4))/K101</f>
        <v>0.2915625</v>
      </c>
      <c r="L109" s="2881">
        <f>(-0.214*(L108^2)-21.991*L108+4665)*(10^(-4))/L101</f>
        <v>0.2915625</v>
      </c>
      <c r="M109" s="2881">
        <f>(-0.214*(M108^2)-21.991*M108+4665)*(10^(-4))/M101</f>
        <v>0.2915625</v>
      </c>
      <c r="N109" s="2881">
        <f>(-0.214*(N108^2)-21.991*N108+4665)*(10^(-4))/N101</f>
        <v>0.2915625</v>
      </c>
    </row>
    <row r="110" spans="1:14">
      <c r="A110" s="3395" t="s">
        <v>2977</v>
      </c>
      <c r="B110" s="3395"/>
      <c r="C110" s="3395"/>
      <c r="D110" s="3395"/>
      <c r="E110" s="3395"/>
      <c r="F110" s="3395"/>
      <c r="G110" s="3395"/>
      <c r="H110" s="3395"/>
      <c r="I110" s="3395"/>
      <c r="J110" s="3395"/>
      <c r="K110" s="2884"/>
      <c r="L110" s="2884"/>
      <c r="M110" s="2884"/>
      <c r="N110" s="2884"/>
    </row>
    <row r="112" spans="1:14" ht="13.8" thickBot="1"/>
    <row r="113" spans="1:13" ht="25.8" thickBot="1">
      <c r="A113" s="900" t="s">
        <v>2978</v>
      </c>
      <c r="B113" s="1284">
        <f>G3</f>
        <v>1.6</v>
      </c>
      <c r="C113" s="901" t="s">
        <v>2979</v>
      </c>
      <c r="D113" s="902">
        <f>SUMPRODUCT((A115:A118=F113)*(B114:M114=H113)*B115:M118)</f>
        <v>0</v>
      </c>
      <c r="E113" s="2715" t="s">
        <v>2810</v>
      </c>
      <c r="F113" s="2886">
        <f>E2</f>
        <v>0</v>
      </c>
      <c r="G113" s="2715" t="s">
        <v>2811</v>
      </c>
      <c r="H113" s="2886">
        <f>G2</f>
        <v>0</v>
      </c>
      <c r="I113" s="2715"/>
      <c r="J113" s="2887"/>
      <c r="K113" s="2887"/>
      <c r="L113" s="2887"/>
      <c r="M113" s="2887"/>
    </row>
    <row r="114" spans="1:13">
      <c r="A114" s="905"/>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6" t="s">
        <v>2875</v>
      </c>
      <c r="B115" s="907">
        <f>ROUND(0.9335-0.0094*B113,4)</f>
        <v>0.91849999999999998</v>
      </c>
      <c r="C115" s="907">
        <f>B115</f>
        <v>0.91849999999999998</v>
      </c>
      <c r="D115" s="907">
        <f>ROUND(0.8331-0.0109*B113,4)</f>
        <v>0.81569999999999998</v>
      </c>
      <c r="E115" s="907">
        <f>D115</f>
        <v>0.81569999999999998</v>
      </c>
      <c r="F115" s="907">
        <f>E115</f>
        <v>0.81569999999999998</v>
      </c>
      <c r="G115" s="907">
        <f>F115</f>
        <v>0.81569999999999998</v>
      </c>
      <c r="H115" s="907">
        <f>G115</f>
        <v>0.81569999999999998</v>
      </c>
      <c r="I115" s="907">
        <f>ROUND(0.689-0.0155*B113,4)</f>
        <v>0.66420000000000001</v>
      </c>
      <c r="J115" s="907">
        <f t="shared" ref="J115:M118" si="33">I115</f>
        <v>0.66420000000000001</v>
      </c>
      <c r="K115" s="907">
        <f t="shared" si="33"/>
        <v>0.66420000000000001</v>
      </c>
      <c r="L115" s="907">
        <f t="shared" si="33"/>
        <v>0.66420000000000001</v>
      </c>
      <c r="M115" s="908">
        <f t="shared" si="33"/>
        <v>0.66420000000000001</v>
      </c>
    </row>
    <row r="116" spans="1:13">
      <c r="A116" s="906" t="s">
        <v>2876</v>
      </c>
      <c r="B116" s="907">
        <f>ROUND(0.949-0.012*B113,4)</f>
        <v>0.92979999999999996</v>
      </c>
      <c r="C116" s="907">
        <f>B116</f>
        <v>0.92979999999999996</v>
      </c>
      <c r="D116" s="907">
        <f>ROUND(0.8567-0.013*B113,4)</f>
        <v>0.83589999999999998</v>
      </c>
      <c r="E116" s="907">
        <f t="shared" ref="E116:H117" si="34">D116</f>
        <v>0.83589999999999998</v>
      </c>
      <c r="F116" s="907">
        <f t="shared" si="34"/>
        <v>0.83589999999999998</v>
      </c>
      <c r="G116" s="907">
        <f t="shared" si="34"/>
        <v>0.83589999999999998</v>
      </c>
      <c r="H116" s="907">
        <f t="shared" si="34"/>
        <v>0.83589999999999998</v>
      </c>
      <c r="I116" s="907">
        <f>ROUND(0.7694-0.014*B113,4)</f>
        <v>0.747</v>
      </c>
      <c r="J116" s="907">
        <f t="shared" si="33"/>
        <v>0.747</v>
      </c>
      <c r="K116" s="907">
        <f t="shared" si="33"/>
        <v>0.747</v>
      </c>
      <c r="L116" s="907">
        <f t="shared" si="33"/>
        <v>0.747</v>
      </c>
      <c r="M116" s="908">
        <f t="shared" si="33"/>
        <v>0.747</v>
      </c>
    </row>
    <row r="117" spans="1:13">
      <c r="A117" s="906" t="s">
        <v>2877</v>
      </c>
      <c r="B117" s="907">
        <f>ROUND(0.8808-0.006*B113,4)</f>
        <v>0.87119999999999997</v>
      </c>
      <c r="C117" s="907">
        <f>B117</f>
        <v>0.87119999999999997</v>
      </c>
      <c r="D117" s="907">
        <f>ROUND(0.8748-0.008*B113,4)</f>
        <v>0.86199999999999999</v>
      </c>
      <c r="E117" s="907">
        <f t="shared" si="34"/>
        <v>0.86199999999999999</v>
      </c>
      <c r="F117" s="907">
        <f t="shared" si="34"/>
        <v>0.86199999999999999</v>
      </c>
      <c r="G117" s="907">
        <f t="shared" si="34"/>
        <v>0.86199999999999999</v>
      </c>
      <c r="H117" s="907">
        <f t="shared" si="34"/>
        <v>0.86199999999999999</v>
      </c>
      <c r="I117" s="907">
        <f>ROUND(0.7412-0.0095*B113,4)</f>
        <v>0.72599999999999998</v>
      </c>
      <c r="J117" s="907">
        <f t="shared" si="33"/>
        <v>0.72599999999999998</v>
      </c>
      <c r="K117" s="907">
        <f t="shared" si="33"/>
        <v>0.72599999999999998</v>
      </c>
      <c r="L117" s="907">
        <f t="shared" si="33"/>
        <v>0.72599999999999998</v>
      </c>
      <c r="M117" s="908">
        <f t="shared" si="33"/>
        <v>0.72599999999999998</v>
      </c>
    </row>
    <row r="118" spans="1:13" ht="13.8" thickBot="1">
      <c r="A118" s="714" t="s">
        <v>2878</v>
      </c>
      <c r="B118" s="909">
        <f>ROUND(0.7275-0.01*B113,4)</f>
        <v>0.71150000000000002</v>
      </c>
      <c r="C118" s="909">
        <f>B118</f>
        <v>0.71150000000000002</v>
      </c>
      <c r="D118" s="909">
        <f>ROUND(0.7043-0.012*B113,4)</f>
        <v>0.68510000000000004</v>
      </c>
      <c r="E118" s="909">
        <f>D118</f>
        <v>0.68510000000000004</v>
      </c>
      <c r="F118" s="909">
        <f>E118</f>
        <v>0.68510000000000004</v>
      </c>
      <c r="G118" s="909">
        <f>ROUND(0.6299-0.0122*B113,4)</f>
        <v>0.61040000000000005</v>
      </c>
      <c r="H118" s="909">
        <f>G118</f>
        <v>0.61040000000000005</v>
      </c>
      <c r="I118" s="909">
        <f>ROUND(0.5667-0.0136*B113,4)</f>
        <v>0.54490000000000005</v>
      </c>
      <c r="J118" s="909">
        <f t="shared" si="33"/>
        <v>0.54490000000000005</v>
      </c>
      <c r="K118" s="909">
        <f t="shared" si="33"/>
        <v>0.54490000000000005</v>
      </c>
      <c r="L118" s="909">
        <f t="shared" si="33"/>
        <v>0.54490000000000005</v>
      </c>
      <c r="M118" s="910">
        <f t="shared" si="33"/>
        <v>0.54490000000000005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3051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15" t="s">
        <v>183</v>
      </c>
      <c r="B18" s="879" t="s">
        <v>560</v>
      </c>
      <c r="C18" s="880" t="s">
        <v>561</v>
      </c>
      <c r="D18" s="881"/>
      <c r="E18" s="879">
        <v>1</v>
      </c>
      <c r="F18" s="882" t="s">
        <v>562</v>
      </c>
      <c r="G18" s="883"/>
      <c r="H18" s="875"/>
      <c r="I18" s="875"/>
    </row>
    <row r="19" spans="1:9" s="884" customFormat="1" ht="19.5" customHeight="1">
      <c r="A19" s="3415"/>
      <c r="B19" s="3415" t="s">
        <v>563</v>
      </c>
      <c r="C19" s="880" t="s">
        <v>564</v>
      </c>
      <c r="D19" s="881"/>
      <c r="E19" s="879">
        <v>0.9</v>
      </c>
      <c r="F19" s="882" t="s">
        <v>565</v>
      </c>
      <c r="G19" s="883"/>
      <c r="H19" s="875"/>
      <c r="I19" s="875"/>
    </row>
    <row r="20" spans="1:9" s="884" customFormat="1" ht="19.5" customHeight="1">
      <c r="A20" s="3415"/>
      <c r="B20" s="3415"/>
      <c r="C20" s="880" t="s">
        <v>566</v>
      </c>
      <c r="D20" s="881"/>
      <c r="E20" s="879">
        <v>1.1000000000000001</v>
      </c>
      <c r="F20" s="882" t="s">
        <v>567</v>
      </c>
      <c r="G20" s="883"/>
      <c r="H20" s="875"/>
      <c r="I20" s="875"/>
    </row>
    <row r="21" spans="1:9" s="884" customFormat="1" ht="19.5" customHeight="1">
      <c r="A21" s="3415"/>
      <c r="B21" s="3415"/>
      <c r="C21" s="880" t="s">
        <v>568</v>
      </c>
      <c r="D21" s="881"/>
      <c r="E21" s="879">
        <v>0.8</v>
      </c>
      <c r="F21" s="882" t="s">
        <v>569</v>
      </c>
      <c r="G21" s="883"/>
      <c r="H21" s="875"/>
      <c r="I21" s="875"/>
    </row>
    <row r="22" spans="1:9" s="884" customFormat="1" ht="19.5" customHeight="1">
      <c r="A22" s="3415"/>
      <c r="B22" s="3415"/>
      <c r="C22" s="880" t="s">
        <v>570</v>
      </c>
      <c r="D22" s="881"/>
      <c r="E22" s="879">
        <v>0.5</v>
      </c>
      <c r="F22" s="882"/>
      <c r="G22" s="883"/>
      <c r="H22" s="875"/>
      <c r="I22" s="875"/>
    </row>
    <row r="23" spans="1:9" s="884" customFormat="1" ht="19.5" customHeight="1">
      <c r="A23" s="3415" t="s">
        <v>184</v>
      </c>
      <c r="B23" s="879" t="s">
        <v>560</v>
      </c>
      <c r="C23" s="880" t="s">
        <v>571</v>
      </c>
      <c r="D23" s="881"/>
      <c r="E23" s="879">
        <v>1</v>
      </c>
      <c r="F23" s="882" t="s">
        <v>572</v>
      </c>
      <c r="G23" s="883"/>
      <c r="H23" s="875"/>
      <c r="I23" s="875"/>
    </row>
    <row r="24" spans="1:9" s="884" customFormat="1" ht="19.5" customHeight="1">
      <c r="A24" s="3415"/>
      <c r="B24" s="3415" t="s">
        <v>563</v>
      </c>
      <c r="C24" s="880" t="s">
        <v>573</v>
      </c>
      <c r="D24" s="881"/>
      <c r="E24" s="879">
        <v>0.5</v>
      </c>
      <c r="F24" s="882"/>
      <c r="G24" s="883"/>
      <c r="H24" s="875"/>
      <c r="I24" s="875"/>
    </row>
    <row r="25" spans="1:9" s="884" customFormat="1" ht="19.5" customHeight="1">
      <c r="A25" s="3415"/>
      <c r="B25" s="3415"/>
      <c r="C25" s="880" t="s">
        <v>574</v>
      </c>
      <c r="D25" s="881"/>
      <c r="E25" s="879">
        <v>1.1000000000000001</v>
      </c>
      <c r="F25" s="882"/>
      <c r="G25" s="883"/>
      <c r="H25" s="875"/>
      <c r="I25" s="875"/>
    </row>
    <row r="26" spans="1:9" s="884" customFormat="1" ht="19.5" customHeight="1">
      <c r="A26" s="3415"/>
      <c r="B26" s="3415"/>
      <c r="C26" s="880" t="s">
        <v>575</v>
      </c>
      <c r="D26" s="881"/>
      <c r="E26" s="879">
        <v>1.1000000000000001</v>
      </c>
      <c r="F26" s="882"/>
      <c r="G26" s="883"/>
      <c r="H26" s="875"/>
      <c r="I26" s="875"/>
    </row>
    <row r="27" spans="1:9" s="884" customFormat="1" ht="19.5" customHeight="1">
      <c r="A27" s="3415"/>
      <c r="B27" s="3415"/>
      <c r="C27" s="880" t="s">
        <v>576</v>
      </c>
      <c r="D27" s="881"/>
      <c r="E27" s="879">
        <v>0.9</v>
      </c>
      <c r="F27" s="882" t="s">
        <v>577</v>
      </c>
      <c r="G27" s="883"/>
      <c r="H27" s="875"/>
      <c r="I27" s="875"/>
    </row>
    <row r="28" spans="1:9" s="884" customFormat="1" ht="19.5" customHeight="1">
      <c r="A28" s="3415"/>
      <c r="B28" s="3415"/>
      <c r="C28" s="880" t="s">
        <v>578</v>
      </c>
      <c r="D28" s="881"/>
      <c r="E28" s="879">
        <v>0.9</v>
      </c>
      <c r="F28" s="882" t="s">
        <v>579</v>
      </c>
      <c r="G28" s="883"/>
      <c r="H28" s="875"/>
      <c r="I28" s="875"/>
    </row>
    <row r="29" spans="1:9" s="884" customFormat="1" ht="19.5" customHeight="1">
      <c r="A29" s="3415"/>
      <c r="B29" s="3415"/>
      <c r="C29" s="880" t="s">
        <v>580</v>
      </c>
      <c r="D29" s="881"/>
      <c r="E29" s="879">
        <v>0.9</v>
      </c>
      <c r="F29" s="882" t="s">
        <v>581</v>
      </c>
      <c r="G29" s="883"/>
      <c r="H29" s="875"/>
      <c r="I29" s="875"/>
    </row>
    <row r="30" spans="1:9" s="884" customFormat="1" ht="19.5" customHeight="1">
      <c r="A30" s="3415"/>
      <c r="B30" s="3415"/>
      <c r="C30" s="880" t="s">
        <v>582</v>
      </c>
      <c r="D30" s="881"/>
      <c r="E30" s="879">
        <v>0.9</v>
      </c>
      <c r="F30" s="882" t="s">
        <v>583</v>
      </c>
      <c r="G30" s="883"/>
      <c r="H30" s="875"/>
      <c r="I30" s="875"/>
    </row>
    <row r="31" spans="1:9" s="884" customFormat="1" ht="19.5" customHeight="1">
      <c r="A31" s="3415"/>
      <c r="B31" s="3415"/>
      <c r="C31" s="880" t="s">
        <v>584</v>
      </c>
      <c r="D31" s="881"/>
      <c r="E31" s="879">
        <v>0.8</v>
      </c>
      <c r="F31" s="882" t="s">
        <v>585</v>
      </c>
      <c r="G31" s="883"/>
      <c r="H31" s="875"/>
      <c r="I31" s="875"/>
    </row>
    <row r="32" spans="1:9" s="884" customFormat="1" ht="19.5" customHeight="1">
      <c r="A32" s="3415"/>
      <c r="B32" s="3415"/>
      <c r="C32" s="880" t="s">
        <v>586</v>
      </c>
      <c r="D32" s="881"/>
      <c r="E32" s="879">
        <v>0.8</v>
      </c>
      <c r="F32" s="882" t="s">
        <v>587</v>
      </c>
      <c r="G32" s="883"/>
      <c r="H32" s="875"/>
      <c r="I32" s="875"/>
    </row>
    <row r="33" spans="1:9" s="884" customFormat="1" ht="19.5" customHeight="1">
      <c r="A33" s="3415" t="s">
        <v>185</v>
      </c>
      <c r="B33" s="879" t="s">
        <v>560</v>
      </c>
      <c r="C33" s="880" t="s">
        <v>588</v>
      </c>
      <c r="D33" s="881"/>
      <c r="E33" s="879">
        <v>1</v>
      </c>
      <c r="F33" s="882" t="s">
        <v>589</v>
      </c>
      <c r="G33" s="883"/>
      <c r="H33" s="875"/>
      <c r="I33" s="875"/>
    </row>
    <row r="34" spans="1:9" s="884" customFormat="1" ht="19.5" customHeight="1">
      <c r="A34" s="3415"/>
      <c r="B34" s="879" t="s">
        <v>563</v>
      </c>
      <c r="C34" s="880" t="s">
        <v>590</v>
      </c>
      <c r="D34" s="881"/>
      <c r="E34" s="879">
        <v>1.5</v>
      </c>
      <c r="F34" s="882" t="s">
        <v>591</v>
      </c>
      <c r="G34" s="883"/>
      <c r="H34" s="875"/>
      <c r="I34" s="875"/>
    </row>
    <row r="35" spans="1:9" s="884" customFormat="1" ht="19.5" customHeight="1">
      <c r="A35" s="3415" t="s">
        <v>186</v>
      </c>
      <c r="B35" s="879" t="s">
        <v>560</v>
      </c>
      <c r="C35" s="880" t="s">
        <v>592</v>
      </c>
      <c r="D35" s="881"/>
      <c r="E35" s="879">
        <v>1</v>
      </c>
      <c r="F35" s="882" t="s">
        <v>593</v>
      </c>
      <c r="G35" s="883"/>
      <c r="H35" s="875"/>
      <c r="I35" s="875"/>
    </row>
    <row r="36" spans="1:9" s="884" customFormat="1" ht="19.5" customHeight="1">
      <c r="A36" s="3415"/>
      <c r="B36" s="3415" t="s">
        <v>563</v>
      </c>
      <c r="C36" s="880" t="s">
        <v>594</v>
      </c>
      <c r="D36" s="881"/>
      <c r="E36" s="879">
        <v>1</v>
      </c>
      <c r="F36" s="882" t="s">
        <v>595</v>
      </c>
      <c r="G36" s="883"/>
      <c r="H36" s="875"/>
      <c r="I36" s="875"/>
    </row>
    <row r="37" spans="1:9" s="884" customFormat="1" ht="19.5" customHeight="1">
      <c r="A37" s="3415"/>
      <c r="B37" s="3415"/>
      <c r="C37" s="880" t="s">
        <v>596</v>
      </c>
      <c r="D37" s="881"/>
      <c r="E37" s="879">
        <v>1.5</v>
      </c>
      <c r="F37" s="882" t="s">
        <v>597</v>
      </c>
      <c r="G37" s="883"/>
      <c r="H37" s="875"/>
      <c r="I37" s="875"/>
    </row>
    <row r="38" spans="1:9" s="884" customFormat="1" ht="19.5" customHeight="1">
      <c r="A38" s="3415"/>
      <c r="B38" s="3415"/>
      <c r="C38" s="880" t="s">
        <v>598</v>
      </c>
      <c r="D38" s="881"/>
      <c r="E38" s="879">
        <v>1</v>
      </c>
      <c r="F38" s="882" t="s">
        <v>599</v>
      </c>
      <c r="G38" s="883"/>
      <c r="H38" s="875"/>
      <c r="I38" s="875"/>
    </row>
    <row r="39" spans="1:9" s="884" customFormat="1" ht="19.5" customHeight="1">
      <c r="A39" s="3415"/>
      <c r="B39" s="341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415" t="s">
        <v>614</v>
      </c>
      <c r="C61" s="815" t="s">
        <v>615</v>
      </c>
      <c r="D61" s="815" t="s">
        <v>616</v>
      </c>
      <c r="E61" s="892">
        <v>0.5</v>
      </c>
      <c r="F61" s="879">
        <v>80</v>
      </c>
    </row>
    <row r="62" spans="1:8" s="875" customFormat="1" ht="36">
      <c r="A62" s="879">
        <v>2</v>
      </c>
      <c r="B62" s="3415"/>
      <c r="C62" s="815" t="s">
        <v>617</v>
      </c>
      <c r="D62" s="815" t="s">
        <v>618</v>
      </c>
      <c r="E62" s="892">
        <v>0.5</v>
      </c>
      <c r="F62" s="879">
        <v>80</v>
      </c>
    </row>
    <row r="63" spans="1:8" s="875" customFormat="1" ht="48">
      <c r="A63" s="879">
        <v>3</v>
      </c>
      <c r="B63" s="3415"/>
      <c r="C63" s="815" t="s">
        <v>619</v>
      </c>
      <c r="D63" s="815" t="s">
        <v>620</v>
      </c>
      <c r="E63" s="892">
        <v>0.5</v>
      </c>
      <c r="F63" s="879">
        <v>80</v>
      </c>
    </row>
    <row r="64" spans="1:8" s="875" customFormat="1" ht="48">
      <c r="A64" s="879">
        <v>4</v>
      </c>
      <c r="B64" s="3415"/>
      <c r="C64" s="815" t="s">
        <v>621</v>
      </c>
      <c r="D64" s="815" t="s">
        <v>622</v>
      </c>
      <c r="E64" s="892">
        <v>0.4</v>
      </c>
      <c r="F64" s="879">
        <v>60</v>
      </c>
    </row>
    <row r="65" spans="1:6" s="875" customFormat="1" ht="48">
      <c r="A65" s="879">
        <v>5</v>
      </c>
      <c r="B65" s="3415"/>
      <c r="C65" s="815" t="s">
        <v>623</v>
      </c>
      <c r="D65" s="815" t="s">
        <v>624</v>
      </c>
      <c r="E65" s="892">
        <v>0.2</v>
      </c>
      <c r="F65" s="879">
        <v>30</v>
      </c>
    </row>
    <row r="66" spans="1:6" s="875" customFormat="1" ht="48">
      <c r="A66" s="879">
        <v>6</v>
      </c>
      <c r="B66" s="3415"/>
      <c r="C66" s="815" t="s">
        <v>625</v>
      </c>
      <c r="D66" s="815" t="s">
        <v>626</v>
      </c>
      <c r="E66" s="892">
        <v>0.3</v>
      </c>
      <c r="F66" s="879">
        <v>50</v>
      </c>
    </row>
    <row r="67" spans="1:6" s="875" customFormat="1" ht="48">
      <c r="A67" s="879">
        <v>7</v>
      </c>
      <c r="B67" s="3415"/>
      <c r="C67" s="815" t="s">
        <v>627</v>
      </c>
      <c r="D67" s="815" t="s">
        <v>628</v>
      </c>
      <c r="E67" s="892">
        <v>0.2</v>
      </c>
      <c r="F67" s="879">
        <v>30</v>
      </c>
    </row>
    <row r="68" spans="1:6" s="875" customFormat="1" ht="48">
      <c r="A68" s="879">
        <v>8</v>
      </c>
      <c r="B68" s="3415"/>
      <c r="C68" s="815" t="s">
        <v>629</v>
      </c>
      <c r="D68" s="815" t="s">
        <v>630</v>
      </c>
      <c r="E68" s="892">
        <v>0.2</v>
      </c>
      <c r="F68" s="879">
        <v>30</v>
      </c>
    </row>
    <row r="69" spans="1:6" s="875" customFormat="1" ht="48">
      <c r="A69" s="879">
        <v>9</v>
      </c>
      <c r="B69" s="3415"/>
      <c r="C69" s="815" t="s">
        <v>631</v>
      </c>
      <c r="D69" s="815" t="s">
        <v>632</v>
      </c>
      <c r="E69" s="892">
        <v>0.2</v>
      </c>
      <c r="F69" s="879">
        <v>30</v>
      </c>
    </row>
    <row r="70" spans="1:6" s="875" customFormat="1" ht="60">
      <c r="A70" s="879">
        <v>10</v>
      </c>
      <c r="B70" s="3415"/>
      <c r="C70" s="815" t="s">
        <v>633</v>
      </c>
      <c r="D70" s="815" t="s">
        <v>634</v>
      </c>
      <c r="E70" s="892">
        <v>0.2</v>
      </c>
      <c r="F70" s="879">
        <v>30</v>
      </c>
    </row>
    <row r="71" spans="1:6" s="875" customFormat="1" ht="60">
      <c r="A71" s="879">
        <v>11</v>
      </c>
      <c r="B71" s="3415"/>
      <c r="C71" s="815" t="s">
        <v>635</v>
      </c>
      <c r="D71" s="815" t="s">
        <v>636</v>
      </c>
      <c r="E71" s="892">
        <v>0.2</v>
      </c>
      <c r="F71" s="879">
        <v>30</v>
      </c>
    </row>
    <row r="72" spans="1:6" s="875" customFormat="1" ht="36">
      <c r="A72" s="879">
        <v>12</v>
      </c>
      <c r="B72" s="3415"/>
      <c r="C72" s="815" t="s">
        <v>637</v>
      </c>
      <c r="D72" s="815" t="s">
        <v>638</v>
      </c>
      <c r="E72" s="892">
        <v>0.5</v>
      </c>
      <c r="F72" s="879">
        <v>80</v>
      </c>
    </row>
    <row r="73" spans="1:6" s="875" customFormat="1" ht="36">
      <c r="A73" s="879">
        <v>13</v>
      </c>
      <c r="B73" s="3415"/>
      <c r="C73" s="815" t="s">
        <v>639</v>
      </c>
      <c r="D73" s="815" t="s">
        <v>640</v>
      </c>
      <c r="E73" s="892">
        <v>0.4</v>
      </c>
      <c r="F73" s="879">
        <v>60</v>
      </c>
    </row>
    <row r="74" spans="1:6" s="875" customFormat="1" ht="36">
      <c r="A74" s="879">
        <v>14</v>
      </c>
      <c r="B74" s="3415"/>
      <c r="C74" s="815" t="s">
        <v>641</v>
      </c>
      <c r="D74" s="815" t="s">
        <v>642</v>
      </c>
      <c r="E74" s="892">
        <v>0.2</v>
      </c>
      <c r="F74" s="879">
        <v>30</v>
      </c>
    </row>
    <row r="75" spans="1:6" s="875" customFormat="1" ht="36">
      <c r="A75" s="879">
        <v>15</v>
      </c>
      <c r="B75" s="3415"/>
      <c r="C75" s="815" t="s">
        <v>643</v>
      </c>
      <c r="D75" s="815" t="s">
        <v>644</v>
      </c>
      <c r="E75" s="892">
        <v>0.2</v>
      </c>
      <c r="F75" s="879">
        <v>30</v>
      </c>
    </row>
    <row r="76" spans="1:6" s="875" customFormat="1" ht="36">
      <c r="A76" s="879">
        <v>16</v>
      </c>
      <c r="B76" s="3415" t="s">
        <v>645</v>
      </c>
      <c r="C76" s="815" t="s">
        <v>646</v>
      </c>
      <c r="D76" s="815" t="s">
        <v>647</v>
      </c>
      <c r="E76" s="892">
        <v>0.5</v>
      </c>
      <c r="F76" s="879">
        <v>80</v>
      </c>
    </row>
    <row r="77" spans="1:6" s="875" customFormat="1" ht="36">
      <c r="A77" s="879">
        <v>17</v>
      </c>
      <c r="B77" s="3415"/>
      <c r="C77" s="815" t="s">
        <v>648</v>
      </c>
      <c r="D77" s="815" t="s">
        <v>649</v>
      </c>
      <c r="E77" s="892">
        <v>0.5</v>
      </c>
      <c r="F77" s="879">
        <v>80</v>
      </c>
    </row>
    <row r="78" spans="1:6" s="875" customFormat="1" ht="36">
      <c r="A78" s="879">
        <v>18</v>
      </c>
      <c r="B78" s="3415"/>
      <c r="C78" s="815" t="s">
        <v>650</v>
      </c>
      <c r="D78" s="815" t="s">
        <v>651</v>
      </c>
      <c r="E78" s="892">
        <v>0.2</v>
      </c>
      <c r="F78" s="879">
        <v>30</v>
      </c>
    </row>
    <row r="79" spans="1:6" s="875" customFormat="1" ht="36">
      <c r="A79" s="879">
        <v>19</v>
      </c>
      <c r="B79" s="3415"/>
      <c r="C79" s="815" t="s">
        <v>652</v>
      </c>
      <c r="D79" s="815" t="s">
        <v>653</v>
      </c>
      <c r="E79" s="892">
        <v>0.5</v>
      </c>
      <c r="F79" s="879">
        <v>80</v>
      </c>
    </row>
    <row r="80" spans="1:6" s="875" customFormat="1" ht="36">
      <c r="A80" s="879">
        <v>20</v>
      </c>
      <c r="B80" s="3415"/>
      <c r="C80" s="815" t="s">
        <v>654</v>
      </c>
      <c r="D80" s="815" t="s">
        <v>655</v>
      </c>
      <c r="E80" s="892">
        <v>0.2</v>
      </c>
      <c r="F80" s="879">
        <v>30</v>
      </c>
    </row>
    <row r="81" spans="1:6" s="875" customFormat="1" ht="36">
      <c r="A81" s="879">
        <v>21</v>
      </c>
      <c r="B81" s="3415"/>
      <c r="C81" s="815" t="s">
        <v>656</v>
      </c>
      <c r="D81" s="815" t="s">
        <v>657</v>
      </c>
      <c r="E81" s="892">
        <v>0.2</v>
      </c>
      <c r="F81" s="879">
        <v>30</v>
      </c>
    </row>
    <row r="82" spans="1:6" s="875" customFormat="1" ht="60">
      <c r="A82" s="879">
        <v>22</v>
      </c>
      <c r="B82" s="3415"/>
      <c r="C82" s="815" t="s">
        <v>658</v>
      </c>
      <c r="D82" s="815" t="s">
        <v>659</v>
      </c>
      <c r="E82" s="892">
        <v>0.2</v>
      </c>
      <c r="F82" s="879">
        <v>30</v>
      </c>
    </row>
    <row r="83" spans="1:6" s="875" customFormat="1" ht="60">
      <c r="A83" s="879">
        <v>23</v>
      </c>
      <c r="B83" s="3415"/>
      <c r="C83" s="815" t="s">
        <v>660</v>
      </c>
      <c r="D83" s="815" t="s">
        <v>661</v>
      </c>
      <c r="E83" s="892">
        <v>0.2</v>
      </c>
      <c r="F83" s="879">
        <v>30</v>
      </c>
    </row>
    <row r="84" spans="1:6" s="875" customFormat="1" ht="48">
      <c r="A84" s="879">
        <v>24</v>
      </c>
      <c r="B84" s="3415"/>
      <c r="C84" s="815" t="s">
        <v>662</v>
      </c>
      <c r="D84" s="815" t="s">
        <v>663</v>
      </c>
      <c r="E84" s="892">
        <v>0.2</v>
      </c>
      <c r="F84" s="879">
        <v>30</v>
      </c>
    </row>
    <row r="85" spans="1:6" s="875" customFormat="1" ht="36">
      <c r="A85" s="879">
        <v>25</v>
      </c>
      <c r="B85" s="3415"/>
      <c r="C85" s="815" t="s">
        <v>664</v>
      </c>
      <c r="D85" s="815" t="s">
        <v>665</v>
      </c>
      <c r="E85" s="892">
        <v>0.5</v>
      </c>
      <c r="F85" s="879">
        <v>80</v>
      </c>
    </row>
    <row r="86" spans="1:6" s="875" customFormat="1" ht="36">
      <c r="A86" s="879">
        <v>26</v>
      </c>
      <c r="B86" s="3415"/>
      <c r="C86" s="815" t="s">
        <v>666</v>
      </c>
      <c r="D86" s="815" t="s">
        <v>667</v>
      </c>
      <c r="E86" s="892">
        <v>0.2</v>
      </c>
      <c r="F86" s="879">
        <v>30</v>
      </c>
    </row>
    <row r="87" spans="1:6" s="875" customFormat="1" ht="36">
      <c r="A87" s="879">
        <v>27</v>
      </c>
      <c r="B87" s="3415"/>
      <c r="C87" s="815" t="s">
        <v>668</v>
      </c>
      <c r="D87" s="815" t="s">
        <v>669</v>
      </c>
      <c r="E87" s="892">
        <v>0.2</v>
      </c>
      <c r="F87" s="879">
        <v>30</v>
      </c>
    </row>
    <row r="88" spans="1:6" s="875" customFormat="1" ht="36">
      <c r="A88" s="879">
        <v>28</v>
      </c>
      <c r="B88" s="3415"/>
      <c r="C88" s="815" t="s">
        <v>670</v>
      </c>
      <c r="D88" s="815" t="s">
        <v>671</v>
      </c>
      <c r="E88" s="892">
        <v>0.2</v>
      </c>
      <c r="F88" s="879">
        <v>30</v>
      </c>
    </row>
    <row r="89" spans="1:6" s="875" customFormat="1" ht="36">
      <c r="A89" s="879">
        <v>29</v>
      </c>
      <c r="B89" s="3415"/>
      <c r="C89" s="815" t="s">
        <v>672</v>
      </c>
      <c r="D89" s="815" t="s">
        <v>673</v>
      </c>
      <c r="E89" s="892">
        <v>0.2</v>
      </c>
      <c r="F89" s="879">
        <v>30</v>
      </c>
    </row>
    <row r="90" spans="1:6" s="875" customFormat="1" ht="36">
      <c r="A90" s="879">
        <v>30</v>
      </c>
      <c r="B90" s="3415"/>
      <c r="C90" s="815" t="s">
        <v>674</v>
      </c>
      <c r="D90" s="815" t="s">
        <v>675</v>
      </c>
      <c r="E90" s="892">
        <v>0.2</v>
      </c>
      <c r="F90" s="879">
        <v>30</v>
      </c>
    </row>
    <row r="91" spans="1:6" s="875" customFormat="1" ht="48">
      <c r="A91" s="879">
        <v>31</v>
      </c>
      <c r="B91" s="3415"/>
      <c r="C91" s="815" t="s">
        <v>676</v>
      </c>
      <c r="D91" s="815" t="s">
        <v>677</v>
      </c>
      <c r="E91" s="892">
        <v>0.2</v>
      </c>
      <c r="F91" s="879">
        <v>30</v>
      </c>
    </row>
    <row r="92" spans="1:6" s="875" customFormat="1" ht="36">
      <c r="A92" s="879">
        <v>32</v>
      </c>
      <c r="B92" s="3415" t="s">
        <v>678</v>
      </c>
      <c r="C92" s="879" t="s">
        <v>679</v>
      </c>
      <c r="D92" s="815" t="s">
        <v>680</v>
      </c>
      <c r="E92" s="892">
        <v>0.2</v>
      </c>
      <c r="F92" s="879">
        <v>30</v>
      </c>
    </row>
    <row r="93" spans="1:6" s="875" customFormat="1" ht="36">
      <c r="A93" s="879">
        <v>33</v>
      </c>
      <c r="B93" s="3415"/>
      <c r="C93" s="879" t="s">
        <v>681</v>
      </c>
      <c r="D93" s="815" t="s">
        <v>682</v>
      </c>
      <c r="E93" s="892">
        <v>0.2</v>
      </c>
      <c r="F93" s="879">
        <v>30</v>
      </c>
    </row>
    <row r="94" spans="1:6" s="875" customFormat="1" ht="60">
      <c r="A94" s="879">
        <v>34</v>
      </c>
      <c r="B94" s="3415"/>
      <c r="C94" s="879" t="s">
        <v>683</v>
      </c>
      <c r="D94" s="815" t="s">
        <v>684</v>
      </c>
      <c r="E94" s="892">
        <v>0.2</v>
      </c>
      <c r="F94" s="879">
        <v>30</v>
      </c>
    </row>
    <row r="95" spans="1:6" s="875" customFormat="1" ht="48">
      <c r="A95" s="879">
        <v>35</v>
      </c>
      <c r="B95" s="3415"/>
      <c r="C95" s="879" t="s">
        <v>685</v>
      </c>
      <c r="D95" s="815" t="s">
        <v>686</v>
      </c>
      <c r="E95" s="892">
        <v>0.2</v>
      </c>
      <c r="F95" s="879">
        <v>30</v>
      </c>
    </row>
    <row r="96" spans="1:6" s="875" customFormat="1" ht="72">
      <c r="A96" s="879">
        <v>36</v>
      </c>
      <c r="B96" s="3415"/>
      <c r="C96" s="815" t="s">
        <v>687</v>
      </c>
      <c r="D96" s="815" t="s">
        <v>688</v>
      </c>
      <c r="E96" s="892">
        <v>0.2</v>
      </c>
      <c r="F96" s="879">
        <v>30</v>
      </c>
    </row>
    <row r="97" spans="1:6" s="875" customFormat="1" ht="36">
      <c r="A97" s="879">
        <v>37</v>
      </c>
      <c r="B97" s="3415"/>
      <c r="C97" s="879" t="s">
        <v>689</v>
      </c>
      <c r="D97" s="815" t="s">
        <v>690</v>
      </c>
      <c r="E97" s="892">
        <v>0.2</v>
      </c>
      <c r="F97" s="879">
        <v>30</v>
      </c>
    </row>
    <row r="98" spans="1:6" s="875" customFormat="1" ht="36">
      <c r="A98" s="879">
        <v>38</v>
      </c>
      <c r="B98" s="3415"/>
      <c r="C98" s="879" t="s">
        <v>691</v>
      </c>
      <c r="D98" s="815" t="s">
        <v>692</v>
      </c>
      <c r="E98" s="892">
        <v>0.2</v>
      </c>
      <c r="F98" s="879">
        <v>30</v>
      </c>
    </row>
    <row r="99" spans="1:6" s="875" customFormat="1" ht="36">
      <c r="A99" s="879">
        <v>39</v>
      </c>
      <c r="B99" s="3415" t="s">
        <v>693</v>
      </c>
      <c r="C99" s="879" t="s">
        <v>694</v>
      </c>
      <c r="D99" s="815" t="s">
        <v>695</v>
      </c>
      <c r="E99" s="892">
        <v>0.3</v>
      </c>
      <c r="F99" s="879">
        <v>50</v>
      </c>
    </row>
    <row r="100" spans="1:6" s="875" customFormat="1" ht="36">
      <c r="A100" s="879">
        <v>40</v>
      </c>
      <c r="B100" s="3415"/>
      <c r="C100" s="879" t="s">
        <v>696</v>
      </c>
      <c r="D100" s="815" t="s">
        <v>697</v>
      </c>
      <c r="E100" s="892">
        <v>0.2</v>
      </c>
      <c r="F100" s="879">
        <v>30</v>
      </c>
    </row>
    <row r="101" spans="1:6" s="875" customFormat="1" ht="36">
      <c r="A101" s="879">
        <v>41</v>
      </c>
      <c r="B101" s="3415"/>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415" t="s">
        <v>708</v>
      </c>
      <c r="C105" s="879" t="s">
        <v>709</v>
      </c>
      <c r="D105" s="815" t="s">
        <v>710</v>
      </c>
      <c r="E105" s="892">
        <v>0.2</v>
      </c>
      <c r="F105" s="879">
        <v>30</v>
      </c>
    </row>
    <row r="106" spans="1:6" s="875" customFormat="1" ht="48">
      <c r="A106" s="879">
        <v>46</v>
      </c>
      <c r="B106" s="3415"/>
      <c r="C106" s="879" t="s">
        <v>711</v>
      </c>
      <c r="D106" s="815" t="s">
        <v>712</v>
      </c>
      <c r="E106" s="892">
        <v>0.2</v>
      </c>
      <c r="F106" s="879">
        <v>30</v>
      </c>
    </row>
    <row r="107" spans="1:6" s="875" customFormat="1" ht="36">
      <c r="A107" s="879">
        <v>47</v>
      </c>
      <c r="B107" s="3415" t="s">
        <v>713</v>
      </c>
      <c r="C107" s="879" t="s">
        <v>714</v>
      </c>
      <c r="D107" s="815" t="s">
        <v>715</v>
      </c>
      <c r="E107" s="892">
        <v>0.3</v>
      </c>
      <c r="F107" s="879">
        <v>50</v>
      </c>
    </row>
    <row r="108" spans="1:6" s="875" customFormat="1" ht="48">
      <c r="A108" s="879">
        <v>48</v>
      </c>
      <c r="B108" s="341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415" t="s">
        <v>724</v>
      </c>
      <c r="C111" s="879" t="s">
        <v>725</v>
      </c>
      <c r="D111" s="815" t="s">
        <v>726</v>
      </c>
      <c r="E111" s="892">
        <v>0.2</v>
      </c>
      <c r="F111" s="879">
        <v>30</v>
      </c>
    </row>
    <row r="112" spans="1:6" s="875" customFormat="1" ht="36">
      <c r="A112" s="879">
        <v>52</v>
      </c>
      <c r="B112" s="3415"/>
      <c r="C112" s="879" t="s">
        <v>727</v>
      </c>
      <c r="D112" s="815" t="s">
        <v>728</v>
      </c>
      <c r="E112" s="892">
        <v>0.2</v>
      </c>
      <c r="F112" s="879">
        <v>30</v>
      </c>
    </row>
    <row r="113" spans="1:6" s="875" customFormat="1" ht="36">
      <c r="A113" s="879">
        <v>53</v>
      </c>
      <c r="B113" s="3415"/>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415" t="s">
        <v>737</v>
      </c>
      <c r="C116" s="879" t="s">
        <v>738</v>
      </c>
      <c r="D116" s="815" t="s">
        <v>739</v>
      </c>
      <c r="E116" s="892">
        <v>0.2</v>
      </c>
      <c r="F116" s="879">
        <v>30</v>
      </c>
    </row>
    <row r="117" spans="1:6" ht="36">
      <c r="A117" s="879">
        <v>57</v>
      </c>
      <c r="B117" s="3415"/>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7.399999999999999">
      <c r="A3" s="3097" t="str">
        <f>IF(项目基本情况!B9="房地产市场价值","估价结果一览表（市场价值不需“结果表-1”）","估价结果一览表")</f>
        <v>估价结果一览表</v>
      </c>
      <c r="B3" s="3097"/>
      <c r="C3" s="3097"/>
      <c r="D3" s="3097"/>
      <c r="E3" s="3097"/>
    </row>
    <row r="4" spans="1:5" ht="18" thickBot="1">
      <c r="A4" s="1957"/>
      <c r="B4" s="3095" t="s">
        <v>1626</v>
      </c>
      <c r="C4" s="3095"/>
      <c r="D4" s="3095"/>
      <c r="E4" s="1957"/>
    </row>
    <row r="5" spans="1:5" ht="16.2" thickTop="1">
      <c r="A5" s="1955"/>
      <c r="B5" s="3093" t="s">
        <v>1618</v>
      </c>
      <c r="C5" s="1958" t="s">
        <v>1619</v>
      </c>
      <c r="D5" s="1037">
        <f ca="1">结果表!H101</f>
        <v>40101</v>
      </c>
      <c r="E5" s="1955"/>
    </row>
    <row r="6" spans="1:5" ht="15.6">
      <c r="A6" s="1955"/>
      <c r="B6" s="3093"/>
      <c r="C6" s="1958" t="s">
        <v>1620</v>
      </c>
      <c r="D6" s="1037" t="str">
        <f ca="1">NUMBERSTRING(INT(D5*10000),2)&amp;"元整"</f>
        <v>肆亿零壹佰零壹万元整</v>
      </c>
      <c r="E6" s="1955"/>
    </row>
    <row r="7" spans="1:5" ht="15.6">
      <c r="A7" s="1955"/>
      <c r="B7" s="3098"/>
      <c r="C7" s="1959" t="s">
        <v>1621</v>
      </c>
      <c r="D7" s="1038">
        <f ca="1">结果表!H102</f>
        <v>4802</v>
      </c>
      <c r="E7" s="1955"/>
    </row>
    <row r="8" spans="1:5" ht="15.6">
      <c r="A8" s="1955"/>
      <c r="B8" s="3099" t="str">
        <f>结果表!E103</f>
        <v>2.估价师知悉的法定优先受偿款</v>
      </c>
      <c r="C8" s="1960" t="s">
        <v>1622</v>
      </c>
      <c r="D8" s="1038">
        <f>结果表!H103</f>
        <v>0</v>
      </c>
      <c r="E8" s="1955"/>
    </row>
    <row r="9" spans="1:5" ht="15.6">
      <c r="A9" s="1955"/>
      <c r="B9" s="3101"/>
      <c r="C9" s="1958" t="s">
        <v>1620</v>
      </c>
      <c r="D9" s="1037" t="str">
        <f>NUMBERSTRING(INT(D8*10000),2)&amp;"元整"</f>
        <v>零元整</v>
      </c>
      <c r="E9" s="1955"/>
    </row>
    <row r="10" spans="1:5" ht="15.6">
      <c r="A10" s="1955"/>
      <c r="B10" s="1961" t="s">
        <v>1625</v>
      </c>
      <c r="C10" s="1962" t="s">
        <v>1623</v>
      </c>
      <c r="D10" s="1039">
        <f>结果表!H104</f>
        <v>0</v>
      </c>
      <c r="E10" s="1955"/>
    </row>
    <row r="11" spans="1:5" ht="15.6">
      <c r="A11" s="1955"/>
      <c r="B11" s="1961" t="s">
        <v>1627</v>
      </c>
      <c r="C11" s="1962" t="s">
        <v>1628</v>
      </c>
      <c r="D11" s="1039">
        <f>结果表!H105</f>
        <v>0</v>
      </c>
      <c r="E11" s="1955"/>
    </row>
    <row r="12" spans="1:5" ht="15.6">
      <c r="A12" s="1955"/>
      <c r="B12" s="1961" t="s">
        <v>1629</v>
      </c>
      <c r="C12" s="1962" t="s">
        <v>1628</v>
      </c>
      <c r="D12" s="1039">
        <f>结果表!H106</f>
        <v>0</v>
      </c>
      <c r="E12" s="1955"/>
    </row>
    <row r="13" spans="1:5" ht="15.6">
      <c r="A13" s="1955"/>
      <c r="B13" s="3092" t="str">
        <f>结果表!E107</f>
        <v>3.房地产抵押价值</v>
      </c>
      <c r="C13" s="1963" t="s">
        <v>1619</v>
      </c>
      <c r="D13" s="1040">
        <f ca="1">结果表!H107</f>
        <v>40101</v>
      </c>
      <c r="E13" s="1955"/>
    </row>
    <row r="14" spans="1:5" ht="15.6">
      <c r="A14" s="1955"/>
      <c r="B14" s="3093"/>
      <c r="C14" s="1958" t="s">
        <v>1620</v>
      </c>
      <c r="D14" s="1037" t="str">
        <f ca="1">NUMBERSTRING(INT(D13*10000),2)&amp;"元整"</f>
        <v>肆亿零壹佰零壹万元整</v>
      </c>
      <c r="E14" s="1955"/>
    </row>
    <row r="15" spans="1:5" ht="15.6">
      <c r="A15" s="1955"/>
      <c r="B15" s="3098"/>
      <c r="C15" s="1959" t="s">
        <v>1630</v>
      </c>
      <c r="D15" s="1049">
        <f ca="1">结果表!H108</f>
        <v>4802</v>
      </c>
      <c r="E15" s="1955"/>
    </row>
    <row r="16" spans="1:5" ht="15.6">
      <c r="A16" s="1955"/>
      <c r="B16" s="3099" t="str">
        <f>结果表!E109</f>
        <v>——</v>
      </c>
      <c r="C16" s="1963" t="s">
        <v>1631</v>
      </c>
      <c r="D16" s="1964" t="str">
        <f>结果表!H109</f>
        <v>——</v>
      </c>
      <c r="E16" s="1955"/>
    </row>
    <row r="17" spans="1:5" ht="15.6">
      <c r="A17" s="1955"/>
      <c r="B17" s="3100"/>
      <c r="C17" s="1958" t="s">
        <v>1632</v>
      </c>
      <c r="D17" s="1037" t="e">
        <f>NUMBERSTRING(INT(D16*10000),2)&amp;"元整"</f>
        <v>#VALUE!</v>
      </c>
      <c r="E17" s="1955"/>
    </row>
    <row r="18" spans="1:5" ht="15.6">
      <c r="A18" s="1955"/>
      <c r="B18" s="3101"/>
      <c r="C18" s="1959" t="s">
        <v>1621</v>
      </c>
      <c r="D18" s="1049" t="str">
        <f>结果表!H110</f>
        <v>——</v>
      </c>
      <c r="E18" s="1955"/>
    </row>
    <row r="19" spans="1:5" ht="15.6">
      <c r="A19" s="1955"/>
      <c r="B19" s="3092" t="str">
        <f>结果表!E111</f>
        <v>4.抵押净值</v>
      </c>
      <c r="C19" s="1963" t="s">
        <v>1619</v>
      </c>
      <c r="D19" s="1038">
        <f ca="1">结果表!H111</f>
        <v>27369</v>
      </c>
      <c r="E19" s="1955"/>
    </row>
    <row r="20" spans="1:5" ht="15.6">
      <c r="A20" s="1955"/>
      <c r="B20" s="3093"/>
      <c r="C20" s="1958" t="s">
        <v>1632</v>
      </c>
      <c r="D20" s="1037" t="str">
        <f ca="1">NUMBERSTRING(INT(D19*10000),2)&amp;"元整"</f>
        <v>贰亿柒仟叁佰陆拾玖万元整</v>
      </c>
      <c r="E20" s="1955"/>
    </row>
    <row r="21" spans="1:5" ht="16.2" thickBot="1">
      <c r="A21" s="1955"/>
      <c r="B21" s="3094"/>
      <c r="C21" s="1965" t="s">
        <v>1630</v>
      </c>
      <c r="D21" s="1050">
        <f ca="1">结果表!H112</f>
        <v>3277</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4" t="s">
        <v>3000</v>
      </c>
    </row>
    <row r="2" spans="1:5" ht="15.6">
      <c r="A2" s="2893" t="s">
        <v>2992</v>
      </c>
      <c r="B2" s="2894" t="e">
        <f ca="1">SUMIF(B6:B13,"&lt;&gt;#ref!",B6:B13)</f>
        <v>#DIV/0!</v>
      </c>
      <c r="C2" s="2893" t="s">
        <v>2993</v>
      </c>
      <c r="D2" s="2893" t="s">
        <v>2994</v>
      </c>
      <c r="E2" s="2894">
        <f ca="1">SUMIF(E6:E13,"&lt;&gt;#ref!",E6:E13)</f>
        <v>0</v>
      </c>
    </row>
    <row r="3" spans="1:5" ht="15.6">
      <c r="A3" s="2893" t="s">
        <v>2995</v>
      </c>
      <c r="B3" s="2894" t="e">
        <f ca="1">ROUND(B2*10000/E2,0)</f>
        <v>#DIV/0!</v>
      </c>
      <c r="C3" s="2893" t="s">
        <v>3001</v>
      </c>
      <c r="D3" s="2895"/>
      <c r="E3" s="2895"/>
    </row>
    <row r="4" spans="1:5" ht="15.6">
      <c r="A4" s="2896"/>
      <c r="B4" s="2895"/>
      <c r="C4" s="2895"/>
      <c r="D4" s="2895"/>
      <c r="E4" s="2895"/>
    </row>
    <row r="5" spans="1:5" ht="31.2">
      <c r="A5" s="2897" t="s">
        <v>2996</v>
      </c>
      <c r="B5" s="2893" t="s">
        <v>2997</v>
      </c>
      <c r="C5" s="2894"/>
      <c r="D5" s="2895"/>
      <c r="E5" s="2893" t="s">
        <v>2998</v>
      </c>
    </row>
    <row r="6" spans="1:5" ht="15.6">
      <c r="A6" s="2898" t="s">
        <v>2999</v>
      </c>
      <c r="B6" s="2894" t="e">
        <f ca="1">SUMIF(INDIRECT("'"&amp;A6&amp;"'"&amp;"!A:A"),"总价",INDIRECT("'"&amp;A6&amp;"'"&amp;"!B:B"))</f>
        <v>#DIV/0!</v>
      </c>
      <c r="C6" s="2893" t="s">
        <v>2993</v>
      </c>
      <c r="D6" s="2895"/>
      <c r="E6" s="2568">
        <f ca="1">SUMIF(INDIRECT("'"&amp;A6&amp;"'"&amp;"!C:C"),"建筑面积",INDIRECT("'"&amp;A6&amp;"'"&amp;"!D:D"))</f>
        <v>0</v>
      </c>
    </row>
    <row r="7" spans="1:5" ht="15.6">
      <c r="A7" s="2898"/>
      <c r="B7" s="2894" t="e">
        <f ca="1">SUMIF(INDIRECT("'"&amp;A7&amp;"'"&amp;"!A:A"),"总价",INDIRECT("'"&amp;A7&amp;"'"&amp;"!B:B"))</f>
        <v>#REF!</v>
      </c>
      <c r="C7" s="2893" t="s">
        <v>2993</v>
      </c>
      <c r="D7" s="2895"/>
      <c r="E7" s="2568" t="e">
        <f t="shared" ref="E7:E13" ca="1" si="0">SUMIF(INDIRECT("'"&amp;A7&amp;"'"&amp;"!C:C"),"建筑面积",INDIRECT("'"&amp;A7&amp;"'"&amp;"!D:D"))</f>
        <v>#REF!</v>
      </c>
    </row>
    <row r="8" spans="1:5" ht="15.6">
      <c r="A8" s="2898"/>
      <c r="B8" s="2894" t="e">
        <f t="shared" ref="B8:B13" ca="1" si="1">SUMIF(INDIRECT("'"&amp;A8&amp;"'"&amp;"!A:A"),"总价",INDIRECT("'"&amp;A8&amp;"'"&amp;"!B:B"))</f>
        <v>#REF!</v>
      </c>
      <c r="C8" s="2893" t="s">
        <v>2993</v>
      </c>
      <c r="D8" s="2895"/>
      <c r="E8" s="2568" t="e">
        <f t="shared" ca="1" si="0"/>
        <v>#REF!</v>
      </c>
    </row>
    <row r="9" spans="1:5" ht="15.6">
      <c r="A9" s="2898"/>
      <c r="B9" s="2894" t="e">
        <f t="shared" ca="1" si="1"/>
        <v>#REF!</v>
      </c>
      <c r="C9" s="2893" t="s">
        <v>2993</v>
      </c>
      <c r="D9" s="2895"/>
      <c r="E9" s="2568" t="e">
        <f t="shared" ca="1" si="0"/>
        <v>#REF!</v>
      </c>
    </row>
    <row r="10" spans="1:5" ht="15.6">
      <c r="A10" s="2898"/>
      <c r="B10" s="2894" t="e">
        <f t="shared" ca="1" si="1"/>
        <v>#REF!</v>
      </c>
      <c r="C10" s="2893" t="s">
        <v>2993</v>
      </c>
      <c r="D10" s="2895"/>
      <c r="E10" s="2568" t="e">
        <f t="shared" ca="1" si="0"/>
        <v>#REF!</v>
      </c>
    </row>
    <row r="11" spans="1:5" ht="15.6">
      <c r="A11" s="2898"/>
      <c r="B11" s="2894" t="e">
        <f t="shared" ca="1" si="1"/>
        <v>#REF!</v>
      </c>
      <c r="C11" s="2893" t="s">
        <v>2993</v>
      </c>
      <c r="D11" s="2895"/>
      <c r="E11" s="2568" t="e">
        <f t="shared" ca="1" si="0"/>
        <v>#REF!</v>
      </c>
    </row>
    <row r="12" spans="1:5" ht="15.6">
      <c r="A12" s="2898"/>
      <c r="B12" s="2894" t="e">
        <f t="shared" ca="1" si="1"/>
        <v>#REF!</v>
      </c>
      <c r="C12" s="2893" t="s">
        <v>2993</v>
      </c>
      <c r="D12" s="2895"/>
      <c r="E12" s="2568" t="e">
        <f t="shared" ca="1" si="0"/>
        <v>#REF!</v>
      </c>
    </row>
    <row r="13" spans="1:5" ht="15.6">
      <c r="A13" s="2898"/>
      <c r="B13" s="2894" t="e">
        <f t="shared" ca="1" si="1"/>
        <v>#REF!</v>
      </c>
      <c r="C13" s="2893" t="s">
        <v>2993</v>
      </c>
      <c r="D13" s="289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421" t="s">
        <v>1146</v>
      </c>
      <c r="C1" s="3421"/>
      <c r="D1" s="3421"/>
      <c r="E1" s="3421"/>
      <c r="F1" s="3421"/>
      <c r="G1" s="3417" t="s">
        <v>1147</v>
      </c>
      <c r="H1" s="3417"/>
      <c r="I1" s="3417"/>
      <c r="J1" s="3417"/>
      <c r="K1" s="3417"/>
      <c r="L1" s="3417"/>
      <c r="N1" s="3417" t="s">
        <v>1148</v>
      </c>
      <c r="O1" s="3417"/>
      <c r="P1" s="3417"/>
      <c r="Q1" s="3417"/>
      <c r="R1" s="1443"/>
      <c r="S1" s="3417" t="s">
        <v>1149</v>
      </c>
      <c r="T1" s="3417"/>
      <c r="U1" s="3417"/>
      <c r="V1" s="3417"/>
      <c r="X1" s="3416" t="s">
        <v>1150</v>
      </c>
      <c r="Y1" s="3417"/>
      <c r="Z1" s="3417"/>
      <c r="AA1" s="3417"/>
      <c r="AB1" s="3417"/>
      <c r="AD1" s="3416" t="s">
        <v>1151</v>
      </c>
      <c r="AE1" s="3417"/>
      <c r="AF1" s="3417"/>
      <c r="AG1" s="3417"/>
      <c r="AH1" s="3417"/>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09" customFormat="1" ht="14.4">
      <c r="A3" s="2918" t="s">
        <v>3035</v>
      </c>
      <c r="B3" s="2910"/>
      <c r="C3" s="2910"/>
      <c r="D3" s="2911"/>
      <c r="E3" s="2911"/>
      <c r="F3" s="2910"/>
      <c r="G3" s="2912"/>
      <c r="H3" s="2913"/>
      <c r="I3" s="2914">
        <f>ROUND(AVERAGE($I4:$I26),2)</f>
        <v>2.06</v>
      </c>
      <c r="J3" s="2914">
        <f>ROUND(AVERAGE($J4:$J26),2)</f>
        <v>1.46</v>
      </c>
      <c r="K3" s="2914">
        <f>ROUND(AVERAGE($K4:$K26),2)</f>
        <v>2.2599999999999998</v>
      </c>
      <c r="L3" s="2914">
        <f>ROUND(AVERAGE($L4:$L26),2)</f>
        <v>1.4</v>
      </c>
      <c r="N3" s="2912"/>
      <c r="O3" s="2915"/>
      <c r="P3" s="2915"/>
      <c r="Q3" s="2915"/>
      <c r="R3" s="2915"/>
      <c r="S3" s="2912"/>
      <c r="T3" s="2915"/>
      <c r="U3" s="2915"/>
      <c r="V3" s="2915"/>
      <c r="W3" s="2907"/>
      <c r="X3" s="2916">
        <f>ROUND(SUMPRODUCT(PRODUCT(1+N3:N$25)),4)</f>
        <v>1.5189999999999999</v>
      </c>
      <c r="Y3" s="2916">
        <f>ROUND(SUMPRODUCT(PRODUCT(1+O3:O$25)),4)</f>
        <v>1.3423</v>
      </c>
      <c r="Z3" s="2916">
        <f t="shared" ref="Z3:Z23" si="0">Y3</f>
        <v>1.3423</v>
      </c>
      <c r="AA3" s="2916">
        <f>ROUND(SUMPRODUCT(PRODUCT(1+P3:P$25)),4)</f>
        <v>1.5782</v>
      </c>
      <c r="AB3" s="2916">
        <f>ROUND(SUMPRODUCT(PRODUCT(1+Q3:Q$25)),4)</f>
        <v>1.3405</v>
      </c>
      <c r="AD3" s="2917">
        <f>ROUND(AVERAGE(I3:I$26)/100,4)</f>
        <v>2.06E-2</v>
      </c>
      <c r="AE3" s="2917">
        <f>ROUND(AVERAGE(J3:J$26)/100,4)</f>
        <v>1.46E-2</v>
      </c>
      <c r="AF3" s="2917">
        <f t="shared" ref="AF3:AF24" si="1">AE3</f>
        <v>1.46E-2</v>
      </c>
      <c r="AG3" s="2917">
        <f>ROUND(AVERAGE(K3:K$26)/100,4)</f>
        <v>2.2599999999999999E-2</v>
      </c>
      <c r="AH3" s="2917">
        <f>ROUND(AVERAGE(L3:L$26)/100,4)</f>
        <v>1.4E-2</v>
      </c>
    </row>
    <row r="4" spans="1:34" s="1450" customFormat="1" ht="14.4">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8" thickBot="1">
      <c r="A5" s="1725" t="s">
        <v>3049</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3">
        <v>2019</v>
      </c>
      <c r="H5" s="1726">
        <v>2</v>
      </c>
      <c r="I5" s="2905">
        <v>0</v>
      </c>
      <c r="J5" s="2905">
        <v>0</v>
      </c>
      <c r="K5" s="2905">
        <v>0</v>
      </c>
      <c r="L5" s="2905">
        <v>0</v>
      </c>
      <c r="N5" s="1464">
        <f>I5/100</f>
        <v>0</v>
      </c>
      <c r="O5" s="1464">
        <f t="shared" ref="O5" si="7">J5/100</f>
        <v>0</v>
      </c>
      <c r="P5" s="1464">
        <f t="shared" ref="P5" si="8">K5/100</f>
        <v>0</v>
      </c>
      <c r="Q5" s="1464">
        <f t="shared" ref="Q5" si="9">L5/100</f>
        <v>0</v>
      </c>
      <c r="R5" s="1728"/>
      <c r="S5" s="1729"/>
      <c r="T5" s="1728"/>
      <c r="U5" s="1728"/>
      <c r="V5" s="1728"/>
      <c r="W5" s="2908" t="s">
        <v>3036</v>
      </c>
      <c r="X5" s="1722">
        <f>ROUND(IF(项目基本情况!B8="出让",SUMPRODUCT(PRODUCT(1+N5:N$26)),SUMPRODUCT(PRODUCT(1+N5:N$25))),4)</f>
        <v>1.5189999999999999</v>
      </c>
      <c r="Y5" s="1722">
        <f>ROUND(IF(项目基本情况!B8="出让",SUMPRODUCT(PRODUCT(1+O5:O$26)),SUMPRODUCT(PRODUCT(1+O5:O$25))),4)</f>
        <v>1.3423</v>
      </c>
      <c r="Z5" s="1722">
        <f t="shared" ref="Z5" si="10">Y5</f>
        <v>1.3423</v>
      </c>
      <c r="AA5" s="1722">
        <f>ROUND(IF(项目基本情况!B8="出让",SUMPRODUCT(PRODUCT(1+P5:P$26)),SUMPRODUCT(PRODUCT(1+P5:P$25))),4)</f>
        <v>1.5782</v>
      </c>
      <c r="AB5" s="1722">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8" thickBot="1">
      <c r="A6" s="1458" t="s">
        <v>3050</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2">
        <v>2019</v>
      </c>
      <c r="H6" s="1461">
        <v>1</v>
      </c>
      <c r="I6" s="2924">
        <v>0.6</v>
      </c>
      <c r="J6" s="2924">
        <v>0.37</v>
      </c>
      <c r="K6" s="2924">
        <v>0.63</v>
      </c>
      <c r="L6" s="2925">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3" customFormat="1">
      <c r="A7" s="1458" t="s">
        <v>3048</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419">
        <v>2018</v>
      </c>
      <c r="H7" s="1461">
        <v>4</v>
      </c>
      <c r="I7" s="2924">
        <v>0.96</v>
      </c>
      <c r="J7" s="2924">
        <v>1.03</v>
      </c>
      <c r="K7" s="2924">
        <v>0.92</v>
      </c>
      <c r="L7" s="2925">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3" customFormat="1" ht="14.4" customHeight="1">
      <c r="A8" s="1458" t="s">
        <v>3042</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419"/>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3" customFormat="1" ht="14.4" customHeight="1">
      <c r="A9" s="1458" t="s">
        <v>3041</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419"/>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3" customFormat="1" ht="15" customHeight="1" thickBot="1">
      <c r="A10" s="1458" t="s">
        <v>3034</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426"/>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8" t="s">
        <v>3031</v>
      </c>
      <c r="B11" s="1466">
        <v>439</v>
      </c>
      <c r="C11" s="1466">
        <v>327</v>
      </c>
      <c r="D11" s="1466">
        <f>C11</f>
        <v>327</v>
      </c>
      <c r="E11" s="1466">
        <v>627</v>
      </c>
      <c r="F11" s="1467">
        <v>283</v>
      </c>
      <c r="G11" s="3422">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 customHeight="1">
      <c r="A12" s="1458" t="s">
        <v>3032</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419"/>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419"/>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50"/>
      <c r="AD13" s="1785">
        <f>ROUND(AVERAGE(I13:I$26)/100,4)</f>
        <v>2.46E-2</v>
      </c>
      <c r="AE13" s="1785">
        <f>ROUND(AVERAGE(J13:J$26)/100,4)</f>
        <v>1.6E-2</v>
      </c>
      <c r="AF13" s="1785">
        <f t="shared" si="1"/>
        <v>1.6E-2</v>
      </c>
      <c r="AG13" s="1785">
        <f>ROUND(AVERAGE(K13:K$26)/100,4)</f>
        <v>2.75E-2</v>
      </c>
      <c r="AH13" s="1785">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426"/>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8" t="s">
        <v>154</v>
      </c>
      <c r="B15" s="1466">
        <v>392</v>
      </c>
      <c r="C15" s="1466">
        <v>302</v>
      </c>
      <c r="D15" s="1466">
        <f>C15</f>
        <v>302</v>
      </c>
      <c r="E15" s="1466">
        <v>553</v>
      </c>
      <c r="F15" s="1467">
        <v>266</v>
      </c>
      <c r="G15" s="3422">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419"/>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419"/>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8"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420"/>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8" thickBot="1">
      <c r="A19" s="1458" t="s">
        <v>151</v>
      </c>
      <c r="B19" s="1466">
        <v>333</v>
      </c>
      <c r="C19" s="1466">
        <v>277</v>
      </c>
      <c r="D19" s="1466">
        <f t="shared" si="87"/>
        <v>277</v>
      </c>
      <c r="E19" s="1466">
        <v>459</v>
      </c>
      <c r="F19" s="1467">
        <v>249</v>
      </c>
      <c r="G19" s="3418">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419"/>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419"/>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420"/>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8" thickBot="1">
      <c r="A23" s="1458" t="s">
        <v>147</v>
      </c>
      <c r="B23" s="1487">
        <v>318</v>
      </c>
      <c r="C23" s="1487">
        <v>268</v>
      </c>
      <c r="D23" s="1487">
        <f t="shared" si="87"/>
        <v>268</v>
      </c>
      <c r="E23" s="1487">
        <v>437</v>
      </c>
      <c r="F23" s="1488">
        <v>237</v>
      </c>
      <c r="G23" s="3418">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419"/>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8"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419"/>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8"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420"/>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8" t="s">
        <v>1159</v>
      </c>
      <c r="B27" s="1466">
        <v>299</v>
      </c>
      <c r="C27" s="1466">
        <v>252</v>
      </c>
      <c r="D27" s="1466">
        <f t="shared" si="87"/>
        <v>252</v>
      </c>
      <c r="E27" s="1466">
        <v>409</v>
      </c>
      <c r="F27" s="1467">
        <v>227</v>
      </c>
      <c r="G27" s="3423">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424"/>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424"/>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425"/>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8" thickBot="1">
      <c r="A31" s="1458" t="s">
        <v>1163</v>
      </c>
      <c r="B31" s="1508">
        <v>278</v>
      </c>
      <c r="C31" s="1508">
        <v>234</v>
      </c>
      <c r="D31" s="1508">
        <f t="shared" si="87"/>
        <v>234</v>
      </c>
      <c r="E31" s="1508">
        <v>379</v>
      </c>
      <c r="F31" s="1509">
        <v>220</v>
      </c>
      <c r="G31" s="3418">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419"/>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419"/>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8" thickBot="1">
      <c r="A34" s="1458" t="s">
        <v>1166</v>
      </c>
      <c r="B34" s="1474">
        <f>B33/(1+N33)</f>
        <v>275.19025476197027</v>
      </c>
      <c r="C34" s="1510">
        <v>232</v>
      </c>
      <c r="D34" s="1510">
        <f t="shared" si="87"/>
        <v>232</v>
      </c>
      <c r="E34" s="1474">
        <f t="shared" si="98"/>
        <v>375.65990977608692</v>
      </c>
      <c r="F34" s="1474">
        <f t="shared" si="98"/>
        <v>214.12518283971252</v>
      </c>
      <c r="G34" s="3420"/>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8" thickBot="1">
      <c r="A35" s="1458" t="s">
        <v>1167</v>
      </c>
      <c r="B35" s="1466">
        <v>275</v>
      </c>
      <c r="C35" s="1466">
        <v>232</v>
      </c>
      <c r="D35" s="1466">
        <f t="shared" si="87"/>
        <v>232</v>
      </c>
      <c r="E35" s="1466">
        <v>376</v>
      </c>
      <c r="F35" s="1467">
        <v>213</v>
      </c>
      <c r="G35" s="3418">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419">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419">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8"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420">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8" thickBot="1">
      <c r="A39" s="1458" t="s">
        <v>1171</v>
      </c>
      <c r="B39" s="1466">
        <v>269</v>
      </c>
      <c r="C39" s="1466">
        <v>221</v>
      </c>
      <c r="D39" s="1466">
        <f t="shared" si="87"/>
        <v>221</v>
      </c>
      <c r="E39" s="1466">
        <v>373</v>
      </c>
      <c r="F39" s="1467">
        <v>196</v>
      </c>
      <c r="G39" s="3418">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419">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419">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8"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420">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8" thickBot="1">
      <c r="A43" s="1458" t="s">
        <v>1175</v>
      </c>
      <c r="B43" s="1466">
        <v>220</v>
      </c>
      <c r="C43" s="1466">
        <v>187</v>
      </c>
      <c r="D43" s="1466">
        <f t="shared" si="87"/>
        <v>187</v>
      </c>
      <c r="E43" s="1466">
        <v>301</v>
      </c>
      <c r="F43" s="1467">
        <v>168</v>
      </c>
      <c r="G43" s="3418">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419">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419">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420">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8" thickBot="1">
      <c r="A47" s="1458" t="s">
        <v>1179</v>
      </c>
      <c r="B47" s="1508">
        <v>214</v>
      </c>
      <c r="C47" s="1508">
        <v>188</v>
      </c>
      <c r="D47" s="1508">
        <f t="shared" si="87"/>
        <v>188</v>
      </c>
      <c r="E47" s="1508">
        <v>289</v>
      </c>
      <c r="F47" s="1509">
        <v>166</v>
      </c>
      <c r="G47" s="3418">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419">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419">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8"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420">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8" thickBot="1">
      <c r="A51" s="1458" t="s">
        <v>1183</v>
      </c>
      <c r="B51" s="1466">
        <v>188</v>
      </c>
      <c r="C51" s="1466">
        <v>165</v>
      </c>
      <c r="D51" s="1466">
        <f t="shared" si="87"/>
        <v>165</v>
      </c>
      <c r="E51" s="1466">
        <v>254</v>
      </c>
      <c r="F51" s="1467">
        <v>148</v>
      </c>
      <c r="G51" s="3418">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419">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419">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420">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8" thickBot="1">
      <c r="A55" s="1458" t="s">
        <v>1187</v>
      </c>
      <c r="B55" s="1487">
        <v>159</v>
      </c>
      <c r="C55" s="1487">
        <v>141</v>
      </c>
      <c r="D55" s="1487">
        <f t="shared" si="87"/>
        <v>141</v>
      </c>
      <c r="E55" s="1487">
        <v>195</v>
      </c>
      <c r="F55" s="1488">
        <v>122</v>
      </c>
      <c r="G55" s="3418">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419">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419">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420">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8" thickBot="1">
      <c r="A59" s="1458" t="s">
        <v>1191</v>
      </c>
      <c r="B59" s="1487">
        <v>138</v>
      </c>
      <c r="C59" s="1487">
        <v>131</v>
      </c>
      <c r="D59" s="1487">
        <f t="shared" si="87"/>
        <v>131</v>
      </c>
      <c r="E59" s="1487">
        <v>155</v>
      </c>
      <c r="F59" s="1488">
        <v>114</v>
      </c>
      <c r="G59" s="3418">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419">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419">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420">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8" thickBot="1">
      <c r="A63" s="1458" t="s">
        <v>1195</v>
      </c>
      <c r="B63" s="1508">
        <v>121</v>
      </c>
      <c r="C63" s="1508">
        <v>122</v>
      </c>
      <c r="D63" s="1508">
        <f t="shared" si="87"/>
        <v>122</v>
      </c>
      <c r="E63" s="1508">
        <v>124</v>
      </c>
      <c r="F63" s="1509">
        <v>107</v>
      </c>
      <c r="G63" s="3418">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419">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419">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8"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420">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8" thickBot="1">
      <c r="A67" s="1458" t="s">
        <v>1199</v>
      </c>
      <c r="B67" s="1529">
        <v>111</v>
      </c>
      <c r="C67" s="1529">
        <v>114</v>
      </c>
      <c r="D67" s="1529">
        <f t="shared" si="87"/>
        <v>114</v>
      </c>
      <c r="E67" s="1529">
        <v>108</v>
      </c>
      <c r="F67" s="1530">
        <v>104</v>
      </c>
      <c r="G67" s="3418">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419">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419">
        <v>2003</v>
      </c>
      <c r="H69" s="1462">
        <v>2</v>
      </c>
      <c r="I69" s="1531"/>
      <c r="J69" s="1531"/>
      <c r="K69" s="1531"/>
      <c r="L69" s="1531"/>
      <c r="X69" s="1523"/>
      <c r="Y69" s="1523"/>
      <c r="Z69" s="1523"/>
    </row>
    <row r="70" spans="1:26" ht="13.8" thickBot="1">
      <c r="A70" s="1458" t="s">
        <v>1202</v>
      </c>
      <c r="B70" s="1533">
        <f t="shared" si="123"/>
        <v>107.25</v>
      </c>
      <c r="C70" s="1533">
        <f t="shared" si="123"/>
        <v>108.75</v>
      </c>
      <c r="D70" s="1533">
        <f t="shared" si="87"/>
        <v>108.75</v>
      </c>
      <c r="E70" s="1533">
        <f t="shared" si="124"/>
        <v>105.75</v>
      </c>
      <c r="F70" s="1533">
        <f t="shared" si="124"/>
        <v>102.5</v>
      </c>
      <c r="G70" s="3420">
        <v>2003</v>
      </c>
      <c r="H70" s="1534">
        <v>1</v>
      </c>
      <c r="I70" s="1531"/>
      <c r="J70" s="1531"/>
      <c r="K70" s="1531"/>
      <c r="L70" s="1531"/>
      <c r="S70" s="1469"/>
      <c r="T70" s="1470"/>
      <c r="U70" s="1470"/>
      <c r="X70" s="1523"/>
      <c r="Y70" s="1523"/>
      <c r="Z70" s="1523"/>
    </row>
    <row r="71" spans="1:26" ht="13.8" thickBot="1">
      <c r="A71" s="1458" t="s">
        <v>1203</v>
      </c>
      <c r="B71" s="1535">
        <v>106</v>
      </c>
      <c r="C71" s="1535">
        <v>107</v>
      </c>
      <c r="D71" s="1535">
        <f t="shared" si="87"/>
        <v>107</v>
      </c>
      <c r="E71" s="1535">
        <v>105</v>
      </c>
      <c r="F71" s="1536">
        <v>102</v>
      </c>
      <c r="G71" s="3418">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419">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419">
        <v>2002</v>
      </c>
      <c r="H73" s="1462">
        <v>2</v>
      </c>
      <c r="I73" s="1531"/>
      <c r="J73" s="1531"/>
      <c r="K73" s="1531"/>
      <c r="L73" s="1531"/>
      <c r="X73" s="1523"/>
      <c r="Y73" s="1523"/>
      <c r="Z73" s="1523"/>
    </row>
    <row r="74" spans="1:26" s="1495" customFormat="1" ht="13.8" thickBot="1">
      <c r="A74" s="1491" t="s">
        <v>1206</v>
      </c>
      <c r="B74" s="1537">
        <f t="shared" si="125"/>
        <v>103</v>
      </c>
      <c r="C74" s="1537">
        <f t="shared" si="125"/>
        <v>104</v>
      </c>
      <c r="D74" s="1537">
        <f t="shared" si="87"/>
        <v>104</v>
      </c>
      <c r="E74" s="1537">
        <f t="shared" si="126"/>
        <v>103.5</v>
      </c>
      <c r="F74" s="1537">
        <f t="shared" si="126"/>
        <v>100.5</v>
      </c>
      <c r="G74" s="3420">
        <v>2002</v>
      </c>
      <c r="H74" s="1538">
        <v>1</v>
      </c>
      <c r="I74" s="1539"/>
      <c r="J74" s="1539"/>
      <c r="K74" s="1539"/>
      <c r="L74" s="1539"/>
      <c r="N74" s="1540"/>
      <c r="S74" s="1540"/>
      <c r="X74" s="1541"/>
      <c r="Y74" s="1541"/>
      <c r="Z74" s="1541"/>
    </row>
    <row r="75" spans="1:26" ht="13.8"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8"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8"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3002</v>
      </c>
      <c r="C1" s="3428" t="s">
        <v>3003</v>
      </c>
      <c r="D1" s="3429"/>
      <c r="E1" s="3429"/>
      <c r="F1" s="3429"/>
      <c r="G1" s="3429"/>
      <c r="H1" s="3429"/>
      <c r="I1" s="3429"/>
      <c r="J1" s="3429"/>
      <c r="K1" s="3429"/>
      <c r="L1" s="3429"/>
      <c r="M1" s="3429"/>
      <c r="N1" s="3429"/>
      <c r="O1" s="3429"/>
      <c r="P1" s="3429"/>
      <c r="Q1" s="3429"/>
      <c r="R1" s="3429"/>
      <c r="S1" s="3430"/>
      <c r="T1" s="1201" t="s">
        <v>3004</v>
      </c>
    </row>
    <row r="2" spans="1:45" s="707" customFormat="1">
      <c r="A2" s="1202"/>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3006</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3007</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3008</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3009</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3010</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3011</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9" t="s">
        <v>3012</v>
      </c>
      <c r="B17" s="2900" t="s">
        <v>3013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1" t="s">
        <v>3014</v>
      </c>
      <c r="E19" s="1788"/>
      <c r="F19" s="1788"/>
      <c r="G19" s="1788"/>
      <c r="H19" s="1277"/>
      <c r="I19" s="168"/>
      <c r="J19" s="168"/>
      <c r="K19" s="168"/>
      <c r="L19" s="168"/>
      <c r="M19" s="168"/>
      <c r="N19" s="168"/>
      <c r="O19" s="168"/>
      <c r="P19" s="168"/>
      <c r="Q19" s="168"/>
      <c r="R19" s="788"/>
      <c r="S19" s="138"/>
    </row>
    <row r="20" spans="1:45" ht="16.2" thickBot="1">
      <c r="A20" s="715" t="s">
        <v>3015</v>
      </c>
      <c r="B20" s="338" t="e">
        <f ca="1">IF(D20="——",S22,S22-F20)</f>
        <v>#REF!</v>
      </c>
      <c r="C20" s="168"/>
      <c r="D20" s="2902" t="s">
        <v>3016</v>
      </c>
      <c r="E20" s="1789"/>
      <c r="F20" s="1201" t="e">
        <f ca="1">SUMIF(INDIRECT("'"&amp;H20&amp;"'"&amp;"!A:A"),"承租人权益价值",INDIRECT("'"&amp;H20&amp;"'"&amp;"!c:c"))</f>
        <v>#REF!</v>
      </c>
      <c r="G20" s="1201" t="s">
        <v>3017</v>
      </c>
      <c r="H20" s="2903"/>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205" t="s">
        <v>33</v>
      </c>
      <c r="D22" s="3206"/>
      <c r="E22" s="3206"/>
      <c r="F22" s="3206"/>
      <c r="G22" s="3206"/>
      <c r="H22" s="3206"/>
      <c r="I22" s="3206"/>
      <c r="J22" s="3206"/>
      <c r="K22" s="3206"/>
      <c r="L22" s="3206"/>
      <c r="M22" s="3206"/>
      <c r="N22" s="3206"/>
      <c r="O22" s="3206"/>
      <c r="P22" s="3206"/>
      <c r="Q22" s="342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28165</v>
      </c>
      <c r="C2" s="2" t="s">
        <v>133</v>
      </c>
      <c r="D2" s="243"/>
      <c r="E2" s="243"/>
      <c r="F2" s="243"/>
      <c r="G2" s="243"/>
    </row>
    <row r="3" spans="1:7" s="244" customFormat="1" ht="18" customHeight="1" thickBot="1">
      <c r="A3" s="247" t="s">
        <v>85</v>
      </c>
      <c r="B3" s="248">
        <f ca="1">ROUND(B2*10000/'数据-汇总表'!E3,0)</f>
        <v>3372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223</v>
      </c>
      <c r="D9" s="1029">
        <f>'数据-汇总表'!E5</f>
        <v>27841.09</v>
      </c>
      <c r="E9" s="269">
        <f>'数据-取费表'!B27</f>
        <v>80</v>
      </c>
      <c r="F9" s="265"/>
      <c r="G9" s="270"/>
    </row>
    <row r="10" spans="1:7" s="258" customFormat="1" ht="13.5" customHeight="1">
      <c r="A10" s="947" t="s">
        <v>801</v>
      </c>
      <c r="B10" s="268" t="s">
        <v>94</v>
      </c>
      <c r="C10" s="269">
        <f>ROUND(D10*E10/10000,0)</f>
        <v>612</v>
      </c>
      <c r="D10" s="1029">
        <f>'数据-汇总表'!E6</f>
        <v>55675.91</v>
      </c>
      <c r="E10" s="269">
        <f>'数据-取费表'!B28</f>
        <v>110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1670</v>
      </c>
      <c r="D19" s="1033">
        <f>'数据-汇总表'!E3</f>
        <v>83517</v>
      </c>
      <c r="E19" s="255">
        <f>'数据-取费表'!B31</f>
        <v>200</v>
      </c>
      <c r="F19" s="275"/>
      <c r="G19" s="1" t="s">
        <v>1071</v>
      </c>
    </row>
    <row r="20" spans="1:7" s="258" customFormat="1" ht="13.5" customHeight="1">
      <c r="A20" s="945" t="s">
        <v>1054</v>
      </c>
      <c r="B20" s="254" t="s">
        <v>104</v>
      </c>
      <c r="C20" s="276">
        <f>ROUND((C5+C19)*F20,0)</f>
        <v>446</v>
      </c>
      <c r="D20" s="276"/>
      <c r="E20" s="276"/>
      <c r="F20" s="277">
        <f>'数据-取费表'!B37</f>
        <v>0.02</v>
      </c>
      <c r="G20" s="1286" t="s">
        <v>1065</v>
      </c>
    </row>
    <row r="21" spans="1:7" s="258" customFormat="1" ht="13.5" customHeight="1">
      <c r="A21" s="945" t="s">
        <v>1056</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315</v>
      </c>
      <c r="D22" s="279">
        <f ca="1">C26</f>
        <v>2.0000000000000001E-4</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289</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23</v>
      </c>
      <c r="D24" s="282"/>
      <c r="E24" s="282"/>
      <c r="F24" s="283"/>
      <c r="G24" s="284" t="s">
        <v>109</v>
      </c>
    </row>
    <row r="25" spans="1:7" s="258" customFormat="1" ht="24">
      <c r="A25" s="948" t="s">
        <v>793</v>
      </c>
      <c r="B25" s="259" t="s">
        <v>1055</v>
      </c>
      <c r="C25" s="1352">
        <f ca="1">ROUND(IF('数据-取费表'!B22&lt;=1,C20*F22*'数据-取费表'!B23/2,C20*(POWER((1+F22),'数据-取费表'!B23/2)-1)),0)</f>
        <v>3</v>
      </c>
      <c r="D25" s="282"/>
      <c r="E25" s="285"/>
      <c r="F25" s="283"/>
      <c r="G25" s="286" t="s">
        <v>110</v>
      </c>
    </row>
    <row r="26" spans="1:7" s="258" customFormat="1">
      <c r="A26" s="948" t="s">
        <v>795</v>
      </c>
      <c r="B26" s="259" t="s">
        <v>1057</v>
      </c>
      <c r="C26" s="282">
        <f ca="1">ROUND(IF('数据-取费表'!B22&lt;=1,F21*F22*'数据-取费表'!B23/2,F21*(POWER((1+F22),'数据-取费表'!B23/2)-1)),4)</f>
        <v>2.0000000000000001E-4</v>
      </c>
      <c r="D26" s="282"/>
      <c r="E26" s="285"/>
      <c r="F26" s="283"/>
      <c r="G26" s="287"/>
    </row>
    <row r="27" spans="1:7" s="258" customFormat="1" ht="26.4">
      <c r="A27" s="945" t="s">
        <v>787</v>
      </c>
      <c r="B27" s="288" t="s">
        <v>112</v>
      </c>
      <c r="C27" s="289">
        <f>C28</f>
        <v>375</v>
      </c>
      <c r="D27" s="279">
        <f>C29</f>
        <v>5.0000000000000001E-4</v>
      </c>
      <c r="E27" s="280" t="s">
        <v>126</v>
      </c>
      <c r="F27" s="290">
        <f>'数据-取费表'!Q16</f>
        <v>0.11</v>
      </c>
      <c r="G27" s="291" t="s">
        <v>1066</v>
      </c>
    </row>
    <row r="28" spans="1:7" s="258" customFormat="1" ht="13.5" customHeight="1">
      <c r="A28" s="948" t="s">
        <v>794</v>
      </c>
      <c r="B28" s="292" t="s">
        <v>1059</v>
      </c>
      <c r="C28" s="293">
        <f>ROUND((C5+C19+C20)*F27*'数据-取费表'!B21/'数据-取费表'!B20,0)</f>
        <v>375</v>
      </c>
      <c r="D28" s="279"/>
      <c r="E28" s="280"/>
      <c r="F28" s="290"/>
      <c r="G28" s="291"/>
    </row>
    <row r="29" spans="1:7" s="258" customFormat="1" ht="13.5" customHeight="1">
      <c r="A29" s="948" t="s">
        <v>792</v>
      </c>
      <c r="B29" s="292" t="s">
        <v>1060</v>
      </c>
      <c r="C29" s="282">
        <f>ROUND(C21*F27*'数据-取费表'!B21/'数据-取费表'!B20,4)</f>
        <v>5.0000000000000001E-4</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25564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2084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1832</v>
      </c>
      <c r="D34" s="261"/>
      <c r="E34" s="264"/>
      <c r="F34" s="301">
        <f>IF('数据-取费表'!B24=0,1,'数据-取费表'!N16)</f>
        <v>9.4E-2</v>
      </c>
      <c r="G34" s="263" t="s">
        <v>116</v>
      </c>
    </row>
    <row r="35" spans="1:7" ht="13.5" customHeight="1">
      <c r="A35" s="948" t="s">
        <v>796</v>
      </c>
      <c r="B35" s="259" t="s">
        <v>60</v>
      </c>
      <c r="C35" s="264">
        <f>ROUND(C34*F35,0)</f>
        <v>55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v>
      </c>
      <c r="D36" s="264"/>
      <c r="E36" s="264"/>
      <c r="F36" s="303">
        <f>'数据-取费表'!B34</f>
        <v>0.05</v>
      </c>
      <c r="G36" s="304" t="s">
        <v>62</v>
      </c>
    </row>
    <row r="37" spans="1:7" s="302" customFormat="1" ht="13.5" customHeight="1">
      <c r="A37" s="948" t="s">
        <v>798</v>
      </c>
      <c r="B37" s="259" t="s">
        <v>118</v>
      </c>
      <c r="C37" s="293">
        <f>ROUND(E37*D37*F34/10000,0)</f>
        <v>157</v>
      </c>
      <c r="D37" s="261">
        <f>'数据-汇总表'!E3</f>
        <v>83517</v>
      </c>
      <c r="E37" s="293">
        <f>'数据-取费表'!B35</f>
        <v>200</v>
      </c>
      <c r="F37" s="303"/>
      <c r="G37" s="305" t="s">
        <v>119</v>
      </c>
    </row>
    <row r="38" spans="1:7" ht="13.5" customHeight="1">
      <c r="A38" s="948" t="s">
        <v>799</v>
      </c>
      <c r="B38" s="259" t="s">
        <v>63</v>
      </c>
      <c r="C38" s="264">
        <f>ROUND(C34*F38,0)</f>
        <v>27</v>
      </c>
      <c r="D38" s="264"/>
      <c r="E38" s="264"/>
      <c r="F38" s="303">
        <f>'数据-取费表'!B36</f>
        <v>1.4999999999999999E-2</v>
      </c>
      <c r="G38" s="263" t="s">
        <v>117</v>
      </c>
    </row>
    <row r="39" spans="1:7" s="258" customFormat="1" ht="13.5" customHeight="1">
      <c r="A39" s="945" t="s">
        <v>783</v>
      </c>
      <c r="B39" s="254" t="s">
        <v>104</v>
      </c>
      <c r="C39" s="276">
        <f>ROUND(C33*F20,0)</f>
        <v>42</v>
      </c>
      <c r="D39" s="276"/>
      <c r="E39" s="276"/>
      <c r="F39" s="277"/>
      <c r="G39" s="1286" t="s">
        <v>1068</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15</v>
      </c>
      <c r="D41" s="279">
        <f ca="1">C44</f>
        <v>2.0000000000000001E-4</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15</v>
      </c>
      <c r="D42" s="282"/>
      <c r="E42" s="282"/>
      <c r="F42" s="283"/>
      <c r="G42" s="3290" t="s">
        <v>121</v>
      </c>
    </row>
    <row r="43" spans="1:7" ht="13.5" customHeight="1">
      <c r="A43" s="948" t="s">
        <v>792</v>
      </c>
      <c r="B43" s="259" t="s">
        <v>1061</v>
      </c>
      <c r="C43" s="282">
        <f ca="1">ROUND(IF('数据-取费表'!B22&lt;=1,C39*F22*'数据-取费表'!B21/2,C39*(POWER((1+F22),'数据-取费表'!B21/2)-1)),0)</f>
        <v>0</v>
      </c>
      <c r="D43" s="282"/>
      <c r="E43" s="282"/>
      <c r="F43" s="283"/>
      <c r="G43" s="3291"/>
    </row>
    <row r="44" spans="1:7" ht="13.5" customHeight="1">
      <c r="A44" s="948" t="s">
        <v>793</v>
      </c>
      <c r="B44" s="259" t="s">
        <v>1063</v>
      </c>
      <c r="C44" s="282">
        <f ca="1">ROUND(IF('数据-取费表'!B22&lt;=1,C40*F22*'数据-取费表'!B21/2,C40*(POWER((1+F22),'数据-取费表'!B21/2)-1)),4)</f>
        <v>2.0000000000000001E-4</v>
      </c>
      <c r="D44" s="282"/>
      <c r="E44" s="282"/>
      <c r="F44" s="283"/>
      <c r="G44" s="3292"/>
    </row>
    <row r="45" spans="1:7" s="258" customFormat="1" ht="13.5" customHeight="1">
      <c r="A45" s="945" t="s">
        <v>786</v>
      </c>
      <c r="B45" s="288" t="s">
        <v>112</v>
      </c>
      <c r="C45" s="289">
        <f>C46</f>
        <v>234</v>
      </c>
      <c r="D45" s="279">
        <f>C47</f>
        <v>3.3E-3</v>
      </c>
      <c r="E45" s="280" t="s">
        <v>129</v>
      </c>
      <c r="F45" s="290"/>
      <c r="G45" s="291" t="s">
        <v>1069</v>
      </c>
    </row>
    <row r="46" spans="1:7" s="258" customFormat="1" ht="13.5" customHeight="1">
      <c r="A46" s="948" t="s">
        <v>794</v>
      </c>
      <c r="B46" s="292" t="s">
        <v>1062</v>
      </c>
      <c r="C46" s="293">
        <f>ROUND((C33+C39)*F27,0)</f>
        <v>234</v>
      </c>
      <c r="D46" s="307"/>
      <c r="E46" s="280"/>
      <c r="F46" s="290"/>
      <c r="G46" s="291"/>
    </row>
    <row r="47" spans="1:7" s="258" customFormat="1" ht="13.5" customHeight="1">
      <c r="A47" s="948" t="s">
        <v>792</v>
      </c>
      <c r="B47" s="292" t="s">
        <v>1064</v>
      </c>
      <c r="C47" s="282">
        <f>ROUND(C40*F27,4)</f>
        <v>3.3E-3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2601</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2601</v>
      </c>
      <c r="D51" s="276"/>
      <c r="E51" s="276"/>
      <c r="F51" s="308"/>
      <c r="G51" s="278" t="s">
        <v>64</v>
      </c>
    </row>
    <row r="52" spans="1:7" s="252" customFormat="1" ht="16.8" thickBot="1">
      <c r="A52" s="309" t="s">
        <v>65</v>
      </c>
      <c r="B52" s="310"/>
      <c r="C52" s="311">
        <f ca="1">C31+C51</f>
        <v>28165</v>
      </c>
      <c r="D52" s="310"/>
      <c r="E52" s="310"/>
      <c r="F52" s="310"/>
      <c r="G52" s="312"/>
    </row>
    <row r="55" spans="1:7" ht="15">
      <c r="B55" s="314" t="s">
        <v>66</v>
      </c>
      <c r="C55" s="315"/>
    </row>
    <row r="56" spans="1:7">
      <c r="B56" s="317" t="s">
        <v>67</v>
      </c>
      <c r="C56" s="318">
        <f ca="1">ROUND(C51/C52,3)</f>
        <v>9.1999999999999998E-2</v>
      </c>
    </row>
    <row r="57" spans="1:7">
      <c r="B57" s="317" t="s">
        <v>68</v>
      </c>
      <c r="C57" s="319">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431" t="s">
        <v>156</v>
      </c>
      <c r="B1" s="3431"/>
      <c r="C1" s="3431"/>
      <c r="D1" s="3431"/>
      <c r="E1" s="3431"/>
      <c r="F1" s="343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432" t="s">
        <v>169</v>
      </c>
      <c r="B2" s="3432"/>
      <c r="C2" s="3432"/>
      <c r="D2" s="3432"/>
      <c r="E2" s="3432"/>
      <c r="F2" s="343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3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3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431" t="s">
        <v>868</v>
      </c>
      <c r="B1" s="3431"/>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43629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4" sqref="A34:I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t="s">
        <v>1373</v>
      </c>
      <c r="D1" s="1816" t="s">
        <v>3193</v>
      </c>
      <c r="E1" s="1817" t="s">
        <v>1383</v>
      </c>
      <c r="F1" s="1280">
        <f ca="1">J53</f>
        <v>28.61</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5898</v>
      </c>
      <c r="C2" s="1841" t="s">
        <v>1512</v>
      </c>
      <c r="D2" s="1841"/>
      <c r="E2" s="1842"/>
      <c r="F2" s="1843"/>
      <c r="G2" s="1844"/>
      <c r="H2" s="1836"/>
      <c r="I2" s="1836"/>
      <c r="J2" s="1836"/>
      <c r="K2" s="1837"/>
      <c r="L2" s="1836"/>
      <c r="M2" s="1836"/>
    </row>
    <row r="3" spans="1:37" ht="18" customHeight="1" thickBot="1">
      <c r="A3" s="1845" t="s">
        <v>1513</v>
      </c>
      <c r="B3" s="1846">
        <f ca="1">IF(ISERROR(B2*10000/F43),0,ROUND(B2*10000/F43,0))</f>
        <v>19862</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390</v>
      </c>
      <c r="D5" s="1818" t="s">
        <v>1398</v>
      </c>
      <c r="E5" s="1290"/>
      <c r="F5" s="1291"/>
      <c r="G5" s="1847"/>
      <c r="H5" s="344">
        <v>1</v>
      </c>
      <c r="I5" s="345" t="s">
        <v>1397</v>
      </c>
      <c r="J5" s="1289">
        <f ca="1">J6+J10+J12</f>
        <v>0</v>
      </c>
      <c r="K5" s="1818" t="s">
        <v>1398</v>
      </c>
      <c r="L5" s="1290"/>
      <c r="M5" s="1291"/>
    </row>
    <row r="6" spans="1:37" ht="18" customHeight="1">
      <c r="A6" s="1288" t="s">
        <v>1032</v>
      </c>
      <c r="B6" s="3336" t="s">
        <v>1399</v>
      </c>
      <c r="C6" s="1293">
        <f ca="1">ROUND(F6*F8*F7*(1-F9)/10000,0)</f>
        <v>390</v>
      </c>
      <c r="D6" s="164" t="s">
        <v>3029</v>
      </c>
      <c r="E6" s="347" t="s">
        <v>1401</v>
      </c>
      <c r="F6" s="348">
        <f ca="1">INDIRECT("'数据-取费表'!u"&amp;$G$1)</f>
        <v>4</v>
      </c>
      <c r="G6" s="1847"/>
      <c r="H6" s="1288" t="s">
        <v>1032</v>
      </c>
      <c r="I6" s="3336" t="s">
        <v>1399</v>
      </c>
      <c r="J6" s="346">
        <f ca="1">ROUND(M6*M8*M7*(1-M9)/10000,0)</f>
        <v>0</v>
      </c>
      <c r="K6" s="164" t="s">
        <v>3028</v>
      </c>
      <c r="L6" s="347" t="s">
        <v>1401</v>
      </c>
      <c r="M6" s="348">
        <f ca="1">INDIRECT("'数据-取费表'!z"&amp;$G$1)</f>
        <v>0</v>
      </c>
    </row>
    <row r="7" spans="1:37" ht="18" customHeight="1">
      <c r="A7" s="1292"/>
      <c r="B7" s="3337"/>
      <c r="C7" s="1294"/>
      <c r="D7" s="352"/>
      <c r="E7" s="1295" t="s">
        <v>1402</v>
      </c>
      <c r="F7" s="348">
        <f ca="1">IF(INDIRECT("'数据-取费表'!ah"&amp;$G$1)="",INDIRECT("'数据-取费表'!k"&amp;$G$1),INDIRECT("'数据-取费表'!ah"&amp;$G$1))</f>
        <v>2969.42</v>
      </c>
      <c r="G7" s="1847"/>
      <c r="H7" s="349"/>
      <c r="I7" s="3337"/>
      <c r="J7" s="351"/>
      <c r="K7" s="352"/>
      <c r="L7" s="347" t="s">
        <v>1402</v>
      </c>
      <c r="M7" s="348">
        <f ca="1">F7</f>
        <v>2969.42</v>
      </c>
    </row>
    <row r="8" spans="1:37" ht="18" customHeight="1">
      <c r="A8" s="349"/>
      <c r="B8" s="3337"/>
      <c r="C8" s="351"/>
      <c r="D8" s="352"/>
      <c r="E8" s="347" t="s">
        <v>1403</v>
      </c>
      <c r="F8" s="348">
        <f ca="1">INDIRECT("'数据-取费表'!ai"&amp;$G$1)</f>
        <v>365</v>
      </c>
      <c r="G8" s="1847"/>
      <c r="H8" s="349"/>
      <c r="I8" s="3337"/>
      <c r="J8" s="351"/>
      <c r="K8" s="352"/>
      <c r="L8" s="347" t="s">
        <v>1403</v>
      </c>
      <c r="M8" s="348">
        <f ca="1">INDIRECT("'数据-取费表'!ai"&amp;$G$1)</f>
        <v>365</v>
      </c>
    </row>
    <row r="9" spans="1:37" ht="18" customHeight="1">
      <c r="A9" s="349"/>
      <c r="B9" s="3338"/>
      <c r="C9" s="351"/>
      <c r="D9" s="352"/>
      <c r="E9" s="347" t="s">
        <v>1404</v>
      </c>
      <c r="F9" s="357">
        <f ca="1">INDIRECT("'数据-取费表'!w"&amp;$G$1)</f>
        <v>0.1</v>
      </c>
      <c r="G9" s="1847"/>
      <c r="H9" s="349"/>
      <c r="I9" s="3338"/>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3038</v>
      </c>
      <c r="E10" s="358" t="s">
        <v>1406</v>
      </c>
      <c r="F10" s="1363" t="s">
        <v>3470</v>
      </c>
      <c r="G10" s="1847"/>
      <c r="H10" s="1288" t="s">
        <v>1036</v>
      </c>
      <c r="I10" s="1819" t="s">
        <v>1405</v>
      </c>
      <c r="J10" s="346">
        <f ca="1">ROUND(IF(M10="押一",J6/12*M11,IF(M10="押二",J6/12*2*M11,IF(M10="押三",J6/12*3*M11,J11*M11))),0)</f>
        <v>0</v>
      </c>
      <c r="K10" s="1820" t="s">
        <v>3037</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1238</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742</v>
      </c>
      <c r="D14" s="1796" t="s">
        <v>1414</v>
      </c>
      <c r="E14" s="1790"/>
      <c r="F14" s="364"/>
      <c r="G14" s="1847"/>
      <c r="H14" s="1198" t="s">
        <v>1032</v>
      </c>
      <c r="I14" s="347" t="s">
        <v>1415</v>
      </c>
      <c r="J14" s="24">
        <f ca="1">C29</f>
        <v>1238</v>
      </c>
      <c r="K14" s="15"/>
      <c r="L14" s="976"/>
      <c r="M14" s="977"/>
    </row>
    <row r="15" spans="1:37" s="1854" customFormat="1" ht="18" customHeight="1" thickBot="1">
      <c r="A15" s="1198" t="s">
        <v>1033</v>
      </c>
      <c r="B15" s="347" t="s">
        <v>1416</v>
      </c>
      <c r="C15" s="24">
        <f ca="1">ROUND(C14*F15,0)</f>
        <v>22</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30</v>
      </c>
      <c r="K16" s="1334" t="s">
        <v>1421</v>
      </c>
      <c r="L16" s="1335"/>
      <c r="M16" s="1291"/>
    </row>
    <row r="17" spans="1:37" s="1854" customFormat="1" ht="18" customHeight="1">
      <c r="A17" s="1198" t="s">
        <v>1386</v>
      </c>
      <c r="B17" s="347" t="s">
        <v>1422</v>
      </c>
      <c r="C17" s="24">
        <f ca="1">ROUND(F17*(F43+INDIRECT("'数据-取费表'!S"&amp;$G$1))/10000,0)</f>
        <v>74</v>
      </c>
      <c r="D17" s="347" t="s">
        <v>1423</v>
      </c>
      <c r="E17" s="347" t="s">
        <v>1424</v>
      </c>
      <c r="F17" s="26">
        <f>'数据-取费表'!B35</f>
        <v>200</v>
      </c>
      <c r="G17" s="1850"/>
      <c r="H17" s="1198" t="s">
        <v>1032</v>
      </c>
      <c r="I17" s="347" t="s">
        <v>1425</v>
      </c>
      <c r="J17" s="24">
        <f ca="1">ROUND(IF(项目基本情况!B11="自然人",J5*M17,J18+J19+J20),1)</f>
        <v>11.7</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11</v>
      </c>
      <c r="D18" s="347" t="s">
        <v>1417</v>
      </c>
      <c r="E18" s="347" t="s">
        <v>1418</v>
      </c>
      <c r="F18" s="367">
        <f>'数据-取费表'!B36</f>
        <v>1.4999999999999999E-2</v>
      </c>
      <c r="G18" s="1850"/>
      <c r="H18" s="1198" t="s">
        <v>1031</v>
      </c>
      <c r="I18" s="347" t="s">
        <v>1429</v>
      </c>
      <c r="J18" s="24">
        <f ca="1">ROUND(J5*M18/(1+'数据-取费表'!C42),2)</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849</v>
      </c>
      <c r="D19" s="140" t="s">
        <v>1432</v>
      </c>
      <c r="E19" s="1814"/>
      <c r="F19" s="26"/>
      <c r="G19" s="1847"/>
      <c r="H19" s="1198" t="s">
        <v>1033</v>
      </c>
      <c r="I19" s="347" t="s">
        <v>1433</v>
      </c>
      <c r="J19" s="24">
        <f ca="1">IF(K19="按租金收入计税",ROUND(J5*M19,2),ROUND(C29*M19*0.7,2))</f>
        <v>10.4</v>
      </c>
      <c r="K19" s="1824" t="s">
        <v>1434</v>
      </c>
      <c r="L19" s="347" t="s">
        <v>1418</v>
      </c>
      <c r="M19" s="367">
        <f>IF(K19="按租金收入计税",'数据-取费表'!B51,'数据-取费表'!B50)</f>
        <v>1.2E-2</v>
      </c>
    </row>
    <row r="20" spans="1:37" s="1854" customFormat="1" ht="18" customHeight="1">
      <c r="A20" s="1198" t="s">
        <v>1036</v>
      </c>
      <c r="B20" s="347" t="s">
        <v>1435</v>
      </c>
      <c r="C20" s="24">
        <f ca="1">ROUND(C19*F20,0)</f>
        <v>17</v>
      </c>
      <c r="D20" s="369" t="s">
        <v>1436</v>
      </c>
      <c r="E20" s="347" t="s">
        <v>1418</v>
      </c>
      <c r="F20" s="367">
        <f>'数据-取费表'!B37</f>
        <v>0.02</v>
      </c>
      <c r="G20" s="1850"/>
      <c r="H20" s="1198" t="s">
        <v>1385</v>
      </c>
      <c r="I20" s="164" t="s">
        <v>1437</v>
      </c>
      <c r="J20" s="25">
        <f ca="1">ROUND(M20*M21/10000,2)</f>
        <v>1.32</v>
      </c>
      <c r="K20" s="370" t="s">
        <v>1438</v>
      </c>
      <c r="L20" s="347" t="s">
        <v>1439</v>
      </c>
      <c r="M20" s="371">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0.03</v>
      </c>
      <c r="G21" s="1850"/>
      <c r="H21" s="372"/>
      <c r="I21" s="356"/>
      <c r="J21" s="29"/>
      <c r="K21" s="373"/>
      <c r="L21" s="347" t="s">
        <v>1443</v>
      </c>
      <c r="M21" s="348">
        <f ca="1">INDIRECT("'数据-取费表'!r"&amp;$G$1)</f>
        <v>1649.3000000000002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ROUND(J14*M22,1)</f>
        <v>18.600000000000001</v>
      </c>
      <c r="K22" s="1794"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41</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1814"/>
      <c r="F25" s="26"/>
      <c r="G25" s="1847"/>
      <c r="H25" s="1326" t="s">
        <v>1028</v>
      </c>
      <c r="I25" s="1341" t="s">
        <v>1459</v>
      </c>
      <c r="J25" s="355">
        <f ca="1">J5-J16</f>
        <v>-30</v>
      </c>
      <c r="K25" s="1342" t="s">
        <v>1460</v>
      </c>
      <c r="L25" s="1343"/>
      <c r="M25" s="1344"/>
    </row>
    <row r="26" spans="1:37">
      <c r="A26" s="1198" t="s">
        <v>1031</v>
      </c>
      <c r="B26" s="347" t="s">
        <v>1461</v>
      </c>
      <c r="C26" s="24">
        <f ca="1">ROUND((C19+C20)*F26,0)</f>
        <v>217</v>
      </c>
      <c r="D26" s="369" t="s">
        <v>1462</v>
      </c>
      <c r="E26" s="358" t="s">
        <v>1463</v>
      </c>
      <c r="F26" s="357">
        <f ca="1">INDIRECT("'数据-取费表'!q"&amp;$G$1)</f>
        <v>0.25</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7.4999999999999997E-3</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1238</v>
      </c>
      <c r="D29" s="1339"/>
      <c r="E29" s="1337"/>
      <c r="F29" s="1340"/>
      <c r="G29" s="1850"/>
      <c r="H29" s="380" t="s">
        <v>1030</v>
      </c>
      <c r="I29" s="381" t="s">
        <v>1475</v>
      </c>
      <c r="J29" s="382">
        <f ca="1">ROUND(J26/(1+F40)^F41,0)</f>
        <v>0</v>
      </c>
      <c r="K29" s="383" t="s">
        <v>1476</v>
      </c>
      <c r="L29" s="384"/>
      <c r="M29" s="385">
        <f ca="1">INDIRECT("'数据-取费表'!k"&amp;$G$1)</f>
        <v>2969.42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93</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ROUND(IF(项目基本情况!B11="自然人",C5*F31,C32+C33+C34),1)</f>
        <v>68.900000000000006</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20.8</v>
      </c>
      <c r="D32" s="1794"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46.8</v>
      </c>
      <c r="D33" s="1824" t="s">
        <v>3194</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1.32</v>
      </c>
      <c r="D34" s="370" t="s">
        <v>1438</v>
      </c>
      <c r="E34" s="347" t="s">
        <v>1439</v>
      </c>
      <c r="F34" s="371">
        <f>'数据-取费表'!B52</f>
        <v>8</v>
      </c>
      <c r="G34" s="1847"/>
      <c r="H34" s="745"/>
      <c r="I34" s="1856"/>
      <c r="J34" s="1857"/>
      <c r="K34" s="1859"/>
      <c r="L34" s="1860"/>
      <c r="M34" s="1860"/>
    </row>
    <row r="35" spans="1:18" ht="18" customHeight="1">
      <c r="A35" s="1350"/>
      <c r="B35" s="1348"/>
      <c r="C35" s="29"/>
      <c r="D35" s="373"/>
      <c r="E35" s="347" t="s">
        <v>1443</v>
      </c>
      <c r="F35" s="348">
        <f ca="1">INDIRECT("'数据-取费表'!r"&amp;$G$1)</f>
        <v>1649.3000000000002</v>
      </c>
      <c r="G35" s="1847"/>
      <c r="H35" s="745"/>
      <c r="I35" s="1856"/>
      <c r="J35" s="1857"/>
      <c r="K35" s="1858"/>
      <c r="L35" s="1855"/>
      <c r="M35" s="1855"/>
    </row>
    <row r="36" spans="1:18" ht="18" customHeight="1">
      <c r="A36" s="1349" t="s">
        <v>1036</v>
      </c>
      <c r="B36" s="347" t="s">
        <v>1445</v>
      </c>
      <c r="C36" s="24">
        <f ca="1">ROUND(C29*F36,1)</f>
        <v>18.600000000000001</v>
      </c>
      <c r="D36" s="1794"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1.9</v>
      </c>
      <c r="D37" s="1794" t="s">
        <v>1450</v>
      </c>
      <c r="E37" s="347" t="s">
        <v>1451</v>
      </c>
      <c r="F37" s="376">
        <f ca="1">INDIRECT("'数据-取费表'!Al"&amp;$G$1)</f>
        <v>1.5E-3</v>
      </c>
      <c r="G37" s="1847"/>
      <c r="H37" s="1855"/>
      <c r="I37" s="1856"/>
      <c r="J37" s="1857"/>
      <c r="K37" s="751"/>
      <c r="L37" s="1855"/>
      <c r="M37" s="1855"/>
    </row>
    <row r="38" spans="1:18" ht="18" customHeight="1" thickBot="1">
      <c r="A38" s="1336" t="s">
        <v>1389</v>
      </c>
      <c r="B38" s="1337" t="s">
        <v>1435</v>
      </c>
      <c r="C38" s="1338">
        <f ca="1">ROUND(C5*F38,1)</f>
        <v>3.9</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5">
        <f ca="1">C5-C30</f>
        <v>297</v>
      </c>
      <c r="D39" s="1342" t="s">
        <v>1480</v>
      </c>
      <c r="E39" s="1343"/>
      <c r="F39" s="1344"/>
      <c r="G39" s="1847"/>
      <c r="H39" s="1855"/>
      <c r="I39" s="1856"/>
      <c r="J39" s="1857"/>
      <c r="K39" s="1861"/>
      <c r="L39" s="1855"/>
      <c r="M39" s="1855"/>
    </row>
    <row r="40" spans="1:18" ht="18" customHeight="1">
      <c r="A40" s="344" t="s">
        <v>1029</v>
      </c>
      <c r="B40" s="345" t="s">
        <v>1481</v>
      </c>
      <c r="C40" s="346">
        <f ca="1">ROUND(C39*(1-((1+F42)/(1+F40))^F41)/(F40-F42),0)</f>
        <v>5898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28.61</v>
      </c>
      <c r="G41" s="1847"/>
      <c r="H41" s="732"/>
      <c r="I41" s="1856"/>
      <c r="J41" s="1857"/>
      <c r="K41" s="751"/>
      <c r="L41" s="732"/>
      <c r="M41" s="732"/>
    </row>
    <row r="42" spans="1:18" ht="18" customHeight="1">
      <c r="A42" s="353"/>
      <c r="B42" s="354"/>
      <c r="C42" s="355"/>
      <c r="D42" s="373"/>
      <c r="E42" s="347" t="s">
        <v>1473</v>
      </c>
      <c r="F42" s="357">
        <f ca="1">INDIRECT("'数据-取费表'!v"&amp;$G$1)</f>
        <v>0.03</v>
      </c>
      <c r="G42" s="1847"/>
      <c r="H42" s="732"/>
      <c r="I42" s="1856"/>
      <c r="J42" s="1857"/>
      <c r="K42" s="751"/>
      <c r="L42" s="732"/>
      <c r="M42" s="732"/>
    </row>
    <row r="43" spans="1:18" ht="18" customHeight="1" thickBot="1">
      <c r="A43" s="380" t="s">
        <v>1030</v>
      </c>
      <c r="B43" s="381" t="s">
        <v>1483</v>
      </c>
      <c r="C43" s="382">
        <f ca="1">ROUND(C40*10000/F43,0)</f>
        <v>19862</v>
      </c>
      <c r="D43" s="383" t="s">
        <v>1484</v>
      </c>
      <c r="E43" s="384" t="s">
        <v>1485</v>
      </c>
      <c r="F43" s="385">
        <f ca="1">INDIRECT("'数据-取费表'!k"&amp;$G$1)</f>
        <v>2969.42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8" thickBot="1">
      <c r="A46" s="1866" t="s">
        <v>1516</v>
      </c>
      <c r="C46" s="1867">
        <f ca="1">C68-C40</f>
        <v>-7694</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2" t="s">
        <v>1392</v>
      </c>
      <c r="B47" s="1194" t="s">
        <v>1393</v>
      </c>
      <c r="C47" s="1364" t="s">
        <v>1394</v>
      </c>
      <c r="D47" s="1194" t="s">
        <v>1395</v>
      </c>
      <c r="E47" s="1276" t="s">
        <v>1396</v>
      </c>
      <c r="F47" s="1277"/>
      <c r="G47" s="792"/>
      <c r="I47" s="1876" t="s">
        <v>1522</v>
      </c>
      <c r="J47" s="1877" t="s">
        <v>3195</v>
      </c>
      <c r="K47" s="1878" t="s">
        <v>1523</v>
      </c>
      <c r="L47" s="1879">
        <f ca="1">INDIRECT("'数据-取费表'!d"&amp;$G$1)</f>
        <v>40</v>
      </c>
      <c r="M47" s="1834" t="str">
        <f>IF(ISNUMBER(FIND("住宅",C1)),"住宅","非住宅")</f>
        <v>非住宅</v>
      </c>
      <c r="O47" s="1880" t="s">
        <v>1037</v>
      </c>
      <c r="P47" s="1881" t="s">
        <v>1524</v>
      </c>
      <c r="Q47" s="1882">
        <f ca="1">C40+J29</f>
        <v>5898</v>
      </c>
      <c r="R47" s="1882" t="s">
        <v>1525</v>
      </c>
    </row>
    <row r="48" spans="1:18" s="1838" customFormat="1" ht="40.200000000000003" thickBot="1">
      <c r="A48" s="1357" t="s">
        <v>1132</v>
      </c>
      <c r="B48" s="345" t="s">
        <v>1397</v>
      </c>
      <c r="C48" s="1813">
        <f ca="1">C49+C53+C55</f>
        <v>0</v>
      </c>
      <c r="D48" s="1359"/>
      <c r="E48" s="1360"/>
      <c r="F48" s="1178"/>
      <c r="G48" s="792"/>
      <c r="H48" s="793"/>
      <c r="I48" s="1883" t="s">
        <v>1526</v>
      </c>
      <c r="J48" s="1884" t="s">
        <v>3196</v>
      </c>
      <c r="K48" s="1885" t="s">
        <v>1527</v>
      </c>
      <c r="L48" s="1886">
        <f ca="1">INDIRECT("'数据-取费表'!f"&amp;$G$1)</f>
        <v>30.31</v>
      </c>
      <c r="O48" s="1880" t="s">
        <v>1038</v>
      </c>
      <c r="P48" s="1881" t="s">
        <v>1528</v>
      </c>
      <c r="Q48" s="1882" t="str">
        <f ca="1">J60</f>
        <v>0</v>
      </c>
      <c r="R48" s="1882" t="s">
        <v>1529</v>
      </c>
    </row>
    <row r="49" spans="1:18" s="1838" customFormat="1" ht="13.8" thickBot="1">
      <c r="A49" s="1191" t="s">
        <v>1133</v>
      </c>
      <c r="B49" s="1825" t="s">
        <v>1486</v>
      </c>
      <c r="C49" s="1361">
        <f ca="1">ROUND(F49*F51*F50*(1-F52)/10000,0)</f>
        <v>0</v>
      </c>
      <c r="D49" s="1273" t="s">
        <v>3030</v>
      </c>
      <c r="E49" s="1826" t="s">
        <v>1487</v>
      </c>
      <c r="F49" s="1278"/>
      <c r="G49" s="1887"/>
      <c r="H49" s="793"/>
      <c r="I49" s="1883" t="s">
        <v>1530</v>
      </c>
      <c r="J49" s="1888">
        <v>2021</v>
      </c>
      <c r="K49" s="1885" t="s">
        <v>1531</v>
      </c>
      <c r="L49" s="1889"/>
      <c r="O49" s="1890" t="s">
        <v>1039</v>
      </c>
      <c r="P49" s="1881" t="s">
        <v>1532</v>
      </c>
      <c r="Q49" s="1882">
        <f ca="1">C29</f>
        <v>1238</v>
      </c>
      <c r="R49" s="1882" t="s">
        <v>1525</v>
      </c>
    </row>
    <row r="50" spans="1:18" s="1838" customFormat="1" ht="13.8" thickBot="1">
      <c r="A50" s="1192"/>
      <c r="B50" s="1195"/>
      <c r="C50" s="1365"/>
      <c r="D50" s="1169"/>
      <c r="E50" s="1274" t="s">
        <v>1402</v>
      </c>
      <c r="F50" s="1275">
        <f ca="1">F7</f>
        <v>2969.42</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8">
        <f ca="1">F8</f>
        <v>365</v>
      </c>
      <c r="I51" s="1894" t="s">
        <v>1536</v>
      </c>
      <c r="J51" s="1895">
        <f>IF(J49="",J50,J49+J50-YEAR('数据-取费表'!B2))</f>
        <v>62</v>
      </c>
      <c r="K51" s="1896" t="s">
        <v>1537</v>
      </c>
      <c r="L51" s="1897">
        <f ca="1">ROUND(-PV(INDIRECT("'数据-取费表'!h"&amp;$G$1),L48,(C39-C13*C76),0),0)</f>
        <v>2961</v>
      </c>
      <c r="M51" s="1898"/>
      <c r="O51" s="1890" t="s">
        <v>1041</v>
      </c>
      <c r="P51" s="1881" t="s">
        <v>1538</v>
      </c>
      <c r="Q51" s="1893">
        <f>J52</f>
        <v>0.09</v>
      </c>
      <c r="R51" s="1882"/>
    </row>
    <row r="52" spans="1:18" s="1838" customFormat="1" ht="13.8" thickBot="1">
      <c r="A52" s="1193"/>
      <c r="B52" s="1195"/>
      <c r="C52" s="1196"/>
      <c r="D52" s="1169"/>
      <c r="E52" s="1197" t="s">
        <v>1404</v>
      </c>
      <c r="F52" s="1272"/>
      <c r="I52" s="1899" t="s">
        <v>1539</v>
      </c>
      <c r="J52" s="1900">
        <v>0.09</v>
      </c>
      <c r="K52" s="1899" t="s">
        <v>1540</v>
      </c>
      <c r="L52" s="1900"/>
      <c r="O52" s="1890" t="s">
        <v>1042</v>
      </c>
      <c r="P52" s="1881" t="s">
        <v>1541</v>
      </c>
      <c r="Q52" s="1882">
        <f ca="1">J53</f>
        <v>28.61</v>
      </c>
      <c r="R52" s="1882" t="s">
        <v>1542</v>
      </c>
    </row>
    <row r="53" spans="1:18" s="1838" customFormat="1" ht="36.6" thickBot="1">
      <c r="A53" s="1402" t="s">
        <v>1134</v>
      </c>
      <c r="B53" s="1827" t="s">
        <v>1405</v>
      </c>
      <c r="C53" s="361">
        <f ca="1">ROUND(IF(F53="押一",C49/12*F11,IF(F53="押二",C49/12*2*F11,IF(F53="押三",C49/12*3*F11,C54*F11))),0)</f>
        <v>0</v>
      </c>
      <c r="D53" s="1820" t="s">
        <v>3037</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28.61</v>
      </c>
      <c r="K53" s="3339" t="s">
        <v>1544</v>
      </c>
      <c r="L53" s="3340"/>
      <c r="O53" s="1880" t="s">
        <v>1043</v>
      </c>
      <c r="P53" s="1881" t="s">
        <v>1545</v>
      </c>
      <c r="Q53" s="1882">
        <f ca="1">Q47+Q48</f>
        <v>5898</v>
      </c>
      <c r="R53" s="1882" t="s">
        <v>1044</v>
      </c>
    </row>
    <row r="54" spans="1:18" s="1838" customFormat="1" ht="24.6"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1238</v>
      </c>
      <c r="D56" s="1910"/>
      <c r="E56" s="1911"/>
      <c r="F56" s="1903"/>
      <c r="I56" s="1912" t="s">
        <v>1550</v>
      </c>
      <c r="J56" s="1913" t="s">
        <v>3167</v>
      </c>
      <c r="K56" s="1883" t="s">
        <v>1551</v>
      </c>
      <c r="L56" s="1886" t="str">
        <f ca="1">IF(L48&lt;J51,"——",L48-J53)</f>
        <v>——</v>
      </c>
      <c r="O56" s="1880" t="s">
        <v>1037</v>
      </c>
      <c r="P56" s="1881" t="s">
        <v>1524</v>
      </c>
      <c r="Q56" s="1882">
        <f ca="1">C40+J29</f>
        <v>5898</v>
      </c>
      <c r="R56" s="1882" t="s">
        <v>1525</v>
      </c>
    </row>
    <row r="57" spans="1:18" s="1838" customFormat="1" ht="24.6" thickBot="1">
      <c r="A57" s="1914"/>
      <c r="B57" s="1166" t="s">
        <v>1474</v>
      </c>
      <c r="C57" s="282">
        <f ca="1">C29</f>
        <v>1238</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126</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105.3</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IF(项目基本情况!B11="自然人","——",IF(D61="按租金收入计税",ROUND(C48*F61,2),IF(D61="按房产原值计税",ROUND(C57*F61*0.7,2),INDIRECT("'数据-取费表'!Aj"&amp;$G$1))))</f>
        <v>103.99</v>
      </c>
      <c r="D61" s="1824" t="s">
        <v>1434</v>
      </c>
      <c r="E61" s="1166" t="s">
        <v>1490</v>
      </c>
      <c r="F61" s="367">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IF(项目基本情况!B11="自然人","——",ROUND(F62*F63/10000,2))</f>
        <v>1.32</v>
      </c>
      <c r="D62" s="1181" t="s">
        <v>1493</v>
      </c>
      <c r="E62" s="1166" t="s">
        <v>1494</v>
      </c>
      <c r="F62" s="371">
        <f t="shared" si="0"/>
        <v>8</v>
      </c>
      <c r="I62" s="1925" t="s">
        <v>1566</v>
      </c>
      <c r="J62" s="1926" t="s">
        <v>1567</v>
      </c>
      <c r="K62" s="1926" t="s">
        <v>1568</v>
      </c>
      <c r="L62" s="1926" t="s">
        <v>1569</v>
      </c>
      <c r="M62" s="1927" t="s">
        <v>1570</v>
      </c>
      <c r="O62" s="1880" t="s">
        <v>1043</v>
      </c>
      <c r="P62" s="1881" t="s">
        <v>1571</v>
      </c>
      <c r="Q62" s="1882">
        <f ca="1">Q56+Q57</f>
        <v>5898</v>
      </c>
      <c r="R62" s="1882" t="s">
        <v>1044</v>
      </c>
    </row>
    <row r="63" spans="1:18" s="1838" customFormat="1" ht="13.8" thickBot="1">
      <c r="A63" s="372"/>
      <c r="B63" s="1172"/>
      <c r="C63" s="29"/>
      <c r="D63" s="1182"/>
      <c r="E63" s="1166" t="s">
        <v>1495</v>
      </c>
      <c r="F63" s="348">
        <f t="shared" ca="1" si="0"/>
        <v>1649.3000000000002</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ROUND(C57*F64,1)</f>
        <v>18.600000000000001</v>
      </c>
      <c r="D64" s="1180" t="s">
        <v>1498</v>
      </c>
      <c r="E64" s="1166"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1.9</v>
      </c>
      <c r="D65" s="1180" t="s">
        <v>1450</v>
      </c>
      <c r="E65" s="1166" t="s">
        <v>1451</v>
      </c>
      <c r="F65" s="376">
        <f t="shared" ca="1" si="0"/>
        <v>1.5E-3</v>
      </c>
      <c r="I65" s="1925" t="s">
        <v>1575</v>
      </c>
      <c r="J65" s="1926">
        <v>40</v>
      </c>
      <c r="K65" s="1926">
        <v>30</v>
      </c>
      <c r="L65" s="1926">
        <v>50</v>
      </c>
      <c r="M65" s="1928">
        <v>0.02</v>
      </c>
      <c r="O65" s="1880" t="s">
        <v>1037</v>
      </c>
      <c r="P65" s="1881" t="s">
        <v>1576</v>
      </c>
      <c r="Q65" s="1882">
        <f ca="1">C40+J29</f>
        <v>5898</v>
      </c>
      <c r="R65" s="1882" t="s">
        <v>1525</v>
      </c>
    </row>
    <row r="66" spans="1:18" s="1838" customFormat="1" ht="16.2" thickBot="1">
      <c r="A66" s="1198" t="s">
        <v>1500</v>
      </c>
      <c r="B66" s="1166" t="s">
        <v>1435</v>
      </c>
      <c r="C66" s="24">
        <f ca="1">ROUND(C48*F66,1)</f>
        <v>0</v>
      </c>
      <c r="D66" s="1180" t="s">
        <v>1501</v>
      </c>
      <c r="E66" s="1166" t="s">
        <v>1418</v>
      </c>
      <c r="F66" s="357">
        <f t="shared" ca="1" si="0"/>
        <v>0.01</v>
      </c>
      <c r="O66" s="1880" t="s">
        <v>1038</v>
      </c>
      <c r="P66" s="1881" t="s">
        <v>1554</v>
      </c>
      <c r="Q66" s="1882">
        <f ca="1">L60</f>
        <v>0</v>
      </c>
      <c r="R66" s="1882" t="s">
        <v>1577</v>
      </c>
    </row>
    <row r="67" spans="1:18" s="1838" customFormat="1" ht="24.6" thickBot="1">
      <c r="A67" s="1173" t="s">
        <v>1028</v>
      </c>
      <c r="B67" s="1183" t="s">
        <v>1459</v>
      </c>
      <c r="C67" s="361">
        <f ca="1">C48-C58</f>
        <v>-126</v>
      </c>
      <c r="D67" s="1179" t="s">
        <v>1460</v>
      </c>
      <c r="E67" s="1184"/>
      <c r="F67" s="1185"/>
      <c r="O67" s="1890" t="s">
        <v>1039</v>
      </c>
      <c r="P67" s="1881" t="s">
        <v>1558</v>
      </c>
      <c r="Q67" s="1929">
        <f ca="1">L51</f>
        <v>2961</v>
      </c>
      <c r="R67" s="1882" t="s">
        <v>1578</v>
      </c>
    </row>
    <row r="68" spans="1:18" s="1838" customFormat="1" ht="16.2" thickBot="1">
      <c r="A68" s="1163" t="s">
        <v>1029</v>
      </c>
      <c r="B68" s="1164" t="s">
        <v>1481</v>
      </c>
      <c r="C68" s="346">
        <f ca="1">ROUND(C67*(1-((1+F70)/(1+F68))^F69)/(F68-F70),0)</f>
        <v>-1796</v>
      </c>
      <c r="D68" s="1181" t="s">
        <v>1465</v>
      </c>
      <c r="E68" s="1166" t="s">
        <v>1466</v>
      </c>
      <c r="F68" s="357">
        <f ca="1">F40</f>
        <v>5.5E-2</v>
      </c>
      <c r="O68" s="1890" t="s">
        <v>1040</v>
      </c>
      <c r="P68" s="1930" t="s">
        <v>1579</v>
      </c>
      <c r="Q68" s="1882">
        <f ca="1">ROUND(Q69-Q70*Q71,0)</f>
        <v>192</v>
      </c>
      <c r="R68" s="1882" t="s">
        <v>1048</v>
      </c>
    </row>
    <row r="69" spans="1:18" s="1838" customFormat="1" ht="13.8" thickBot="1">
      <c r="A69" s="1167"/>
      <c r="B69" s="1168"/>
      <c r="C69" s="351"/>
      <c r="D69" s="1186" t="s">
        <v>1469</v>
      </c>
      <c r="E69" s="1166" t="s">
        <v>1470</v>
      </c>
      <c r="F69" s="379">
        <f ca="1">F41</f>
        <v>28.61</v>
      </c>
      <c r="O69" s="1890" t="s">
        <v>1045</v>
      </c>
      <c r="P69" s="1930" t="s">
        <v>1580</v>
      </c>
      <c r="Q69" s="1882">
        <f ca="1">C39</f>
        <v>297</v>
      </c>
      <c r="R69" s="1882" t="s">
        <v>1525</v>
      </c>
    </row>
    <row r="70" spans="1:18" s="1838" customFormat="1" ht="13.8" thickBot="1">
      <c r="A70" s="1170"/>
      <c r="B70" s="1171"/>
      <c r="C70" s="355"/>
      <c r="D70" s="1182"/>
      <c r="E70" s="1166" t="s">
        <v>1473</v>
      </c>
      <c r="F70" s="1272"/>
      <c r="O70" s="1890" t="s">
        <v>1046</v>
      </c>
      <c r="P70" s="1930" t="s">
        <v>1581</v>
      </c>
      <c r="Q70" s="1882">
        <f ca="1">C13</f>
        <v>1238</v>
      </c>
      <c r="R70" s="1882" t="s">
        <v>1525</v>
      </c>
    </row>
    <row r="71" spans="1:18" s="1838" customFormat="1" ht="13.8" thickBot="1">
      <c r="A71" s="1187" t="s">
        <v>1030</v>
      </c>
      <c r="B71" s="1188" t="s">
        <v>1483</v>
      </c>
      <c r="C71" s="382">
        <f ca="1">ROUND(C68*10000/F71,0)</f>
        <v>-6048</v>
      </c>
      <c r="D71" s="1189" t="s">
        <v>1484</v>
      </c>
      <c r="E71" s="1190" t="s">
        <v>1485</v>
      </c>
      <c r="F71" s="385">
        <f ca="1">F43</f>
        <v>2969.42</v>
      </c>
      <c r="O71" s="1890" t="s">
        <v>1047</v>
      </c>
      <c r="P71" s="1930" t="s">
        <v>1582</v>
      </c>
      <c r="Q71" s="1893">
        <f ca="1">C76</f>
        <v>8.5000000000000006E-2</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续建工期及建筑物耐用年限下的土地年期修正系数Kn</v>
      </c>
      <c r="Q74" s="1882" t="e">
        <f ca="1">L59</f>
        <v>#DIV/0!</v>
      </c>
      <c r="R74" s="1882" t="s">
        <v>1565</v>
      </c>
    </row>
    <row r="75" spans="1:18" ht="13.8" thickBot="1">
      <c r="A75" s="1838"/>
      <c r="B75" s="386" t="s">
        <v>1502</v>
      </c>
      <c r="C75" s="387">
        <f ca="1">ROUND(C13*C76,0)</f>
        <v>105</v>
      </c>
      <c r="D75" s="1838"/>
      <c r="E75" s="1838"/>
      <c r="F75" s="1838"/>
      <c r="K75" s="1864"/>
      <c r="L75" s="1838"/>
      <c r="O75" s="1880" t="s">
        <v>1043</v>
      </c>
      <c r="P75" s="1881" t="s">
        <v>1545</v>
      </c>
      <c r="Q75" s="1882">
        <f ca="1">Q65+Q66</f>
        <v>5898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0.64600000000000002</v>
      </c>
    </row>
    <row r="80" spans="1:18">
      <c r="B80" s="386" t="s">
        <v>1507</v>
      </c>
      <c r="C80" s="318">
        <f ca="1">ROUND(C75/C39,3)</f>
        <v>0.35399999999999998</v>
      </c>
    </row>
    <row r="81" spans="2:3">
      <c r="B81" s="314" t="s">
        <v>1508</v>
      </c>
      <c r="C81" s="282"/>
    </row>
    <row r="82" spans="2:3">
      <c r="B82" s="317" t="s">
        <v>1509</v>
      </c>
      <c r="C82" s="319">
        <f ca="1">1-C83</f>
        <v>0.79</v>
      </c>
    </row>
    <row r="83" spans="2:3">
      <c r="B83" s="317" t="s">
        <v>1510</v>
      </c>
      <c r="C83" s="318">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0" sqref="D3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t="s">
        <v>48</v>
      </c>
      <c r="D1" s="1816" t="s">
        <v>3193</v>
      </c>
      <c r="E1" s="1817" t="s">
        <v>1383</v>
      </c>
      <c r="F1" s="1280">
        <f ca="1">J53</f>
        <v>38.619999999999997</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10240</v>
      </c>
      <c r="C2" s="1841" t="s">
        <v>1512</v>
      </c>
      <c r="D2" s="1841"/>
      <c r="E2" s="1842"/>
      <c r="F2" s="1843"/>
      <c r="G2" s="1844"/>
      <c r="H2" s="1836"/>
      <c r="I2" s="1836"/>
      <c r="J2" s="1836"/>
      <c r="K2" s="1837"/>
      <c r="L2" s="1836"/>
      <c r="M2" s="1836"/>
    </row>
    <row r="3" spans="1:37" ht="18" customHeight="1" thickBot="1">
      <c r="A3" s="1845" t="s">
        <v>1513</v>
      </c>
      <c r="B3" s="1846">
        <f ca="1">IF(ISERROR(B2*10000/F43),0,ROUND(B2*10000/F43,0))</f>
        <v>2842</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710</v>
      </c>
      <c r="D5" s="1818" t="s">
        <v>1398</v>
      </c>
      <c r="E5" s="1290"/>
      <c r="F5" s="1291"/>
      <c r="G5" s="1847"/>
      <c r="H5" s="344">
        <v>1</v>
      </c>
      <c r="I5" s="345" t="s">
        <v>1397</v>
      </c>
      <c r="J5" s="1289">
        <f ca="1">J6+J10+J12</f>
        <v>0</v>
      </c>
      <c r="K5" s="1818" t="s">
        <v>1398</v>
      </c>
      <c r="L5" s="1290"/>
      <c r="M5" s="1291"/>
    </row>
    <row r="6" spans="1:37" ht="18" customHeight="1">
      <c r="A6" s="1288" t="s">
        <v>1032</v>
      </c>
      <c r="B6" s="3336" t="s">
        <v>1399</v>
      </c>
      <c r="C6" s="1293">
        <f ca="1">ROUND(F6*F8*F7*(1-F9)/10000,0)</f>
        <v>710</v>
      </c>
      <c r="D6" s="164" t="s">
        <v>3029</v>
      </c>
      <c r="E6" s="347" t="s">
        <v>1401</v>
      </c>
      <c r="F6" s="348">
        <f ca="1">INDIRECT("'数据-取费表'!u"&amp;$G$1)</f>
        <v>0.6</v>
      </c>
      <c r="G6" s="1847"/>
      <c r="H6" s="1288" t="s">
        <v>1032</v>
      </c>
      <c r="I6" s="3336" t="s">
        <v>1399</v>
      </c>
      <c r="J6" s="346">
        <f ca="1">ROUND(M6*M8*M7*(1-M9)/10000,0)</f>
        <v>0</v>
      </c>
      <c r="K6" s="164" t="s">
        <v>3028</v>
      </c>
      <c r="L6" s="347" t="s">
        <v>1401</v>
      </c>
      <c r="M6" s="348">
        <f ca="1">INDIRECT("'数据-取费表'!z"&amp;$G$1)</f>
        <v>0</v>
      </c>
    </row>
    <row r="7" spans="1:37" ht="18" customHeight="1">
      <c r="A7" s="1292"/>
      <c r="B7" s="3337"/>
      <c r="C7" s="1294"/>
      <c r="D7" s="352"/>
      <c r="E7" s="2950" t="s">
        <v>1402</v>
      </c>
      <c r="F7" s="348">
        <f ca="1">IF(INDIRECT("'数据-取费表'!ah"&amp;$G$1)="",INDIRECT("'数据-取费表'!k"&amp;$G$1),INDIRECT("'数据-取费表'!ah"&amp;$G$1))</f>
        <v>36026.980000000003</v>
      </c>
      <c r="G7" s="1847"/>
      <c r="H7" s="349"/>
      <c r="I7" s="3337"/>
      <c r="J7" s="351"/>
      <c r="K7" s="352"/>
      <c r="L7" s="347" t="s">
        <v>1402</v>
      </c>
      <c r="M7" s="348">
        <f ca="1">F7</f>
        <v>36026.980000000003</v>
      </c>
    </row>
    <row r="8" spans="1:37" ht="18" customHeight="1">
      <c r="A8" s="349"/>
      <c r="B8" s="3337"/>
      <c r="C8" s="351"/>
      <c r="D8" s="352"/>
      <c r="E8" s="347" t="s">
        <v>1403</v>
      </c>
      <c r="F8" s="348">
        <f ca="1">INDIRECT("'数据-取费表'!ai"&amp;$G$1)</f>
        <v>365</v>
      </c>
      <c r="G8" s="1847"/>
      <c r="H8" s="349"/>
      <c r="I8" s="3337"/>
      <c r="J8" s="351"/>
      <c r="K8" s="352"/>
      <c r="L8" s="347" t="s">
        <v>1403</v>
      </c>
      <c r="M8" s="348">
        <f ca="1">INDIRECT("'数据-取费表'!ai"&amp;$G$1)</f>
        <v>365</v>
      </c>
    </row>
    <row r="9" spans="1:37" ht="18" customHeight="1">
      <c r="A9" s="349"/>
      <c r="B9" s="3338"/>
      <c r="C9" s="351"/>
      <c r="D9" s="352"/>
      <c r="E9" s="347" t="s">
        <v>1404</v>
      </c>
      <c r="F9" s="357">
        <f ca="1">INDIRECT("'数据-取费表'!w"&amp;$G$1)</f>
        <v>0.1</v>
      </c>
      <c r="G9" s="1847"/>
      <c r="H9" s="349"/>
      <c r="I9" s="3338"/>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3037</v>
      </c>
      <c r="E10" s="358" t="s">
        <v>1406</v>
      </c>
      <c r="F10" s="1363"/>
      <c r="G10" s="1847"/>
      <c r="H10" s="1288" t="s">
        <v>1036</v>
      </c>
      <c r="I10" s="1819" t="s">
        <v>1405</v>
      </c>
      <c r="J10" s="346">
        <f ca="1">ROUND(IF(M10="押一",J6/12*M11,IF(M10="押二",J6/12*2*M11,IF(M10="押三",J6/12*3*M11,J11*M11))),0)</f>
        <v>0</v>
      </c>
      <c r="K10" s="1820" t="s">
        <v>3037</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12390</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9003</v>
      </c>
      <c r="D14" s="2944" t="s">
        <v>1414</v>
      </c>
      <c r="E14" s="2942"/>
      <c r="F14" s="364"/>
      <c r="G14" s="1847"/>
      <c r="H14" s="1198" t="s">
        <v>1032</v>
      </c>
      <c r="I14" s="347" t="s">
        <v>1415</v>
      </c>
      <c r="J14" s="24">
        <f ca="1">C29</f>
        <v>12390</v>
      </c>
      <c r="K14" s="2949"/>
      <c r="L14" s="976"/>
      <c r="M14" s="977"/>
    </row>
    <row r="15" spans="1:37" s="1854" customFormat="1" ht="18" customHeight="1" thickBot="1">
      <c r="A15" s="1198" t="s">
        <v>1033</v>
      </c>
      <c r="B15" s="347" t="s">
        <v>1416</v>
      </c>
      <c r="C15" s="24">
        <f ca="1">ROUND(C14*F15,0)</f>
        <v>270</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306</v>
      </c>
      <c r="K16" s="1334" t="s">
        <v>1421</v>
      </c>
      <c r="L16" s="2945"/>
      <c r="M16" s="1291"/>
    </row>
    <row r="17" spans="1:37" s="1854" customFormat="1" ht="18" customHeight="1">
      <c r="A17" s="1198" t="s">
        <v>1386</v>
      </c>
      <c r="B17" s="347" t="s">
        <v>1422</v>
      </c>
      <c r="C17" s="24">
        <f ca="1">ROUND(F17*(F43+INDIRECT("'数据-取费表'!S"&amp;$G$1))/10000,0)</f>
        <v>900</v>
      </c>
      <c r="D17" s="347" t="s">
        <v>1423</v>
      </c>
      <c r="E17" s="347" t="s">
        <v>1424</v>
      </c>
      <c r="F17" s="26">
        <f>'数据-取费表'!B35</f>
        <v>200</v>
      </c>
      <c r="G17" s="1850"/>
      <c r="H17" s="1198" t="s">
        <v>1032</v>
      </c>
      <c r="I17" s="347" t="s">
        <v>1425</v>
      </c>
      <c r="J17" s="24">
        <f ca="1">ROUND(IF(项目基本情况!B11="自然人",J5*M17,J18+J19+J20),1)</f>
        <v>120.1</v>
      </c>
      <c r="K17" s="2944" t="s">
        <v>1426</v>
      </c>
      <c r="L17" s="2943"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135</v>
      </c>
      <c r="D18" s="347" t="s">
        <v>1417</v>
      </c>
      <c r="E18" s="347" t="s">
        <v>1418</v>
      </c>
      <c r="F18" s="367">
        <f>'数据-取费表'!B36</f>
        <v>1.4999999999999999E-2</v>
      </c>
      <c r="G18" s="1850"/>
      <c r="H18" s="1198" t="s">
        <v>1031</v>
      </c>
      <c r="I18" s="347" t="s">
        <v>1429</v>
      </c>
      <c r="J18" s="24">
        <f ca="1">ROUND(J5*M18/(1+'数据-取费表'!C42),2)</f>
        <v>0</v>
      </c>
      <c r="K18" s="2943"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10308</v>
      </c>
      <c r="D19" s="140" t="s">
        <v>1432</v>
      </c>
      <c r="E19" s="2948"/>
      <c r="F19" s="26"/>
      <c r="G19" s="1847"/>
      <c r="H19" s="1198" t="s">
        <v>1033</v>
      </c>
      <c r="I19" s="347" t="s">
        <v>1433</v>
      </c>
      <c r="J19" s="24">
        <f ca="1">IF(K19="按租金收入计税",ROUND(J5*M19,2),ROUND(C29*M19*0.7,2))</f>
        <v>104.08</v>
      </c>
      <c r="K19" s="1824" t="s">
        <v>1434</v>
      </c>
      <c r="L19" s="347" t="s">
        <v>1418</v>
      </c>
      <c r="M19" s="367">
        <f>IF(K19="按租金收入计税",'数据-取费表'!B51,'数据-取费表'!B50)</f>
        <v>1.2E-2</v>
      </c>
    </row>
    <row r="20" spans="1:37" s="1854" customFormat="1" ht="18" customHeight="1">
      <c r="A20" s="1198" t="s">
        <v>1036</v>
      </c>
      <c r="B20" s="347" t="s">
        <v>1435</v>
      </c>
      <c r="C20" s="24">
        <f ca="1">ROUND(C19*F20,0)</f>
        <v>206</v>
      </c>
      <c r="D20" s="369" t="s">
        <v>1436</v>
      </c>
      <c r="E20" s="347" t="s">
        <v>1418</v>
      </c>
      <c r="F20" s="367">
        <f>'数据-取费表'!B37</f>
        <v>0.02</v>
      </c>
      <c r="G20" s="1850"/>
      <c r="H20" s="1198" t="s">
        <v>1385</v>
      </c>
      <c r="I20" s="164" t="s">
        <v>1437</v>
      </c>
      <c r="J20" s="25">
        <f ca="1">ROUND(M20*M21/10000,2)</f>
        <v>16.010000000000002</v>
      </c>
      <c r="K20" s="370" t="s">
        <v>1438</v>
      </c>
      <c r="L20" s="347" t="s">
        <v>1439</v>
      </c>
      <c r="M20" s="371">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v>
      </c>
      <c r="D21" s="369" t="s">
        <v>1441</v>
      </c>
      <c r="E21" s="347" t="s">
        <v>1442</v>
      </c>
      <c r="F21" s="367">
        <f>'数据-取费表'!B38</f>
        <v>0.03</v>
      </c>
      <c r="G21" s="1850"/>
      <c r="H21" s="372"/>
      <c r="I21" s="356"/>
      <c r="J21" s="29"/>
      <c r="K21" s="373"/>
      <c r="L21" s="347" t="s">
        <v>1443</v>
      </c>
      <c r="M21" s="348">
        <f ca="1">INDIRECT("'数据-取费表'!r"&amp;$G$1)</f>
        <v>20010.41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48"/>
      <c r="F22" s="26"/>
      <c r="G22" s="1847"/>
      <c r="H22" s="1198" t="s">
        <v>1036</v>
      </c>
      <c r="I22" s="347" t="s">
        <v>1445</v>
      </c>
      <c r="J22" s="24">
        <f ca="1">ROUND(J14*M22,1)</f>
        <v>185.9</v>
      </c>
      <c r="K22" s="2943"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500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2943"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48"/>
      <c r="F25" s="26"/>
      <c r="G25" s="1847"/>
      <c r="H25" s="1326" t="s">
        <v>1028</v>
      </c>
      <c r="I25" s="1341" t="s">
        <v>1459</v>
      </c>
      <c r="J25" s="355">
        <f ca="1">J5-J16</f>
        <v>-306</v>
      </c>
      <c r="K25" s="1342" t="s">
        <v>1460</v>
      </c>
      <c r="L25" s="1343"/>
      <c r="M25" s="1344"/>
    </row>
    <row r="26" spans="1:37">
      <c r="A26" s="1198" t="s">
        <v>1031</v>
      </c>
      <c r="B26" s="347" t="s">
        <v>1461</v>
      </c>
      <c r="C26" s="24">
        <f ca="1">ROUND((C19+C20)*F26,0)</f>
        <v>315</v>
      </c>
      <c r="D26" s="369" t="s">
        <v>1462</v>
      </c>
      <c r="E26" s="358" t="s">
        <v>1463</v>
      </c>
      <c r="F26" s="357">
        <f ca="1">INDIRECT("'数据-取费表'!q"&amp;$G$1)</f>
        <v>0.03</v>
      </c>
      <c r="G26" s="1847"/>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8.9999999999999998E-4</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12390</v>
      </c>
      <c r="D29" s="1339"/>
      <c r="E29" s="1337"/>
      <c r="F29" s="1340"/>
      <c r="G29" s="1850"/>
      <c r="H29" s="380" t="s">
        <v>1030</v>
      </c>
      <c r="I29" s="381" t="s">
        <v>1475</v>
      </c>
      <c r="J29" s="382">
        <f ca="1">ROUND(J26/(1+F40)^F41,0)</f>
        <v>0</v>
      </c>
      <c r="K29" s="383" t="s">
        <v>1476</v>
      </c>
      <c r="L29" s="384"/>
      <c r="M29" s="385">
        <f ca="1">INDIRECT("'数据-取费表'!k"&amp;$G$1)</f>
        <v>36026.980000000003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351</v>
      </c>
      <c r="D30" s="1334" t="s">
        <v>1421</v>
      </c>
      <c r="E30" s="2945"/>
      <c r="F30" s="1291"/>
      <c r="G30" s="1847"/>
      <c r="H30" s="745"/>
      <c r="I30" s="746"/>
      <c r="J30" s="747"/>
      <c r="K30" s="748"/>
      <c r="L30" s="749"/>
      <c r="M30" s="750"/>
    </row>
    <row r="31" spans="1:37" ht="18" customHeight="1">
      <c r="A31" s="1198" t="s">
        <v>1032</v>
      </c>
      <c r="B31" s="347" t="s">
        <v>1425</v>
      </c>
      <c r="C31" s="24">
        <f ca="1">ROUND(IF(项目基本情况!B11="自然人",C5*F31,C32+C33+C34),1)</f>
        <v>139.1</v>
      </c>
      <c r="D31" s="2944" t="s">
        <v>1426</v>
      </c>
      <c r="E31" s="2943"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37.869999999999997</v>
      </c>
      <c r="D32" s="2943"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85.2</v>
      </c>
      <c r="D33" s="1824" t="s">
        <v>3194</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16.010000000000002</v>
      </c>
      <c r="D34" s="370" t="s">
        <v>1438</v>
      </c>
      <c r="E34" s="347" t="s">
        <v>1439</v>
      </c>
      <c r="F34" s="371">
        <f>'数据-取费表'!B52</f>
        <v>8</v>
      </c>
      <c r="G34" s="1847"/>
      <c r="H34" s="745"/>
      <c r="I34" s="1856"/>
      <c r="J34" s="1857"/>
      <c r="K34" s="1859"/>
      <c r="L34" s="1860"/>
      <c r="M34" s="1860"/>
    </row>
    <row r="35" spans="1:18" ht="18" customHeight="1">
      <c r="A35" s="1350"/>
      <c r="B35" s="1348"/>
      <c r="C35" s="29"/>
      <c r="D35" s="373"/>
      <c r="E35" s="347" t="s">
        <v>1443</v>
      </c>
      <c r="F35" s="348">
        <f ca="1">INDIRECT("'数据-取费表'!r"&amp;$G$1)</f>
        <v>20010.41</v>
      </c>
      <c r="G35" s="1847"/>
      <c r="H35" s="745"/>
      <c r="I35" s="1856"/>
      <c r="J35" s="1857"/>
      <c r="K35" s="1858"/>
      <c r="L35" s="1855"/>
      <c r="M35" s="1855"/>
    </row>
    <row r="36" spans="1:18" ht="18" customHeight="1">
      <c r="A36" s="1349" t="s">
        <v>1036</v>
      </c>
      <c r="B36" s="347" t="s">
        <v>1445</v>
      </c>
      <c r="C36" s="24">
        <f ca="1">ROUND(C29*F36,1)</f>
        <v>185.9</v>
      </c>
      <c r="D36" s="2943"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18.600000000000001</v>
      </c>
      <c r="D37" s="2943" t="s">
        <v>1450</v>
      </c>
      <c r="E37" s="347" t="s">
        <v>1418</v>
      </c>
      <c r="F37" s="376">
        <f ca="1">INDIRECT("'数据-取费表'!Al"&amp;$G$1)</f>
        <v>1.5E-3</v>
      </c>
      <c r="G37" s="1847"/>
      <c r="H37" s="1855"/>
      <c r="I37" s="1856"/>
      <c r="J37" s="1857"/>
      <c r="K37" s="751"/>
      <c r="L37" s="1855"/>
      <c r="M37" s="1855"/>
    </row>
    <row r="38" spans="1:18" ht="18" customHeight="1" thickBot="1">
      <c r="A38" s="1336" t="s">
        <v>1388</v>
      </c>
      <c r="B38" s="1337" t="s">
        <v>1435</v>
      </c>
      <c r="C38" s="1338">
        <f ca="1">ROUND(C5*F38,1)</f>
        <v>7.1</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5">
        <f ca="1">C5-C30</f>
        <v>359</v>
      </c>
      <c r="D39" s="1342" t="s">
        <v>1460</v>
      </c>
      <c r="E39" s="1343"/>
      <c r="F39" s="1344"/>
      <c r="G39" s="1847"/>
      <c r="H39" s="1855"/>
      <c r="I39" s="1856"/>
      <c r="J39" s="1857"/>
      <c r="K39" s="1861"/>
      <c r="L39" s="1855"/>
      <c r="M39" s="1855"/>
    </row>
    <row r="40" spans="1:18" ht="18" customHeight="1">
      <c r="A40" s="344" t="s">
        <v>1029</v>
      </c>
      <c r="B40" s="345" t="s">
        <v>1481</v>
      </c>
      <c r="C40" s="346">
        <f ca="1">ROUND(C39*(1-((1+F42)/(1+F40))^F41)/(F40-F42),0)</f>
        <v>10240</v>
      </c>
      <c r="D40" s="370" t="s">
        <v>1465</v>
      </c>
      <c r="E40" s="347" t="s">
        <v>1466</v>
      </c>
      <c r="F40" s="357">
        <f ca="1">INDIRECT("'数据-取费表'!I"&amp;$G$1)</f>
        <v>4.4999999999999998E-2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38.619999999999997</v>
      </c>
      <c r="G41" s="1847"/>
      <c r="H41" s="732"/>
      <c r="I41" s="1856"/>
      <c r="J41" s="1857"/>
      <c r="K41" s="751"/>
      <c r="L41" s="732"/>
      <c r="M41" s="732"/>
    </row>
    <row r="42" spans="1:18" ht="18" customHeight="1">
      <c r="A42" s="353"/>
      <c r="B42" s="354"/>
      <c r="C42" s="355"/>
      <c r="D42" s="373"/>
      <c r="E42" s="347" t="s">
        <v>1473</v>
      </c>
      <c r="F42" s="357">
        <f ca="1">INDIRECT("'数据-取费表'!v"&amp;$G$1)</f>
        <v>0.03</v>
      </c>
      <c r="G42" s="1847"/>
      <c r="H42" s="732"/>
      <c r="I42" s="1856"/>
      <c r="J42" s="1857"/>
      <c r="K42" s="751"/>
      <c r="L42" s="732"/>
      <c r="M42" s="732"/>
    </row>
    <row r="43" spans="1:18" ht="18" customHeight="1" thickBot="1">
      <c r="A43" s="380" t="s">
        <v>1030</v>
      </c>
      <c r="B43" s="381" t="s">
        <v>1483</v>
      </c>
      <c r="C43" s="382">
        <f ca="1">ROUND(C40*10000/F43,0)</f>
        <v>2842</v>
      </c>
      <c r="D43" s="383" t="s">
        <v>1484</v>
      </c>
      <c r="E43" s="384" t="s">
        <v>1485</v>
      </c>
      <c r="F43" s="385">
        <f ca="1">INDIRECT("'数据-取费表'!k"&amp;$G$1)</f>
        <v>36026.980000000003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8" thickBot="1">
      <c r="A46" s="1866" t="s">
        <v>1516</v>
      </c>
      <c r="C46" s="1867">
        <f ca="1">C68-C40</f>
        <v>-33143</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2" t="s">
        <v>1392</v>
      </c>
      <c r="B47" s="1194" t="s">
        <v>1393</v>
      </c>
      <c r="C47" s="1364" t="s">
        <v>1394</v>
      </c>
      <c r="D47" s="1194" t="s">
        <v>1395</v>
      </c>
      <c r="E47" s="1276" t="s">
        <v>1396</v>
      </c>
      <c r="F47" s="1277"/>
      <c r="G47" s="792"/>
      <c r="I47" s="1876" t="s">
        <v>1522</v>
      </c>
      <c r="J47" s="1877" t="s">
        <v>3195</v>
      </c>
      <c r="K47" s="1878" t="s">
        <v>1523</v>
      </c>
      <c r="L47" s="1879">
        <f ca="1">INDIRECT("'数据-取费表'!d"&amp;$G$1)</f>
        <v>50</v>
      </c>
      <c r="M47" s="1834" t="str">
        <f>IF(ISNUMBER(FIND("住宅",C1)),"住宅","非住宅")</f>
        <v>非住宅</v>
      </c>
      <c r="O47" s="1880" t="s">
        <v>1037</v>
      </c>
      <c r="P47" s="1881" t="s">
        <v>1524</v>
      </c>
      <c r="Q47" s="1882">
        <f ca="1">C40+J29</f>
        <v>10240</v>
      </c>
      <c r="R47" s="1882" t="s">
        <v>1525</v>
      </c>
    </row>
    <row r="48" spans="1:18" s="1838" customFormat="1" ht="40.200000000000003" thickBot="1">
      <c r="A48" s="1357" t="s">
        <v>1132</v>
      </c>
      <c r="B48" s="345" t="s">
        <v>1397</v>
      </c>
      <c r="C48" s="2947">
        <f ca="1">C49+C53+C55</f>
        <v>0</v>
      </c>
      <c r="D48" s="1359"/>
      <c r="E48" s="1360"/>
      <c r="F48" s="1178"/>
      <c r="G48" s="792"/>
      <c r="H48" s="793"/>
      <c r="I48" s="1883" t="s">
        <v>1526</v>
      </c>
      <c r="J48" s="1884" t="s">
        <v>3196</v>
      </c>
      <c r="K48" s="1885" t="s">
        <v>1527</v>
      </c>
      <c r="L48" s="1886">
        <f ca="1">INDIRECT("'数据-取费表'!f"&amp;$G$1)</f>
        <v>40.32</v>
      </c>
      <c r="O48" s="1880" t="s">
        <v>1038</v>
      </c>
      <c r="P48" s="1881" t="s">
        <v>1528</v>
      </c>
      <c r="Q48" s="1882" t="str">
        <f ca="1">J60</f>
        <v>0</v>
      </c>
      <c r="R48" s="1882" t="s">
        <v>1529</v>
      </c>
    </row>
    <row r="49" spans="1:18" s="1838" customFormat="1" ht="13.8" thickBot="1">
      <c r="A49" s="1191" t="s">
        <v>1133</v>
      </c>
      <c r="B49" s="1825" t="s">
        <v>1486</v>
      </c>
      <c r="C49" s="1361">
        <f ca="1">ROUND(F49*F51*F50*(1-F52)/10000,0)</f>
        <v>0</v>
      </c>
      <c r="D49" s="1273" t="s">
        <v>3028</v>
      </c>
      <c r="E49" s="1826" t="s">
        <v>1487</v>
      </c>
      <c r="F49" s="1278"/>
      <c r="G49" s="1887"/>
      <c r="H49" s="793"/>
      <c r="I49" s="1883" t="s">
        <v>1530</v>
      </c>
      <c r="J49" s="1888">
        <v>2021</v>
      </c>
      <c r="K49" s="1885" t="s">
        <v>1531</v>
      </c>
      <c r="L49" s="1889"/>
      <c r="O49" s="1890" t="s">
        <v>1039</v>
      </c>
      <c r="P49" s="1881" t="s">
        <v>1532</v>
      </c>
      <c r="Q49" s="1882">
        <f ca="1">C29</f>
        <v>12390</v>
      </c>
      <c r="R49" s="1882" t="s">
        <v>1525</v>
      </c>
    </row>
    <row r="50" spans="1:18" s="1838" customFormat="1" ht="13.8" thickBot="1">
      <c r="A50" s="1192"/>
      <c r="B50" s="1195"/>
      <c r="C50" s="1365"/>
      <c r="D50" s="1169"/>
      <c r="E50" s="1274" t="s">
        <v>1402</v>
      </c>
      <c r="F50" s="1275">
        <f ca="1">F7</f>
        <v>36026.980000000003</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8">
        <f ca="1">F8</f>
        <v>365</v>
      </c>
      <c r="I51" s="1894" t="s">
        <v>1536</v>
      </c>
      <c r="J51" s="1895">
        <f>IF(J49="",J50,J49+J50-YEAR('数据-取费表'!B2))</f>
        <v>62</v>
      </c>
      <c r="K51" s="1896" t="s">
        <v>1537</v>
      </c>
      <c r="L51" s="1897">
        <f ca="1">ROUND(-PV(INDIRECT("'数据-取费表'!h"&amp;$G$1),L48,(C39-C13*C76),0),0)</f>
        <v>-13784</v>
      </c>
      <c r="M51" s="1898"/>
      <c r="O51" s="1890" t="s">
        <v>1041</v>
      </c>
      <c r="P51" s="1881" t="s">
        <v>1538</v>
      </c>
      <c r="Q51" s="1893">
        <f>J52</f>
        <v>0.09</v>
      </c>
      <c r="R51" s="1882"/>
    </row>
    <row r="52" spans="1:18" s="1838" customFormat="1" ht="13.8" thickBot="1">
      <c r="A52" s="1193"/>
      <c r="B52" s="1195"/>
      <c r="C52" s="1196"/>
      <c r="D52" s="1169"/>
      <c r="E52" s="1197" t="s">
        <v>1404</v>
      </c>
      <c r="F52" s="1272"/>
      <c r="I52" s="1899" t="s">
        <v>1539</v>
      </c>
      <c r="J52" s="1900">
        <v>0.09</v>
      </c>
      <c r="K52" s="1899" t="s">
        <v>1540</v>
      </c>
      <c r="L52" s="1900"/>
      <c r="O52" s="1890" t="s">
        <v>1042</v>
      </c>
      <c r="P52" s="1881" t="s">
        <v>1541</v>
      </c>
      <c r="Q52" s="1882">
        <f ca="1">J53</f>
        <v>38.619999999999997</v>
      </c>
      <c r="R52" s="1882" t="s">
        <v>1542</v>
      </c>
    </row>
    <row r="53" spans="1:18" s="1838" customFormat="1" ht="36.6" thickBot="1">
      <c r="A53" s="1402" t="s">
        <v>1134</v>
      </c>
      <c r="B53" s="1827" t="s">
        <v>1405</v>
      </c>
      <c r="C53" s="361">
        <f ca="1">ROUND(IF(F53="押一",C49/12*F11,IF(F53="押二",C49/12*2*F11,IF(F53="押三",C49/12*3*F11,C54*F11))),0)</f>
        <v>0</v>
      </c>
      <c r="D53" s="1820" t="s">
        <v>3037</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38.619999999999997</v>
      </c>
      <c r="K53" s="3339" t="s">
        <v>1544</v>
      </c>
      <c r="L53" s="3340"/>
      <c r="O53" s="1880" t="s">
        <v>1043</v>
      </c>
      <c r="P53" s="1881" t="s">
        <v>1545</v>
      </c>
      <c r="Q53" s="1882">
        <f ca="1">Q47+Q48</f>
        <v>10240</v>
      </c>
      <c r="R53" s="1882" t="s">
        <v>1044</v>
      </c>
    </row>
    <row r="54" spans="1:18" s="1838" customFormat="1" ht="24.6" thickBot="1">
      <c r="A54" s="1403"/>
      <c r="B54" s="1821" t="s">
        <v>1384</v>
      </c>
      <c r="C54" s="1175"/>
      <c r="D54" s="1820"/>
      <c r="E54" s="294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30" t="s">
        <v>1072</v>
      </c>
      <c r="B55" s="1823" t="s">
        <v>1409</v>
      </c>
      <c r="C55" s="1331"/>
      <c r="D55" s="1820"/>
      <c r="E55" s="2946"/>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12390</v>
      </c>
      <c r="D56" s="1910"/>
      <c r="E56" s="1911"/>
      <c r="F56" s="1903"/>
      <c r="I56" s="1912" t="s">
        <v>1550</v>
      </c>
      <c r="J56" s="1913" t="s">
        <v>3167</v>
      </c>
      <c r="K56" s="1883" t="s">
        <v>1551</v>
      </c>
      <c r="L56" s="1886" t="str">
        <f ca="1">IF(L48&lt;J51,"——",L48-J53)</f>
        <v>——</v>
      </c>
      <c r="O56" s="1880" t="s">
        <v>1037</v>
      </c>
      <c r="P56" s="1881" t="s">
        <v>1524</v>
      </c>
      <c r="Q56" s="1882">
        <f ca="1">C40+J29</f>
        <v>10240</v>
      </c>
      <c r="R56" s="1882" t="s">
        <v>1525</v>
      </c>
    </row>
    <row r="57" spans="1:18" s="1838" customFormat="1" ht="24.6" thickBot="1">
      <c r="A57" s="1914"/>
      <c r="B57" s="1166" t="s">
        <v>1474</v>
      </c>
      <c r="C57" s="282">
        <f ca="1">C29</f>
        <v>12390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1261</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1056.8</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1433</v>
      </c>
      <c r="C61" s="24">
        <f ca="1">IF(项目基本情况!B11="自然人","——",IF(D61="按租金收入计税",ROUND(C48*F61,2),IF(D61="按房产原值计税",ROUND(C57*F61*0.7,2),INDIRECT("'数据-取费表'!Aj"&amp;$G$1))))</f>
        <v>1040.76</v>
      </c>
      <c r="D61" s="1824" t="s">
        <v>1434</v>
      </c>
      <c r="E61" s="1166" t="s">
        <v>1418</v>
      </c>
      <c r="F61" s="367">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8" thickBot="1">
      <c r="A62" s="1198" t="s">
        <v>1491</v>
      </c>
      <c r="B62" s="1165" t="s">
        <v>1437</v>
      </c>
      <c r="C62" s="25">
        <f ca="1">IF(项目基本情况!B11="自然人","——",ROUND(F62*F63/10000,2))</f>
        <v>16.010000000000002</v>
      </c>
      <c r="D62" s="1181" t="s">
        <v>1438</v>
      </c>
      <c r="E62" s="1166" t="s">
        <v>1439</v>
      </c>
      <c r="F62" s="371">
        <f t="shared" si="0"/>
        <v>8</v>
      </c>
      <c r="I62" s="1925" t="s">
        <v>1566</v>
      </c>
      <c r="J62" s="1926" t="s">
        <v>1567</v>
      </c>
      <c r="K62" s="1926" t="s">
        <v>1568</v>
      </c>
      <c r="L62" s="1926" t="s">
        <v>1569</v>
      </c>
      <c r="M62" s="1927" t="s">
        <v>1570</v>
      </c>
      <c r="O62" s="1880" t="s">
        <v>1043</v>
      </c>
      <c r="P62" s="1881" t="s">
        <v>1545</v>
      </c>
      <c r="Q62" s="1882">
        <f ca="1">Q56+Q57</f>
        <v>10240</v>
      </c>
      <c r="R62" s="1882" t="s">
        <v>1044</v>
      </c>
    </row>
    <row r="63" spans="1:18" s="1838" customFormat="1" ht="13.8" thickBot="1">
      <c r="A63" s="372"/>
      <c r="B63" s="1172"/>
      <c r="C63" s="29"/>
      <c r="D63" s="1182"/>
      <c r="E63" s="1166" t="s">
        <v>1443</v>
      </c>
      <c r="F63" s="348">
        <f t="shared" ca="1" si="0"/>
        <v>20010.41</v>
      </c>
      <c r="I63" s="1925" t="s">
        <v>1572</v>
      </c>
      <c r="J63" s="1926">
        <v>70</v>
      </c>
      <c r="K63" s="1926">
        <v>50</v>
      </c>
      <c r="L63" s="1926">
        <v>80</v>
      </c>
      <c r="M63" s="1928">
        <v>0.02</v>
      </c>
      <c r="O63" s="1865" t="s">
        <v>1573</v>
      </c>
      <c r="P63" s="1835"/>
      <c r="Q63" s="1835"/>
      <c r="R63" s="1835"/>
    </row>
    <row r="64" spans="1:18" s="1838" customFormat="1" ht="13.8" thickBot="1">
      <c r="A64" s="1198" t="s">
        <v>1036</v>
      </c>
      <c r="B64" s="1166" t="s">
        <v>1445</v>
      </c>
      <c r="C64" s="24">
        <f ca="1">ROUND(C57*F64,1)</f>
        <v>185.9</v>
      </c>
      <c r="D64" s="1180" t="s">
        <v>1478</v>
      </c>
      <c r="E64" s="1166"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18.600000000000001</v>
      </c>
      <c r="D65" s="1180" t="s">
        <v>1450</v>
      </c>
      <c r="E65" s="1166" t="s">
        <v>1418</v>
      </c>
      <c r="F65" s="376">
        <f t="shared" ca="1" si="0"/>
        <v>1.5E-3</v>
      </c>
      <c r="I65" s="1925" t="s">
        <v>1575</v>
      </c>
      <c r="J65" s="1926">
        <v>40</v>
      </c>
      <c r="K65" s="1926">
        <v>30</v>
      </c>
      <c r="L65" s="1926">
        <v>50</v>
      </c>
      <c r="M65" s="1928">
        <v>0.02</v>
      </c>
      <c r="O65" s="1880" t="s">
        <v>1037</v>
      </c>
      <c r="P65" s="1881" t="s">
        <v>1524</v>
      </c>
      <c r="Q65" s="1882">
        <f ca="1">C40+J29</f>
        <v>10240</v>
      </c>
      <c r="R65" s="1882" t="s">
        <v>1525</v>
      </c>
    </row>
    <row r="66" spans="1:18" s="1838" customFormat="1" ht="16.2" thickBot="1">
      <c r="A66" s="1198" t="s">
        <v>1500</v>
      </c>
      <c r="B66" s="1166" t="s">
        <v>1435</v>
      </c>
      <c r="C66" s="24">
        <f ca="1">ROUND(C48*F66,1)</f>
        <v>0</v>
      </c>
      <c r="D66" s="1180" t="s">
        <v>1455</v>
      </c>
      <c r="E66" s="1166" t="s">
        <v>1418</v>
      </c>
      <c r="F66" s="357">
        <f t="shared" ca="1" si="0"/>
        <v>0.01</v>
      </c>
      <c r="O66" s="1880" t="s">
        <v>1038</v>
      </c>
      <c r="P66" s="1881" t="s">
        <v>1554</v>
      </c>
      <c r="Q66" s="1882">
        <f ca="1">L60</f>
        <v>0</v>
      </c>
      <c r="R66" s="1882" t="s">
        <v>1577</v>
      </c>
    </row>
    <row r="67" spans="1:18" s="1838" customFormat="1" ht="24.6" thickBot="1">
      <c r="A67" s="1173" t="s">
        <v>1028</v>
      </c>
      <c r="B67" s="1183" t="s">
        <v>1459</v>
      </c>
      <c r="C67" s="361">
        <f ca="1">C48-C58</f>
        <v>-1261</v>
      </c>
      <c r="D67" s="1179" t="s">
        <v>1460</v>
      </c>
      <c r="E67" s="1184"/>
      <c r="F67" s="1185"/>
      <c r="O67" s="1890" t="s">
        <v>1039</v>
      </c>
      <c r="P67" s="1881" t="s">
        <v>1558</v>
      </c>
      <c r="Q67" s="1929">
        <f ca="1">L51</f>
        <v>-13784</v>
      </c>
      <c r="R67" s="1882" t="s">
        <v>1578</v>
      </c>
    </row>
    <row r="68" spans="1:18" s="1838" customFormat="1" ht="16.2" thickBot="1">
      <c r="A68" s="1163" t="s">
        <v>1029</v>
      </c>
      <c r="B68" s="1164" t="s">
        <v>1481</v>
      </c>
      <c r="C68" s="346">
        <f ca="1">ROUND(C67*(1-((1+F70)/(1+F68))^F69)/(F68-F70),0)</f>
        <v>-22903</v>
      </c>
      <c r="D68" s="1181" t="s">
        <v>1465</v>
      </c>
      <c r="E68" s="1166" t="s">
        <v>1466</v>
      </c>
      <c r="F68" s="357">
        <f ca="1">F40</f>
        <v>4.4999999999999998E-2</v>
      </c>
      <c r="O68" s="1890" t="s">
        <v>1040</v>
      </c>
      <c r="P68" s="1930" t="s">
        <v>1579</v>
      </c>
      <c r="Q68" s="1882">
        <f ca="1">ROUND(Q69-Q70*Q71,0)</f>
        <v>-694</v>
      </c>
      <c r="R68" s="1882" t="s">
        <v>1048</v>
      </c>
    </row>
    <row r="69" spans="1:18" s="1838" customFormat="1" ht="13.8" thickBot="1">
      <c r="A69" s="1167"/>
      <c r="B69" s="1168"/>
      <c r="C69" s="351"/>
      <c r="D69" s="1186" t="s">
        <v>1469</v>
      </c>
      <c r="E69" s="1166" t="s">
        <v>1470</v>
      </c>
      <c r="F69" s="379">
        <f ca="1">F41</f>
        <v>38.619999999999997</v>
      </c>
      <c r="O69" s="1890" t="s">
        <v>1045</v>
      </c>
      <c r="P69" s="1930" t="s">
        <v>1580</v>
      </c>
      <c r="Q69" s="1882">
        <f ca="1">C39</f>
        <v>359</v>
      </c>
      <c r="R69" s="1882" t="s">
        <v>1525</v>
      </c>
    </row>
    <row r="70" spans="1:18" s="1838" customFormat="1" ht="13.8" thickBot="1">
      <c r="A70" s="1170"/>
      <c r="B70" s="1171"/>
      <c r="C70" s="355"/>
      <c r="D70" s="1182"/>
      <c r="E70" s="1166" t="s">
        <v>1473</v>
      </c>
      <c r="F70" s="1272"/>
      <c r="O70" s="1890" t="s">
        <v>1046</v>
      </c>
      <c r="P70" s="1930" t="s">
        <v>1581</v>
      </c>
      <c r="Q70" s="1882">
        <f ca="1">C13</f>
        <v>12390</v>
      </c>
      <c r="R70" s="1882" t="s">
        <v>1525</v>
      </c>
    </row>
    <row r="71" spans="1:18" s="1838" customFormat="1" ht="13.8" thickBot="1">
      <c r="A71" s="1187" t="s">
        <v>1030</v>
      </c>
      <c r="B71" s="1188" t="s">
        <v>1483</v>
      </c>
      <c r="C71" s="382">
        <f ca="1">ROUND(C68*10000/F71,0)</f>
        <v>-6357</v>
      </c>
      <c r="D71" s="1189" t="s">
        <v>1484</v>
      </c>
      <c r="E71" s="1190" t="s">
        <v>1485</v>
      </c>
      <c r="F71" s="385">
        <f ca="1">F43</f>
        <v>36026.980000000003</v>
      </c>
      <c r="O71" s="1890" t="s">
        <v>1047</v>
      </c>
      <c r="P71" s="1930" t="s">
        <v>1582</v>
      </c>
      <c r="Q71" s="1893">
        <f ca="1">C76</f>
        <v>8.5000000000000006E-2</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续建工期及建筑物耐用年限下的土地年期修正系数Kn</v>
      </c>
      <c r="Q74" s="1882" t="e">
        <f ca="1">L59</f>
        <v>#DIV/0!</v>
      </c>
      <c r="R74" s="1882" t="s">
        <v>1565</v>
      </c>
    </row>
    <row r="75" spans="1:18" ht="13.8" thickBot="1">
      <c r="A75" s="1838"/>
      <c r="B75" s="386" t="s">
        <v>1502</v>
      </c>
      <c r="C75" s="387">
        <f ca="1">ROUND(C13*C76,0)</f>
        <v>1053</v>
      </c>
      <c r="D75" s="1838"/>
      <c r="E75" s="1838"/>
      <c r="F75" s="1838"/>
      <c r="K75" s="1864"/>
      <c r="L75" s="1838"/>
      <c r="O75" s="1880" t="s">
        <v>1043</v>
      </c>
      <c r="P75" s="1881" t="s">
        <v>1545</v>
      </c>
      <c r="Q75" s="1882">
        <f ca="1">Q65+Q66</f>
        <v>10240</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-1.9329999999999998</v>
      </c>
    </row>
    <row r="80" spans="1:18">
      <c r="B80" s="386" t="s">
        <v>1507</v>
      </c>
      <c r="C80" s="318">
        <f ca="1">ROUND(C75/C39,3)</f>
        <v>2.9329999999999998</v>
      </c>
    </row>
    <row r="81" spans="2:3">
      <c r="B81" s="314" t="s">
        <v>1508</v>
      </c>
      <c r="C81" s="282"/>
    </row>
    <row r="82" spans="2:3">
      <c r="B82" s="317" t="s">
        <v>1509</v>
      </c>
      <c r="C82" s="319">
        <f ca="1">1-C83</f>
        <v>-0.20999999999999996</v>
      </c>
    </row>
    <row r="83" spans="2:3">
      <c r="B83" s="317" t="s">
        <v>1510</v>
      </c>
      <c r="C83" s="318">
        <f ca="1">ROUND(C13/C40,3)</f>
        <v>1.21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1637</v>
      </c>
      <c r="B2" s="3103" t="s">
        <v>1638</v>
      </c>
      <c r="C2" s="3103" t="s">
        <v>1639</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6">
      <c r="A3" s="3104"/>
      <c r="B3" s="3104"/>
      <c r="C3" s="3104"/>
      <c r="D3" s="1041" t="s">
        <v>1634</v>
      </c>
      <c r="E3" s="1041" t="s">
        <v>1640</v>
      </c>
      <c r="F3" s="1041" t="s">
        <v>1634</v>
      </c>
      <c r="G3" s="1041" t="s">
        <v>1635</v>
      </c>
      <c r="H3" s="1041" t="s">
        <v>1634</v>
      </c>
      <c r="I3" s="1041" t="s">
        <v>1635</v>
      </c>
    </row>
    <row r="4" spans="1:9" ht="60">
      <c r="A4" s="1969" t="str">
        <f>项目基本情况!S2</f>
        <v>福建省福州市闽侯县南屿镇晓岐村、元峰村“南屿滨江城”项目出让国有建设用地使用权及在建建筑物房地产</v>
      </c>
      <c r="B4" s="1041">
        <f>项目基本情况!C17</f>
        <v>83517</v>
      </c>
      <c r="C4" s="1041">
        <f>项目基本情况!C18</f>
        <v>37123.449999999997</v>
      </c>
      <c r="D4" s="1041" t="e">
        <f ca="1">结果表!D118</f>
        <v>#REF!</v>
      </c>
      <c r="E4" s="1041" t="e">
        <f ca="1">结果表!E118</f>
        <v>#REF!</v>
      </c>
      <c r="F4" s="1041" t="e">
        <f ca="1">结果表!F118</f>
        <v>#REF!</v>
      </c>
      <c r="G4" s="1041" t="e">
        <f ca="1">结果表!G118</f>
        <v>#REF!</v>
      </c>
      <c r="H4" s="1041">
        <f ca="1">结果表!H118</f>
        <v>40101</v>
      </c>
      <c r="I4" s="1041">
        <f ca="1">结果表!I118</f>
        <v>4802</v>
      </c>
    </row>
    <row r="5" spans="1:9" ht="30" customHeight="1">
      <c r="A5" s="3104" t="s">
        <v>1636</v>
      </c>
      <c r="B5" s="3104"/>
      <c r="C5" s="3104"/>
      <c r="D5" s="3105" t="e">
        <f ca="1">结果表!D119</f>
        <v>#REF!</v>
      </c>
      <c r="E5" s="3105"/>
      <c r="F5" s="3105" t="e">
        <f ca="1">结果表!F119</f>
        <v>#REF!</v>
      </c>
      <c r="G5" s="3105"/>
      <c r="H5" s="3105" t="str">
        <f ca="1">结果表!H119</f>
        <v>肆亿零壹佰零壹万元整</v>
      </c>
      <c r="I5" s="3105"/>
    </row>
    <row r="6" spans="1:9" ht="15.6">
      <c r="A6" s="3106" t="str">
        <f>结果表!A120</f>
        <v>估价师知悉的法定优先受偿款</v>
      </c>
      <c r="B6" s="3106"/>
      <c r="C6" s="3106"/>
      <c r="D6" s="3106">
        <f>结果表!D120</f>
        <v>0</v>
      </c>
      <c r="E6" s="3106"/>
      <c r="F6" s="3106"/>
      <c r="G6" s="3106"/>
      <c r="H6" s="3106"/>
      <c r="I6" s="3106"/>
    </row>
    <row r="7" spans="1:9" ht="15">
      <c r="A7" s="3104" t="s">
        <v>1636</v>
      </c>
      <c r="B7" s="3104"/>
      <c r="C7" s="3104"/>
      <c r="D7" s="3107" t="str">
        <f>结果表!D121</f>
        <v>零元整</v>
      </c>
      <c r="E7" s="3108"/>
      <c r="F7" s="3108"/>
      <c r="G7" s="3108"/>
      <c r="H7" s="3108"/>
      <c r="I7" s="3109"/>
    </row>
    <row r="8" spans="1:9" ht="15.6">
      <c r="A8" s="3106" t="str">
        <f>结果表!A122</f>
        <v>房地产抵押价值</v>
      </c>
      <c r="B8" s="3106"/>
      <c r="C8" s="3106"/>
      <c r="D8" s="3106">
        <f ca="1">结果表!D122</f>
        <v>40101</v>
      </c>
      <c r="E8" s="3106"/>
      <c r="F8" s="3106"/>
      <c r="G8" s="3106"/>
      <c r="H8" s="3106"/>
      <c r="I8" s="3106"/>
    </row>
    <row r="9" spans="1:9" ht="15">
      <c r="A9" s="3104" t="s">
        <v>1636</v>
      </c>
      <c r="B9" s="3104"/>
      <c r="C9" s="3104"/>
      <c r="D9" s="3105" t="str">
        <f ca="1">结果表!D123</f>
        <v>肆亿零壹佰零壹万元整</v>
      </c>
      <c r="E9" s="3105"/>
      <c r="F9" s="3105"/>
      <c r="G9" s="3105"/>
      <c r="H9" s="3105"/>
      <c r="I9" s="3105"/>
    </row>
    <row r="10" spans="1:9" ht="15.6">
      <c r="A10" s="3106" t="str">
        <f>结果表!A124</f>
        <v/>
      </c>
      <c r="B10" s="3106"/>
      <c r="C10" s="3106"/>
      <c r="D10" s="3106" t="str">
        <f>结果表!D124</f>
        <v>——</v>
      </c>
      <c r="E10" s="3106"/>
      <c r="F10" s="3106"/>
      <c r="G10" s="3106"/>
      <c r="H10" s="3106"/>
      <c r="I10" s="3106"/>
    </row>
    <row r="11" spans="1:9" ht="15">
      <c r="A11" s="3104" t="s">
        <v>1636</v>
      </c>
      <c r="B11" s="3104"/>
      <c r="C11" s="3104"/>
      <c r="D11" s="3105" t="e">
        <f>结果表!D125</f>
        <v>#VALUE!</v>
      </c>
      <c r="E11" s="3105"/>
      <c r="F11" s="3105"/>
      <c r="G11" s="3105"/>
      <c r="H11" s="3105"/>
      <c r="I11" s="3105"/>
    </row>
    <row r="12" spans="1:9" ht="15.6">
      <c r="A12" s="3106" t="str">
        <f>结果表!A126</f>
        <v>抵押净值</v>
      </c>
      <c r="B12" s="3106"/>
      <c r="C12" s="3106"/>
      <c r="D12" s="3106">
        <f ca="1">结果表!D126</f>
        <v>27369</v>
      </c>
      <c r="E12" s="3106"/>
      <c r="F12" s="3106"/>
      <c r="G12" s="3106"/>
      <c r="H12" s="3106"/>
      <c r="I12" s="3106"/>
    </row>
    <row r="13" spans="1:9" ht="15.6" thickBot="1">
      <c r="A13" s="3110" t="s">
        <v>1636</v>
      </c>
      <c r="B13" s="3110"/>
      <c r="C13" s="3110"/>
      <c r="D13" s="3111" t="str">
        <f ca="1">结果表!D127</f>
        <v>贰亿柒仟叁佰陆拾玖万元整</v>
      </c>
      <c r="E13" s="3111"/>
      <c r="F13" s="3111"/>
      <c r="G13" s="3111"/>
      <c r="H13" s="3111"/>
      <c r="I13" s="3111"/>
    </row>
    <row r="14" spans="1:9" ht="14.4" thickTop="1">
      <c r="A14" s="3112" t="s">
        <v>1641</v>
      </c>
      <c r="B14" s="3112"/>
      <c r="C14" s="3112"/>
      <c r="D14" s="3112"/>
      <c r="E14" s="3112"/>
      <c r="F14" s="3112"/>
      <c r="G14" s="3112"/>
      <c r="H14" s="3112"/>
      <c r="I14" s="3112"/>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59"/>
  <sheetViews>
    <sheetView topLeftCell="A82" workbookViewId="0">
      <selection activeCell="N6" sqref="A6:N26"/>
    </sheetView>
  </sheetViews>
  <sheetFormatPr defaultColWidth="9" defaultRowHeight="14.4"/>
  <cols>
    <col min="1" max="1" width="13.33203125" style="3053" customWidth="1"/>
    <col min="2" max="2" width="8.33203125" style="3053" customWidth="1"/>
    <col min="3" max="3" width="6.6640625" style="3053" customWidth="1"/>
    <col min="4" max="4" width="0" style="3053" hidden="1" customWidth="1"/>
    <col min="5" max="5" width="11.33203125" style="3053" customWidth="1"/>
    <col min="6" max="9" width="9" style="3053"/>
    <col min="10" max="10" width="5.44140625" style="3053" customWidth="1"/>
    <col min="11" max="11" width="6.44140625" style="3053" customWidth="1"/>
    <col min="12" max="16384" width="9" style="3053"/>
  </cols>
  <sheetData>
    <row r="1" spans="1:11">
      <c r="A1" s="3437" t="s">
        <v>3391</v>
      </c>
      <c r="B1" s="3437"/>
      <c r="C1" s="3437"/>
      <c r="D1" s="3437"/>
      <c r="E1" s="3437"/>
      <c r="F1" s="3437"/>
      <c r="G1" s="3437"/>
      <c r="H1" s="3437"/>
      <c r="I1" s="3437"/>
      <c r="J1" s="3437"/>
      <c r="K1" s="3437"/>
    </row>
    <row r="2" spans="1:11">
      <c r="A2" s="3437"/>
      <c r="B2" s="3437"/>
      <c r="C2" s="3437"/>
      <c r="D2" s="3437"/>
      <c r="E2" s="3437"/>
      <c r="F2" s="3437"/>
      <c r="G2" s="3437"/>
      <c r="H2" s="3437"/>
      <c r="I2" s="3437"/>
      <c r="J2" s="3437"/>
      <c r="K2" s="3437"/>
    </row>
    <row r="3" spans="1:11" ht="15.6">
      <c r="A3" s="3438" t="s">
        <v>3392</v>
      </c>
      <c r="B3" s="3439"/>
      <c r="C3" s="3439"/>
      <c r="D3" s="3439"/>
      <c r="E3" s="3439"/>
      <c r="F3" s="3439"/>
      <c r="G3" s="3440"/>
      <c r="H3" s="3441" t="s">
        <v>3393</v>
      </c>
      <c r="I3" s="3441"/>
      <c r="J3" s="3441"/>
      <c r="K3" s="3441"/>
    </row>
    <row r="4" spans="1:11" ht="15.6">
      <c r="A4" s="3442" t="s">
        <v>3394</v>
      </c>
      <c r="B4" s="3444" t="s">
        <v>3079</v>
      </c>
      <c r="C4" s="3445" t="s">
        <v>3395</v>
      </c>
      <c r="D4" s="3444" t="s">
        <v>3396</v>
      </c>
      <c r="E4" s="3444" t="s">
        <v>3397</v>
      </c>
      <c r="F4" s="3444" t="s">
        <v>3398</v>
      </c>
      <c r="G4" s="3444"/>
      <c r="H4" s="3444" t="s">
        <v>3399</v>
      </c>
      <c r="I4" s="3446" t="s">
        <v>3400</v>
      </c>
      <c r="J4" s="3444" t="s">
        <v>3401</v>
      </c>
      <c r="K4" s="3444" t="s">
        <v>3071</v>
      </c>
    </row>
    <row r="5" spans="1:11" ht="46.8">
      <c r="A5" s="3443"/>
      <c r="B5" s="3444"/>
      <c r="C5" s="3445"/>
      <c r="D5" s="3444"/>
      <c r="E5" s="3444"/>
      <c r="F5" s="3054" t="s">
        <v>3402</v>
      </c>
      <c r="G5" s="3054" t="s">
        <v>3403</v>
      </c>
      <c r="H5" s="3444"/>
      <c r="I5" s="3446"/>
      <c r="J5" s="3444"/>
      <c r="K5" s="3444"/>
    </row>
    <row r="6" spans="1:11">
      <c r="A6" s="3055" t="s">
        <v>3404</v>
      </c>
      <c r="B6" s="3055" t="s">
        <v>3405</v>
      </c>
      <c r="C6" s="3055">
        <v>1</v>
      </c>
      <c r="D6" s="3055" t="s">
        <v>3406</v>
      </c>
      <c r="E6" s="3055">
        <v>27.78</v>
      </c>
      <c r="F6" s="3055">
        <v>12.72</v>
      </c>
      <c r="G6" s="3055">
        <v>15.06</v>
      </c>
      <c r="H6" s="3055">
        <v>4585.96</v>
      </c>
      <c r="I6" s="3055">
        <v>127398</v>
      </c>
      <c r="J6" s="3055" t="s">
        <v>3407</v>
      </c>
      <c r="K6" s="3055" t="s">
        <v>3408</v>
      </c>
    </row>
    <row r="7" spans="1:11">
      <c r="A7" s="3055" t="s">
        <v>3404</v>
      </c>
      <c r="B7" s="3055" t="s">
        <v>3405</v>
      </c>
      <c r="C7" s="3055">
        <v>2</v>
      </c>
      <c r="D7" s="3055" t="s">
        <v>3406</v>
      </c>
      <c r="E7" s="3055">
        <v>27.78</v>
      </c>
      <c r="F7" s="3055">
        <v>12.72</v>
      </c>
      <c r="G7" s="3055">
        <v>15.06</v>
      </c>
      <c r="H7" s="3055">
        <v>4945.93</v>
      </c>
      <c r="I7" s="3055">
        <v>137398</v>
      </c>
      <c r="J7" s="3055" t="s">
        <v>3407</v>
      </c>
      <c r="K7" s="3055" t="s">
        <v>3408</v>
      </c>
    </row>
    <row r="8" spans="1:11">
      <c r="A8" s="3055" t="s">
        <v>3404</v>
      </c>
      <c r="B8" s="3055" t="s">
        <v>3405</v>
      </c>
      <c r="C8" s="3055">
        <v>3</v>
      </c>
      <c r="D8" s="3055" t="s">
        <v>3406</v>
      </c>
      <c r="E8" s="3055">
        <v>27.78</v>
      </c>
      <c r="F8" s="3055">
        <v>12.72</v>
      </c>
      <c r="G8" s="3055">
        <v>15.06</v>
      </c>
      <c r="H8" s="3055">
        <v>4945.93</v>
      </c>
      <c r="I8" s="3055">
        <v>137398</v>
      </c>
      <c r="J8" s="3055" t="s">
        <v>3407</v>
      </c>
      <c r="K8" s="3055" t="s">
        <v>3408</v>
      </c>
    </row>
    <row r="9" spans="1:11">
      <c r="A9" s="3055" t="s">
        <v>3404</v>
      </c>
      <c r="B9" s="3055" t="s">
        <v>3405</v>
      </c>
      <c r="C9" s="3055">
        <v>4</v>
      </c>
      <c r="D9" s="3055" t="s">
        <v>3406</v>
      </c>
      <c r="E9" s="3055">
        <v>27.78</v>
      </c>
      <c r="F9" s="3055">
        <v>12.72</v>
      </c>
      <c r="G9" s="3055">
        <v>15.06</v>
      </c>
      <c r="H9" s="3055">
        <v>4585.96</v>
      </c>
      <c r="I9" s="3055">
        <v>127398</v>
      </c>
      <c r="J9" s="3055" t="s">
        <v>3407</v>
      </c>
      <c r="K9" s="3055" t="s">
        <v>3408</v>
      </c>
    </row>
    <row r="10" spans="1:11">
      <c r="A10" s="3055" t="s">
        <v>3404</v>
      </c>
      <c r="B10" s="3055" t="s">
        <v>3405</v>
      </c>
      <c r="C10" s="3055">
        <v>5</v>
      </c>
      <c r="D10" s="3055" t="s">
        <v>3406</v>
      </c>
      <c r="E10" s="3055">
        <v>27.78</v>
      </c>
      <c r="F10" s="3055">
        <v>12.72</v>
      </c>
      <c r="G10" s="3055">
        <v>15.06</v>
      </c>
      <c r="H10" s="3055">
        <v>4945.93</v>
      </c>
      <c r="I10" s="3055">
        <v>137398</v>
      </c>
      <c r="J10" s="3055" t="s">
        <v>3407</v>
      </c>
      <c r="K10" s="3055" t="s">
        <v>3408</v>
      </c>
    </row>
    <row r="11" spans="1:11">
      <c r="A11" s="3055" t="s">
        <v>3404</v>
      </c>
      <c r="B11" s="3055" t="s">
        <v>3405</v>
      </c>
      <c r="C11" s="3055">
        <v>6</v>
      </c>
      <c r="D11" s="3055" t="s">
        <v>3406</v>
      </c>
      <c r="E11" s="3055">
        <v>27.78</v>
      </c>
      <c r="F11" s="3055">
        <v>12.72</v>
      </c>
      <c r="G11" s="3055">
        <v>15.06</v>
      </c>
      <c r="H11" s="3055">
        <v>4945.93</v>
      </c>
      <c r="I11" s="3055">
        <v>137398</v>
      </c>
      <c r="J11" s="3055" t="s">
        <v>3407</v>
      </c>
      <c r="K11" s="3055" t="s">
        <v>3408</v>
      </c>
    </row>
    <row r="12" spans="1:11">
      <c r="A12" s="3055" t="s">
        <v>3404</v>
      </c>
      <c r="B12" s="3055" t="s">
        <v>3405</v>
      </c>
      <c r="C12" s="3055">
        <v>7</v>
      </c>
      <c r="D12" s="3055" t="s">
        <v>3406</v>
      </c>
      <c r="E12" s="3055">
        <v>27.78</v>
      </c>
      <c r="F12" s="3055">
        <v>12.72</v>
      </c>
      <c r="G12" s="3055">
        <v>15.06</v>
      </c>
      <c r="H12" s="3055">
        <v>4945.93</v>
      </c>
      <c r="I12" s="3055">
        <v>137398</v>
      </c>
      <c r="J12" s="3055" t="s">
        <v>3407</v>
      </c>
      <c r="K12" s="3055" t="s">
        <v>3408</v>
      </c>
    </row>
    <row r="13" spans="1:11">
      <c r="A13" s="3055" t="s">
        <v>3404</v>
      </c>
      <c r="B13" s="3055" t="s">
        <v>3405</v>
      </c>
      <c r="C13" s="3055">
        <v>8</v>
      </c>
      <c r="D13" s="3055" t="s">
        <v>3406</v>
      </c>
      <c r="E13" s="3055">
        <v>27.78</v>
      </c>
      <c r="F13" s="3055">
        <v>12.72</v>
      </c>
      <c r="G13" s="3055">
        <v>15.06</v>
      </c>
      <c r="H13" s="3055">
        <v>4945.93</v>
      </c>
      <c r="I13" s="3055">
        <v>137398</v>
      </c>
      <c r="J13" s="3055" t="s">
        <v>3407</v>
      </c>
      <c r="K13" s="3055" t="s">
        <v>3408</v>
      </c>
    </row>
    <row r="14" spans="1:11">
      <c r="A14" s="3055" t="s">
        <v>3404</v>
      </c>
      <c r="B14" s="3055" t="s">
        <v>3405</v>
      </c>
      <c r="C14" s="3055">
        <v>9</v>
      </c>
      <c r="D14" s="3055" t="s">
        <v>3406</v>
      </c>
      <c r="E14" s="3055">
        <v>27.78</v>
      </c>
      <c r="F14" s="3055">
        <v>12.72</v>
      </c>
      <c r="G14" s="3055">
        <v>15.06</v>
      </c>
      <c r="H14" s="3055">
        <v>4585.96</v>
      </c>
      <c r="I14" s="3055">
        <v>127398</v>
      </c>
      <c r="J14" s="3055" t="s">
        <v>3407</v>
      </c>
      <c r="K14" s="3055" t="s">
        <v>3408</v>
      </c>
    </row>
    <row r="15" spans="1:11">
      <c r="A15" s="3055" t="s">
        <v>3404</v>
      </c>
      <c r="B15" s="3055" t="s">
        <v>3405</v>
      </c>
      <c r="C15" s="3055">
        <v>10</v>
      </c>
      <c r="D15" s="3055" t="s">
        <v>3406</v>
      </c>
      <c r="E15" s="3055">
        <v>27.78</v>
      </c>
      <c r="F15" s="3055">
        <v>12.72</v>
      </c>
      <c r="G15" s="3055">
        <v>15.06</v>
      </c>
      <c r="H15" s="3055">
        <v>4945.93</v>
      </c>
      <c r="I15" s="3055">
        <v>137398</v>
      </c>
      <c r="J15" s="3055" t="s">
        <v>3407</v>
      </c>
      <c r="K15" s="3055" t="s">
        <v>3408</v>
      </c>
    </row>
    <row r="16" spans="1:11">
      <c r="A16" s="3055" t="s">
        <v>3404</v>
      </c>
      <c r="B16" s="3055" t="s">
        <v>3405</v>
      </c>
      <c r="C16" s="3055">
        <v>11</v>
      </c>
      <c r="D16" s="3055" t="s">
        <v>3406</v>
      </c>
      <c r="E16" s="3055">
        <v>27.78</v>
      </c>
      <c r="F16" s="3055">
        <v>12.72</v>
      </c>
      <c r="G16" s="3055">
        <v>15.06</v>
      </c>
      <c r="H16" s="3055">
        <v>4945.93</v>
      </c>
      <c r="I16" s="3055">
        <v>137398</v>
      </c>
      <c r="J16" s="3055" t="s">
        <v>3407</v>
      </c>
      <c r="K16" s="3055" t="s">
        <v>3408</v>
      </c>
    </row>
    <row r="17" spans="1:11">
      <c r="A17" s="3055" t="s">
        <v>3404</v>
      </c>
      <c r="B17" s="3055" t="s">
        <v>3405</v>
      </c>
      <c r="C17" s="3055">
        <v>12</v>
      </c>
      <c r="D17" s="3055" t="s">
        <v>3406</v>
      </c>
      <c r="E17" s="3055">
        <v>27.78</v>
      </c>
      <c r="F17" s="3055">
        <v>12.72</v>
      </c>
      <c r="G17" s="3055">
        <v>15.06</v>
      </c>
      <c r="H17" s="3055">
        <v>4945.93</v>
      </c>
      <c r="I17" s="3055">
        <v>137398</v>
      </c>
      <c r="J17" s="3055" t="s">
        <v>3407</v>
      </c>
      <c r="K17" s="3055" t="s">
        <v>3408</v>
      </c>
    </row>
    <row r="18" spans="1:11">
      <c r="A18" s="3055" t="s">
        <v>3404</v>
      </c>
      <c r="B18" s="3055" t="s">
        <v>3405</v>
      </c>
      <c r="C18" s="3055">
        <v>13</v>
      </c>
      <c r="D18" s="3055" t="s">
        <v>3406</v>
      </c>
      <c r="E18" s="3055">
        <v>27.78</v>
      </c>
      <c r="F18" s="3055">
        <v>12.72</v>
      </c>
      <c r="G18" s="3055">
        <v>15.06</v>
      </c>
      <c r="H18" s="3055">
        <v>4585.96</v>
      </c>
      <c r="I18" s="3055">
        <v>127398</v>
      </c>
      <c r="J18" s="3055" t="s">
        <v>3407</v>
      </c>
      <c r="K18" s="3055" t="s">
        <v>3408</v>
      </c>
    </row>
    <row r="19" spans="1:11">
      <c r="A19" s="3055" t="s">
        <v>3404</v>
      </c>
      <c r="B19" s="3055" t="s">
        <v>3405</v>
      </c>
      <c r="C19" s="3055">
        <v>14</v>
      </c>
      <c r="D19" s="3055" t="s">
        <v>3406</v>
      </c>
      <c r="E19" s="3055">
        <v>27.78</v>
      </c>
      <c r="F19" s="3055">
        <v>12.72</v>
      </c>
      <c r="G19" s="3055">
        <v>15.06</v>
      </c>
      <c r="H19" s="3055">
        <v>4585.96</v>
      </c>
      <c r="I19" s="3055">
        <v>127398</v>
      </c>
      <c r="J19" s="3055" t="s">
        <v>3407</v>
      </c>
      <c r="K19" s="3055" t="s">
        <v>3408</v>
      </c>
    </row>
    <row r="20" spans="1:11">
      <c r="A20" s="3055" t="s">
        <v>3404</v>
      </c>
      <c r="B20" s="3055" t="s">
        <v>3405</v>
      </c>
      <c r="C20" s="3055">
        <v>15</v>
      </c>
      <c r="D20" s="3055" t="s">
        <v>3406</v>
      </c>
      <c r="E20" s="3055">
        <v>27.78</v>
      </c>
      <c r="F20" s="3055">
        <v>12.72</v>
      </c>
      <c r="G20" s="3055">
        <v>15.06</v>
      </c>
      <c r="H20" s="3055">
        <v>4945.93</v>
      </c>
      <c r="I20" s="3055">
        <v>137398</v>
      </c>
      <c r="J20" s="3055" t="s">
        <v>3407</v>
      </c>
      <c r="K20" s="3055" t="s">
        <v>3408</v>
      </c>
    </row>
    <row r="21" spans="1:11">
      <c r="A21" s="3055" t="s">
        <v>3404</v>
      </c>
      <c r="B21" s="3055" t="s">
        <v>3405</v>
      </c>
      <c r="C21" s="3055">
        <v>16</v>
      </c>
      <c r="D21" s="3055" t="s">
        <v>3406</v>
      </c>
      <c r="E21" s="3055">
        <v>27.78</v>
      </c>
      <c r="F21" s="3055">
        <v>12.72</v>
      </c>
      <c r="G21" s="3055">
        <v>15.06</v>
      </c>
      <c r="H21" s="3055">
        <v>4945.93</v>
      </c>
      <c r="I21" s="3055">
        <v>137398</v>
      </c>
      <c r="J21" s="3055" t="s">
        <v>3407</v>
      </c>
      <c r="K21" s="3055" t="s">
        <v>3408</v>
      </c>
    </row>
    <row r="22" spans="1:11">
      <c r="A22" s="3055" t="s">
        <v>3404</v>
      </c>
      <c r="B22" s="3055" t="s">
        <v>3405</v>
      </c>
      <c r="C22" s="3055">
        <v>17</v>
      </c>
      <c r="D22" s="3055" t="s">
        <v>3406</v>
      </c>
      <c r="E22" s="3055">
        <v>27.78</v>
      </c>
      <c r="F22" s="3055">
        <v>12.72</v>
      </c>
      <c r="G22" s="3055">
        <v>15.06</v>
      </c>
      <c r="H22" s="3055">
        <v>4945.93</v>
      </c>
      <c r="I22" s="3055">
        <v>137398</v>
      </c>
      <c r="J22" s="3055" t="s">
        <v>3407</v>
      </c>
      <c r="K22" s="3055" t="s">
        <v>3408</v>
      </c>
    </row>
    <row r="23" spans="1:11">
      <c r="A23" s="3055" t="s">
        <v>3404</v>
      </c>
      <c r="B23" s="3055" t="s">
        <v>3405</v>
      </c>
      <c r="C23" s="3055">
        <v>18</v>
      </c>
      <c r="D23" s="3055" t="s">
        <v>3406</v>
      </c>
      <c r="E23" s="3055">
        <v>27.78</v>
      </c>
      <c r="F23" s="3055">
        <v>12.72</v>
      </c>
      <c r="G23" s="3055">
        <v>15.06</v>
      </c>
      <c r="H23" s="3055">
        <v>4945.93</v>
      </c>
      <c r="I23" s="3055">
        <v>137398</v>
      </c>
      <c r="J23" s="3055" t="s">
        <v>3407</v>
      </c>
      <c r="K23" s="3055" t="s">
        <v>3408</v>
      </c>
    </row>
    <row r="24" spans="1:11">
      <c r="A24" s="3055" t="s">
        <v>3404</v>
      </c>
      <c r="B24" s="3055" t="s">
        <v>3405</v>
      </c>
      <c r="C24" s="3055">
        <v>19</v>
      </c>
      <c r="D24" s="3055" t="s">
        <v>3406</v>
      </c>
      <c r="E24" s="3055">
        <v>27.78</v>
      </c>
      <c r="F24" s="3055">
        <v>12.72</v>
      </c>
      <c r="G24" s="3055">
        <v>15.06</v>
      </c>
      <c r="H24" s="3055">
        <v>4945.93</v>
      </c>
      <c r="I24" s="3055">
        <v>137398</v>
      </c>
      <c r="J24" s="3055" t="s">
        <v>3407</v>
      </c>
      <c r="K24" s="3055" t="s">
        <v>3408</v>
      </c>
    </row>
    <row r="25" spans="1:11">
      <c r="A25" s="3055" t="s">
        <v>3404</v>
      </c>
      <c r="B25" s="3055" t="s">
        <v>3405</v>
      </c>
      <c r="C25" s="3055">
        <v>20</v>
      </c>
      <c r="D25" s="3055" t="s">
        <v>3406</v>
      </c>
      <c r="E25" s="3055">
        <v>27.78</v>
      </c>
      <c r="F25" s="3055">
        <v>12.72</v>
      </c>
      <c r="G25" s="3055">
        <v>15.06</v>
      </c>
      <c r="H25" s="3055">
        <v>4585.96</v>
      </c>
      <c r="I25" s="3055">
        <v>127398</v>
      </c>
      <c r="J25" s="3055" t="s">
        <v>3407</v>
      </c>
      <c r="K25" s="3055" t="s">
        <v>3408</v>
      </c>
    </row>
    <row r="26" spans="1:11">
      <c r="A26" s="3055" t="s">
        <v>3404</v>
      </c>
      <c r="B26" s="3055" t="s">
        <v>3405</v>
      </c>
      <c r="C26" s="3055">
        <v>21</v>
      </c>
      <c r="D26" s="3055" t="s">
        <v>3406</v>
      </c>
      <c r="E26" s="3055">
        <v>27.78</v>
      </c>
      <c r="F26" s="3055">
        <v>12.72</v>
      </c>
      <c r="G26" s="3055">
        <v>15.06</v>
      </c>
      <c r="H26" s="3055">
        <v>4945.93</v>
      </c>
      <c r="I26" s="3055">
        <v>137398</v>
      </c>
      <c r="J26" s="3055" t="s">
        <v>3407</v>
      </c>
      <c r="K26" s="3055" t="s">
        <v>3408</v>
      </c>
    </row>
    <row r="27" spans="1:11">
      <c r="A27" s="3055" t="s">
        <v>3404</v>
      </c>
      <c r="B27" s="3055" t="s">
        <v>3405</v>
      </c>
      <c r="C27" s="3055">
        <v>22</v>
      </c>
      <c r="D27" s="3055" t="s">
        <v>3406</v>
      </c>
      <c r="E27" s="3055">
        <v>27.78</v>
      </c>
      <c r="F27" s="3055">
        <v>12.72</v>
      </c>
      <c r="G27" s="3055">
        <v>15.06</v>
      </c>
      <c r="H27" s="3055">
        <v>4585.96</v>
      </c>
      <c r="I27" s="3055">
        <v>127398</v>
      </c>
      <c r="J27" s="3055" t="s">
        <v>3407</v>
      </c>
      <c r="K27" s="3055" t="s">
        <v>3408</v>
      </c>
    </row>
    <row r="28" spans="1:11">
      <c r="A28" s="3055" t="s">
        <v>3404</v>
      </c>
      <c r="B28" s="3055" t="s">
        <v>3405</v>
      </c>
      <c r="C28" s="3055">
        <v>23</v>
      </c>
      <c r="D28" s="3055" t="s">
        <v>3406</v>
      </c>
      <c r="E28" s="3055">
        <v>27.78</v>
      </c>
      <c r="F28" s="3055">
        <v>12.72</v>
      </c>
      <c r="G28" s="3055">
        <v>15.06</v>
      </c>
      <c r="H28" s="3055">
        <v>4225.99</v>
      </c>
      <c r="I28" s="3055">
        <v>117398</v>
      </c>
      <c r="J28" s="3055" t="s">
        <v>3407</v>
      </c>
      <c r="K28" s="3055" t="s">
        <v>3408</v>
      </c>
    </row>
    <row r="29" spans="1:11">
      <c r="A29" s="3055" t="s">
        <v>3404</v>
      </c>
      <c r="B29" s="3055" t="s">
        <v>3405</v>
      </c>
      <c r="C29" s="3055">
        <v>24</v>
      </c>
      <c r="D29" s="3055" t="s">
        <v>3406</v>
      </c>
      <c r="E29" s="3055">
        <v>27.78</v>
      </c>
      <c r="F29" s="3055">
        <v>12.72</v>
      </c>
      <c r="G29" s="3055">
        <v>15.06</v>
      </c>
      <c r="H29" s="3055">
        <v>4945.93</v>
      </c>
      <c r="I29" s="3055">
        <v>137398</v>
      </c>
      <c r="J29" s="3055" t="s">
        <v>3407</v>
      </c>
      <c r="K29" s="3055" t="s">
        <v>3408</v>
      </c>
    </row>
    <row r="30" spans="1:11">
      <c r="A30" s="3055" t="s">
        <v>3404</v>
      </c>
      <c r="B30" s="3055" t="s">
        <v>3405</v>
      </c>
      <c r="C30" s="3055">
        <v>25</v>
      </c>
      <c r="D30" s="3055" t="s">
        <v>3406</v>
      </c>
      <c r="E30" s="3055">
        <v>27.78</v>
      </c>
      <c r="F30" s="3055">
        <v>12.72</v>
      </c>
      <c r="G30" s="3055">
        <v>15.06</v>
      </c>
      <c r="H30" s="3055">
        <v>4945.93</v>
      </c>
      <c r="I30" s="3055">
        <v>137398</v>
      </c>
      <c r="J30" s="3055" t="s">
        <v>3407</v>
      </c>
      <c r="K30" s="3055" t="s">
        <v>3408</v>
      </c>
    </row>
    <row r="31" spans="1:11">
      <c r="A31" s="3055" t="s">
        <v>3404</v>
      </c>
      <c r="B31" s="3055" t="s">
        <v>3405</v>
      </c>
      <c r="C31" s="3055">
        <v>26</v>
      </c>
      <c r="D31" s="3055" t="s">
        <v>3406</v>
      </c>
      <c r="E31" s="3055">
        <v>27.78</v>
      </c>
      <c r="F31" s="3055">
        <v>12.72</v>
      </c>
      <c r="G31" s="3055">
        <v>15.06</v>
      </c>
      <c r="H31" s="3055">
        <v>4585.96</v>
      </c>
      <c r="I31" s="3055">
        <v>127398</v>
      </c>
      <c r="J31" s="3055" t="s">
        <v>3407</v>
      </c>
      <c r="K31" s="3055" t="s">
        <v>3408</v>
      </c>
    </row>
    <row r="32" spans="1:11">
      <c r="A32" s="3055" t="s">
        <v>3404</v>
      </c>
      <c r="B32" s="3055" t="s">
        <v>3405</v>
      </c>
      <c r="C32" s="3055">
        <v>27</v>
      </c>
      <c r="D32" s="3055" t="s">
        <v>3406</v>
      </c>
      <c r="E32" s="3055">
        <v>27.78</v>
      </c>
      <c r="F32" s="3055">
        <v>12.72</v>
      </c>
      <c r="G32" s="3055">
        <v>15.06</v>
      </c>
      <c r="H32" s="3055">
        <v>4945.93</v>
      </c>
      <c r="I32" s="3055">
        <v>137398</v>
      </c>
      <c r="J32" s="3055" t="s">
        <v>3407</v>
      </c>
      <c r="K32" s="3055" t="s">
        <v>3408</v>
      </c>
    </row>
    <row r="33" spans="1:11">
      <c r="A33" s="3055" t="s">
        <v>3404</v>
      </c>
      <c r="B33" s="3055" t="s">
        <v>3405</v>
      </c>
      <c r="C33" s="3055">
        <v>28</v>
      </c>
      <c r="D33" s="3055" t="s">
        <v>3406</v>
      </c>
      <c r="E33" s="3055">
        <v>27.78</v>
      </c>
      <c r="F33" s="3055">
        <v>12.72</v>
      </c>
      <c r="G33" s="3055">
        <v>15.06</v>
      </c>
      <c r="H33" s="3055">
        <v>4945.93</v>
      </c>
      <c r="I33" s="3055">
        <v>137398</v>
      </c>
      <c r="J33" s="3055" t="s">
        <v>3407</v>
      </c>
      <c r="K33" s="3055" t="s">
        <v>3408</v>
      </c>
    </row>
    <row r="34" spans="1:11">
      <c r="A34" s="3055" t="s">
        <v>3404</v>
      </c>
      <c r="B34" s="3055" t="s">
        <v>3405</v>
      </c>
      <c r="C34" s="3055">
        <v>29</v>
      </c>
      <c r="D34" s="3055" t="s">
        <v>3406</v>
      </c>
      <c r="E34" s="3055">
        <v>27.78</v>
      </c>
      <c r="F34" s="3055">
        <v>12.72</v>
      </c>
      <c r="G34" s="3055">
        <v>15.06</v>
      </c>
      <c r="H34" s="3055">
        <v>4945.93</v>
      </c>
      <c r="I34" s="3055">
        <v>137398</v>
      </c>
      <c r="J34" s="3055" t="s">
        <v>3407</v>
      </c>
      <c r="K34" s="3055" t="s">
        <v>3408</v>
      </c>
    </row>
    <row r="35" spans="1:11">
      <c r="A35" s="3055" t="s">
        <v>3404</v>
      </c>
      <c r="B35" s="3055" t="s">
        <v>3405</v>
      </c>
      <c r="C35" s="3055">
        <v>30</v>
      </c>
      <c r="D35" s="3055" t="s">
        <v>3406</v>
      </c>
      <c r="E35" s="3055">
        <v>27.78</v>
      </c>
      <c r="F35" s="3055">
        <v>12.72</v>
      </c>
      <c r="G35" s="3055">
        <v>15.06</v>
      </c>
      <c r="H35" s="3055">
        <v>4585.96</v>
      </c>
      <c r="I35" s="3055">
        <v>127398</v>
      </c>
      <c r="J35" s="3055" t="s">
        <v>3407</v>
      </c>
      <c r="K35" s="3055" t="s">
        <v>3408</v>
      </c>
    </row>
    <row r="36" spans="1:11">
      <c r="A36" s="3055" t="s">
        <v>3404</v>
      </c>
      <c r="B36" s="3055" t="s">
        <v>3405</v>
      </c>
      <c r="C36" s="3055">
        <v>31</v>
      </c>
      <c r="D36" s="3055" t="s">
        <v>3406</v>
      </c>
      <c r="E36" s="3055">
        <v>27.78</v>
      </c>
      <c r="F36" s="3055">
        <v>12.72</v>
      </c>
      <c r="G36" s="3055">
        <v>15.06</v>
      </c>
      <c r="H36" s="3055">
        <v>4945.93</v>
      </c>
      <c r="I36" s="3055">
        <v>137398</v>
      </c>
      <c r="J36" s="3055" t="s">
        <v>3407</v>
      </c>
      <c r="K36" s="3055" t="s">
        <v>3408</v>
      </c>
    </row>
    <row r="37" spans="1:11">
      <c r="A37" s="3055" t="s">
        <v>3404</v>
      </c>
      <c r="B37" s="3055" t="s">
        <v>3405</v>
      </c>
      <c r="C37" s="3055">
        <v>32</v>
      </c>
      <c r="D37" s="3055" t="s">
        <v>3406</v>
      </c>
      <c r="E37" s="3055">
        <v>27.78</v>
      </c>
      <c r="F37" s="3055">
        <v>12.72</v>
      </c>
      <c r="G37" s="3055">
        <v>15.06</v>
      </c>
      <c r="H37" s="3055">
        <v>4585.96</v>
      </c>
      <c r="I37" s="3055">
        <v>127398</v>
      </c>
      <c r="J37" s="3055" t="s">
        <v>3407</v>
      </c>
      <c r="K37" s="3055" t="s">
        <v>3408</v>
      </c>
    </row>
    <row r="38" spans="1:11">
      <c r="A38" s="3055" t="s">
        <v>3404</v>
      </c>
      <c r="B38" s="3055" t="s">
        <v>3405</v>
      </c>
      <c r="C38" s="3055">
        <v>33</v>
      </c>
      <c r="D38" s="3055" t="s">
        <v>3406</v>
      </c>
      <c r="E38" s="3055">
        <v>27.78</v>
      </c>
      <c r="F38" s="3055">
        <v>12.72</v>
      </c>
      <c r="G38" s="3055">
        <v>15.06</v>
      </c>
      <c r="H38" s="3055">
        <v>4225.99</v>
      </c>
      <c r="I38" s="3055">
        <v>117398</v>
      </c>
      <c r="J38" s="3055" t="s">
        <v>3407</v>
      </c>
      <c r="K38" s="3055" t="s">
        <v>3408</v>
      </c>
    </row>
    <row r="39" spans="1:11">
      <c r="A39" s="3055" t="s">
        <v>3404</v>
      </c>
      <c r="B39" s="3055" t="s">
        <v>3405</v>
      </c>
      <c r="C39" s="3055">
        <v>34</v>
      </c>
      <c r="D39" s="3055" t="s">
        <v>3406</v>
      </c>
      <c r="E39" s="3055">
        <v>27.78</v>
      </c>
      <c r="F39" s="3055">
        <v>12.72</v>
      </c>
      <c r="G39" s="3055">
        <v>15.06</v>
      </c>
      <c r="H39" s="3055">
        <v>4945.93</v>
      </c>
      <c r="I39" s="3055">
        <v>137398</v>
      </c>
      <c r="J39" s="3055" t="s">
        <v>3407</v>
      </c>
      <c r="K39" s="3055" t="s">
        <v>3408</v>
      </c>
    </row>
    <row r="40" spans="1:11">
      <c r="A40" s="3055" t="s">
        <v>3404</v>
      </c>
      <c r="B40" s="3055" t="s">
        <v>3405</v>
      </c>
      <c r="C40" s="3055">
        <v>35</v>
      </c>
      <c r="D40" s="3055" t="s">
        <v>3406</v>
      </c>
      <c r="E40" s="3055">
        <v>27.78</v>
      </c>
      <c r="F40" s="3055">
        <v>12.72</v>
      </c>
      <c r="G40" s="3055">
        <v>15.06</v>
      </c>
      <c r="H40" s="3055">
        <v>4945.93</v>
      </c>
      <c r="I40" s="3055">
        <v>137398</v>
      </c>
      <c r="J40" s="3055" t="s">
        <v>3407</v>
      </c>
      <c r="K40" s="3055" t="s">
        <v>3408</v>
      </c>
    </row>
    <row r="41" spans="1:11">
      <c r="A41" s="3055" t="s">
        <v>3404</v>
      </c>
      <c r="B41" s="3055" t="s">
        <v>3405</v>
      </c>
      <c r="C41" s="3055">
        <v>36</v>
      </c>
      <c r="D41" s="3055" t="s">
        <v>3406</v>
      </c>
      <c r="E41" s="3055">
        <v>27.78</v>
      </c>
      <c r="F41" s="3055">
        <v>12.72</v>
      </c>
      <c r="G41" s="3055">
        <v>15.06</v>
      </c>
      <c r="H41" s="3055">
        <v>4945.93</v>
      </c>
      <c r="I41" s="3055">
        <v>137398</v>
      </c>
      <c r="J41" s="3055" t="s">
        <v>3407</v>
      </c>
      <c r="K41" s="3055" t="s">
        <v>3408</v>
      </c>
    </row>
    <row r="42" spans="1:11">
      <c r="A42" s="3055" t="s">
        <v>3404</v>
      </c>
      <c r="B42" s="3055" t="s">
        <v>3405</v>
      </c>
      <c r="C42" s="3055">
        <v>37</v>
      </c>
      <c r="D42" s="3055" t="s">
        <v>3406</v>
      </c>
      <c r="E42" s="3055">
        <v>27.78</v>
      </c>
      <c r="F42" s="3055">
        <v>12.72</v>
      </c>
      <c r="G42" s="3055">
        <v>15.06</v>
      </c>
      <c r="H42" s="3055">
        <v>4945.93</v>
      </c>
      <c r="I42" s="3055">
        <v>137398</v>
      </c>
      <c r="J42" s="3055" t="s">
        <v>3407</v>
      </c>
      <c r="K42" s="3055" t="s">
        <v>3408</v>
      </c>
    </row>
    <row r="43" spans="1:11">
      <c r="A43" s="3055" t="s">
        <v>3404</v>
      </c>
      <c r="B43" s="3055" t="s">
        <v>3405</v>
      </c>
      <c r="C43" s="3055">
        <v>38</v>
      </c>
      <c r="D43" s="3055" t="s">
        <v>3406</v>
      </c>
      <c r="E43" s="3055">
        <v>27.78</v>
      </c>
      <c r="F43" s="3055">
        <v>12.72</v>
      </c>
      <c r="G43" s="3055">
        <v>15.06</v>
      </c>
      <c r="H43" s="3055">
        <v>4585.96</v>
      </c>
      <c r="I43" s="3055">
        <v>127398</v>
      </c>
      <c r="J43" s="3055" t="s">
        <v>3407</v>
      </c>
      <c r="K43" s="3055" t="s">
        <v>3408</v>
      </c>
    </row>
    <row r="44" spans="1:11">
      <c r="A44" s="3055" t="s">
        <v>3404</v>
      </c>
      <c r="B44" s="3055" t="s">
        <v>3405</v>
      </c>
      <c r="C44" s="3055">
        <v>39</v>
      </c>
      <c r="D44" s="3055" t="s">
        <v>3406</v>
      </c>
      <c r="E44" s="3055">
        <v>27.78</v>
      </c>
      <c r="F44" s="3055">
        <v>12.72</v>
      </c>
      <c r="G44" s="3055">
        <v>15.06</v>
      </c>
      <c r="H44" s="3055">
        <v>4945.93</v>
      </c>
      <c r="I44" s="3055">
        <v>137398</v>
      </c>
      <c r="J44" s="3055" t="s">
        <v>3407</v>
      </c>
      <c r="K44" s="3055" t="s">
        <v>3408</v>
      </c>
    </row>
    <row r="45" spans="1:11">
      <c r="A45" s="3055" t="s">
        <v>3404</v>
      </c>
      <c r="B45" s="3055" t="s">
        <v>3405</v>
      </c>
      <c r="C45" s="3055">
        <v>40</v>
      </c>
      <c r="D45" s="3055" t="s">
        <v>3406</v>
      </c>
      <c r="E45" s="3055">
        <v>27.78</v>
      </c>
      <c r="F45" s="3055">
        <v>12.72</v>
      </c>
      <c r="G45" s="3055">
        <v>15.06</v>
      </c>
      <c r="H45" s="3055">
        <v>4945.93</v>
      </c>
      <c r="I45" s="3055">
        <v>137398</v>
      </c>
      <c r="J45" s="3055" t="s">
        <v>3407</v>
      </c>
      <c r="K45" s="3055" t="s">
        <v>3408</v>
      </c>
    </row>
    <row r="46" spans="1:11">
      <c r="A46" s="3055" t="s">
        <v>3404</v>
      </c>
      <c r="B46" s="3055" t="s">
        <v>3405</v>
      </c>
      <c r="C46" s="3055">
        <v>41</v>
      </c>
      <c r="D46" s="3055" t="s">
        <v>3406</v>
      </c>
      <c r="E46" s="3055">
        <v>27.78</v>
      </c>
      <c r="F46" s="3055">
        <v>12.72</v>
      </c>
      <c r="G46" s="3055">
        <v>15.06</v>
      </c>
      <c r="H46" s="3055">
        <v>4945.93</v>
      </c>
      <c r="I46" s="3055">
        <v>137398</v>
      </c>
      <c r="J46" s="3055" t="s">
        <v>3407</v>
      </c>
      <c r="K46" s="3055" t="s">
        <v>3408</v>
      </c>
    </row>
    <row r="47" spans="1:11">
      <c r="A47" s="3055" t="s">
        <v>3404</v>
      </c>
      <c r="B47" s="3055" t="s">
        <v>3405</v>
      </c>
      <c r="C47" s="3055">
        <v>42</v>
      </c>
      <c r="D47" s="3055" t="s">
        <v>3406</v>
      </c>
      <c r="E47" s="3055">
        <v>27.78</v>
      </c>
      <c r="F47" s="3055">
        <v>12.72</v>
      </c>
      <c r="G47" s="3055">
        <v>15.06</v>
      </c>
      <c r="H47" s="3055">
        <v>4945.93</v>
      </c>
      <c r="I47" s="3055">
        <v>137398</v>
      </c>
      <c r="J47" s="3055" t="s">
        <v>3407</v>
      </c>
      <c r="K47" s="3055" t="s">
        <v>3408</v>
      </c>
    </row>
    <row r="48" spans="1:11">
      <c r="A48" s="3055" t="s">
        <v>3404</v>
      </c>
      <c r="B48" s="3055" t="s">
        <v>3405</v>
      </c>
      <c r="C48" s="3055">
        <v>43</v>
      </c>
      <c r="D48" s="3055" t="s">
        <v>3406</v>
      </c>
      <c r="E48" s="3055">
        <v>27.78</v>
      </c>
      <c r="F48" s="3055">
        <v>12.72</v>
      </c>
      <c r="G48" s="3055">
        <v>15.06</v>
      </c>
      <c r="H48" s="3055">
        <v>4945.93</v>
      </c>
      <c r="I48" s="3055">
        <v>137398</v>
      </c>
      <c r="J48" s="3055" t="s">
        <v>3407</v>
      </c>
      <c r="K48" s="3055" t="s">
        <v>3408</v>
      </c>
    </row>
    <row r="49" spans="1:11">
      <c r="A49" s="3055" t="s">
        <v>3404</v>
      </c>
      <c r="B49" s="3055" t="s">
        <v>3405</v>
      </c>
      <c r="C49" s="3055">
        <v>44</v>
      </c>
      <c r="D49" s="3055" t="s">
        <v>3406</v>
      </c>
      <c r="E49" s="3055">
        <v>27.78</v>
      </c>
      <c r="F49" s="3055">
        <v>12.72</v>
      </c>
      <c r="G49" s="3055">
        <v>15.06</v>
      </c>
      <c r="H49" s="3055">
        <v>4585.96</v>
      </c>
      <c r="I49" s="3055">
        <v>127398</v>
      </c>
      <c r="J49" s="3055" t="s">
        <v>3407</v>
      </c>
      <c r="K49" s="3055" t="s">
        <v>3408</v>
      </c>
    </row>
    <row r="50" spans="1:11">
      <c r="A50" s="3055" t="s">
        <v>3404</v>
      </c>
      <c r="B50" s="3055" t="s">
        <v>3405</v>
      </c>
      <c r="C50" s="3055">
        <v>45</v>
      </c>
      <c r="D50" s="3055" t="s">
        <v>3406</v>
      </c>
      <c r="E50" s="3055">
        <v>27.78</v>
      </c>
      <c r="F50" s="3055">
        <v>12.72</v>
      </c>
      <c r="G50" s="3055">
        <v>15.06</v>
      </c>
      <c r="H50" s="3055">
        <v>4585.96</v>
      </c>
      <c r="I50" s="3055">
        <v>127398</v>
      </c>
      <c r="J50" s="3055" t="s">
        <v>3407</v>
      </c>
      <c r="K50" s="3055" t="s">
        <v>3408</v>
      </c>
    </row>
    <row r="51" spans="1:11">
      <c r="A51" s="3055" t="s">
        <v>3404</v>
      </c>
      <c r="B51" s="3055" t="s">
        <v>3405</v>
      </c>
      <c r="C51" s="3055">
        <v>46</v>
      </c>
      <c r="D51" s="3055" t="s">
        <v>3406</v>
      </c>
      <c r="E51" s="3055">
        <v>27.78</v>
      </c>
      <c r="F51" s="3055">
        <v>12.72</v>
      </c>
      <c r="G51" s="3055">
        <v>15.06</v>
      </c>
      <c r="H51" s="3055">
        <v>4945.93</v>
      </c>
      <c r="I51" s="3055">
        <v>137398</v>
      </c>
      <c r="J51" s="3055" t="s">
        <v>3407</v>
      </c>
      <c r="K51" s="3055" t="s">
        <v>3408</v>
      </c>
    </row>
    <row r="52" spans="1:11">
      <c r="A52" s="3055" t="s">
        <v>3404</v>
      </c>
      <c r="B52" s="3055" t="s">
        <v>3405</v>
      </c>
      <c r="C52" s="3055">
        <v>47</v>
      </c>
      <c r="D52" s="3055" t="s">
        <v>3406</v>
      </c>
      <c r="E52" s="3055">
        <v>27.78</v>
      </c>
      <c r="F52" s="3055">
        <v>12.72</v>
      </c>
      <c r="G52" s="3055">
        <v>15.06</v>
      </c>
      <c r="H52" s="3055">
        <v>4945.93</v>
      </c>
      <c r="I52" s="3055">
        <v>137398</v>
      </c>
      <c r="J52" s="3055" t="s">
        <v>3407</v>
      </c>
      <c r="K52" s="3055" t="s">
        <v>3408</v>
      </c>
    </row>
    <row r="53" spans="1:11">
      <c r="A53" s="3055" t="s">
        <v>3404</v>
      </c>
      <c r="B53" s="3055" t="s">
        <v>3405</v>
      </c>
      <c r="C53" s="3055">
        <v>48</v>
      </c>
      <c r="D53" s="3055" t="s">
        <v>3406</v>
      </c>
      <c r="E53" s="3055">
        <v>27.78</v>
      </c>
      <c r="F53" s="3055">
        <v>12.72</v>
      </c>
      <c r="G53" s="3055">
        <v>15.06</v>
      </c>
      <c r="H53" s="3055">
        <v>4945.93</v>
      </c>
      <c r="I53" s="3055">
        <v>137398</v>
      </c>
      <c r="J53" s="3055" t="s">
        <v>3407</v>
      </c>
      <c r="K53" s="3055" t="s">
        <v>3408</v>
      </c>
    </row>
    <row r="54" spans="1:11">
      <c r="A54" s="3055" t="s">
        <v>3404</v>
      </c>
      <c r="B54" s="3055" t="s">
        <v>3405</v>
      </c>
      <c r="C54" s="3055">
        <v>49</v>
      </c>
      <c r="D54" s="3055" t="s">
        <v>3406</v>
      </c>
      <c r="E54" s="3055">
        <v>27.78</v>
      </c>
      <c r="F54" s="3055">
        <v>12.72</v>
      </c>
      <c r="G54" s="3055">
        <v>15.06</v>
      </c>
      <c r="H54" s="3055">
        <v>4945.93</v>
      </c>
      <c r="I54" s="3055">
        <v>137398</v>
      </c>
      <c r="J54" s="3055" t="s">
        <v>3407</v>
      </c>
      <c r="K54" s="3055" t="s">
        <v>3408</v>
      </c>
    </row>
    <row r="55" spans="1:11">
      <c r="A55" s="3055" t="s">
        <v>3404</v>
      </c>
      <c r="B55" s="3055" t="s">
        <v>3405</v>
      </c>
      <c r="C55" s="3055">
        <v>50</v>
      </c>
      <c r="D55" s="3055" t="s">
        <v>3406</v>
      </c>
      <c r="E55" s="3055">
        <v>27.78</v>
      </c>
      <c r="F55" s="3055">
        <v>12.72</v>
      </c>
      <c r="G55" s="3055">
        <v>15.06</v>
      </c>
      <c r="H55" s="3055">
        <v>4945.93</v>
      </c>
      <c r="I55" s="3055">
        <v>137398</v>
      </c>
      <c r="J55" s="3055" t="s">
        <v>3407</v>
      </c>
      <c r="K55" s="3055" t="s">
        <v>3408</v>
      </c>
    </row>
    <row r="56" spans="1:11">
      <c r="A56" s="3055" t="s">
        <v>3404</v>
      </c>
      <c r="B56" s="3055" t="s">
        <v>3405</v>
      </c>
      <c r="C56" s="3055">
        <v>51</v>
      </c>
      <c r="D56" s="3055" t="s">
        <v>3406</v>
      </c>
      <c r="E56" s="3055">
        <v>27.78</v>
      </c>
      <c r="F56" s="3055">
        <v>12.72</v>
      </c>
      <c r="G56" s="3055">
        <v>15.06</v>
      </c>
      <c r="H56" s="3055">
        <v>4945.93</v>
      </c>
      <c r="I56" s="3055">
        <v>137398</v>
      </c>
      <c r="J56" s="3055" t="s">
        <v>3407</v>
      </c>
      <c r="K56" s="3055" t="s">
        <v>3408</v>
      </c>
    </row>
    <row r="57" spans="1:11">
      <c r="A57" s="3055" t="s">
        <v>3404</v>
      </c>
      <c r="B57" s="3055" t="s">
        <v>3405</v>
      </c>
      <c r="C57" s="3055">
        <v>52</v>
      </c>
      <c r="D57" s="3055" t="s">
        <v>3406</v>
      </c>
      <c r="E57" s="3055">
        <v>27.78</v>
      </c>
      <c r="F57" s="3055">
        <v>12.72</v>
      </c>
      <c r="G57" s="3055">
        <v>15.06</v>
      </c>
      <c r="H57" s="3055">
        <v>4945.93</v>
      </c>
      <c r="I57" s="3055">
        <v>137398</v>
      </c>
      <c r="J57" s="3055" t="s">
        <v>3407</v>
      </c>
      <c r="K57" s="3055" t="s">
        <v>3408</v>
      </c>
    </row>
    <row r="58" spans="1:11">
      <c r="A58" s="3055" t="s">
        <v>3404</v>
      </c>
      <c r="B58" s="3055" t="s">
        <v>3405</v>
      </c>
      <c r="C58" s="3055">
        <v>53</v>
      </c>
      <c r="D58" s="3055" t="s">
        <v>3406</v>
      </c>
      <c r="E58" s="3055">
        <v>27.78</v>
      </c>
      <c r="F58" s="3055">
        <v>12.72</v>
      </c>
      <c r="G58" s="3055">
        <v>15.06</v>
      </c>
      <c r="H58" s="3055">
        <v>4945.93</v>
      </c>
      <c r="I58" s="3055">
        <v>137398</v>
      </c>
      <c r="J58" s="3055" t="s">
        <v>3407</v>
      </c>
      <c r="K58" s="3055" t="s">
        <v>3408</v>
      </c>
    </row>
    <row r="59" spans="1:11">
      <c r="A59" s="3055" t="s">
        <v>3404</v>
      </c>
      <c r="B59" s="3055" t="s">
        <v>3405</v>
      </c>
      <c r="C59" s="3055">
        <v>54</v>
      </c>
      <c r="D59" s="3055" t="s">
        <v>3406</v>
      </c>
      <c r="E59" s="3055">
        <v>27.78</v>
      </c>
      <c r="F59" s="3055">
        <v>12.72</v>
      </c>
      <c r="G59" s="3055">
        <v>15.06</v>
      </c>
      <c r="H59" s="3055">
        <v>4945.93</v>
      </c>
      <c r="I59" s="3055">
        <v>137398</v>
      </c>
      <c r="J59" s="3055" t="s">
        <v>3407</v>
      </c>
      <c r="K59" s="3055" t="s">
        <v>3408</v>
      </c>
    </row>
    <row r="60" spans="1:11">
      <c r="A60" s="3055" t="s">
        <v>3404</v>
      </c>
      <c r="B60" s="3055" t="s">
        <v>3405</v>
      </c>
      <c r="C60" s="3055">
        <v>55</v>
      </c>
      <c r="D60" s="3055" t="s">
        <v>3406</v>
      </c>
      <c r="E60" s="3055">
        <v>27.78</v>
      </c>
      <c r="F60" s="3055">
        <v>12.72</v>
      </c>
      <c r="G60" s="3055">
        <v>15.06</v>
      </c>
      <c r="H60" s="3055">
        <v>4945.93</v>
      </c>
      <c r="I60" s="3055">
        <v>137398</v>
      </c>
      <c r="J60" s="3055" t="s">
        <v>3407</v>
      </c>
      <c r="K60" s="3055" t="s">
        <v>3408</v>
      </c>
    </row>
    <row r="61" spans="1:11">
      <c r="A61" s="3055" t="s">
        <v>3404</v>
      </c>
      <c r="B61" s="3055" t="s">
        <v>3405</v>
      </c>
      <c r="C61" s="3055">
        <v>56</v>
      </c>
      <c r="D61" s="3055" t="s">
        <v>3406</v>
      </c>
      <c r="E61" s="3055">
        <v>27.78</v>
      </c>
      <c r="F61" s="3055">
        <v>12.72</v>
      </c>
      <c r="G61" s="3055">
        <v>15.06</v>
      </c>
      <c r="H61" s="3055">
        <v>4945.93</v>
      </c>
      <c r="I61" s="3055">
        <v>137398</v>
      </c>
      <c r="J61" s="3055" t="s">
        <v>3407</v>
      </c>
      <c r="K61" s="3055" t="s">
        <v>3408</v>
      </c>
    </row>
    <row r="62" spans="1:11">
      <c r="A62" s="3055" t="s">
        <v>3404</v>
      </c>
      <c r="B62" s="3055" t="s">
        <v>3405</v>
      </c>
      <c r="C62" s="3055">
        <v>57</v>
      </c>
      <c r="D62" s="3055" t="s">
        <v>3406</v>
      </c>
      <c r="E62" s="3055">
        <v>27.78</v>
      </c>
      <c r="F62" s="3055">
        <v>12.72</v>
      </c>
      <c r="G62" s="3055">
        <v>15.06</v>
      </c>
      <c r="H62" s="3055">
        <v>4585.96</v>
      </c>
      <c r="I62" s="3055">
        <v>127398</v>
      </c>
      <c r="J62" s="3055" t="s">
        <v>3407</v>
      </c>
      <c r="K62" s="3055" t="s">
        <v>3408</v>
      </c>
    </row>
    <row r="63" spans="1:11">
      <c r="A63" s="3055" t="s">
        <v>3404</v>
      </c>
      <c r="B63" s="3055" t="s">
        <v>3405</v>
      </c>
      <c r="C63" s="3055">
        <v>58</v>
      </c>
      <c r="D63" s="3055" t="s">
        <v>3406</v>
      </c>
      <c r="E63" s="3055">
        <v>27.78</v>
      </c>
      <c r="F63" s="3055">
        <v>12.72</v>
      </c>
      <c r="G63" s="3055">
        <v>15.06</v>
      </c>
      <c r="H63" s="3055">
        <v>4945.93</v>
      </c>
      <c r="I63" s="3055">
        <v>137398</v>
      </c>
      <c r="J63" s="3055" t="s">
        <v>3407</v>
      </c>
      <c r="K63" s="3055" t="s">
        <v>3408</v>
      </c>
    </row>
    <row r="64" spans="1:11">
      <c r="A64" s="3055" t="s">
        <v>3404</v>
      </c>
      <c r="B64" s="3055" t="s">
        <v>3405</v>
      </c>
      <c r="C64" s="3055">
        <v>59</v>
      </c>
      <c r="D64" s="3055" t="s">
        <v>3406</v>
      </c>
      <c r="E64" s="3055">
        <v>27.78</v>
      </c>
      <c r="F64" s="3055">
        <v>12.72</v>
      </c>
      <c r="G64" s="3055">
        <v>15.06</v>
      </c>
      <c r="H64" s="3055">
        <v>4945.93</v>
      </c>
      <c r="I64" s="3055">
        <v>137398</v>
      </c>
      <c r="J64" s="3055" t="s">
        <v>3407</v>
      </c>
      <c r="K64" s="3055" t="s">
        <v>3408</v>
      </c>
    </row>
    <row r="65" spans="1:11">
      <c r="A65" s="3055" t="s">
        <v>3404</v>
      </c>
      <c r="B65" s="3055" t="s">
        <v>3405</v>
      </c>
      <c r="C65" s="3055">
        <v>60</v>
      </c>
      <c r="D65" s="3055" t="s">
        <v>3406</v>
      </c>
      <c r="E65" s="3055">
        <v>27.78</v>
      </c>
      <c r="F65" s="3055">
        <v>12.72</v>
      </c>
      <c r="G65" s="3055">
        <v>15.06</v>
      </c>
      <c r="H65" s="3055">
        <v>4945.93</v>
      </c>
      <c r="I65" s="3055">
        <v>137398</v>
      </c>
      <c r="J65" s="3055" t="s">
        <v>3407</v>
      </c>
      <c r="K65" s="3055" t="s">
        <v>3408</v>
      </c>
    </row>
    <row r="66" spans="1:11">
      <c r="A66" s="3055" t="s">
        <v>3404</v>
      </c>
      <c r="B66" s="3055" t="s">
        <v>3405</v>
      </c>
      <c r="C66" s="3055">
        <v>61</v>
      </c>
      <c r="D66" s="3055" t="s">
        <v>3406</v>
      </c>
      <c r="E66" s="3055">
        <v>27.78</v>
      </c>
      <c r="F66" s="3055">
        <v>12.72</v>
      </c>
      <c r="G66" s="3055">
        <v>15.06</v>
      </c>
      <c r="H66" s="3055">
        <v>4945.93</v>
      </c>
      <c r="I66" s="3055">
        <v>137398</v>
      </c>
      <c r="J66" s="3055" t="s">
        <v>3407</v>
      </c>
      <c r="K66" s="3055" t="s">
        <v>3408</v>
      </c>
    </row>
    <row r="67" spans="1:11">
      <c r="A67" s="3055" t="s">
        <v>3404</v>
      </c>
      <c r="B67" s="3055" t="s">
        <v>3405</v>
      </c>
      <c r="C67" s="3055">
        <v>62</v>
      </c>
      <c r="D67" s="3055" t="s">
        <v>3406</v>
      </c>
      <c r="E67" s="3055">
        <v>27.78</v>
      </c>
      <c r="F67" s="3055">
        <v>12.72</v>
      </c>
      <c r="G67" s="3055">
        <v>15.06</v>
      </c>
      <c r="H67" s="3055">
        <v>4945.93</v>
      </c>
      <c r="I67" s="3055">
        <v>137398</v>
      </c>
      <c r="J67" s="3055" t="s">
        <v>3407</v>
      </c>
      <c r="K67" s="3055" t="s">
        <v>3408</v>
      </c>
    </row>
    <row r="68" spans="1:11">
      <c r="A68" s="3055" t="s">
        <v>3404</v>
      </c>
      <c r="B68" s="3055" t="s">
        <v>3405</v>
      </c>
      <c r="C68" s="3055">
        <v>63</v>
      </c>
      <c r="D68" s="3055" t="s">
        <v>3406</v>
      </c>
      <c r="E68" s="3055">
        <v>27.78</v>
      </c>
      <c r="F68" s="3055">
        <v>12.72</v>
      </c>
      <c r="G68" s="3055">
        <v>15.06</v>
      </c>
      <c r="H68" s="3055">
        <v>4945.93</v>
      </c>
      <c r="I68" s="3055">
        <v>137398</v>
      </c>
      <c r="J68" s="3055" t="s">
        <v>3407</v>
      </c>
      <c r="K68" s="3055" t="s">
        <v>3408</v>
      </c>
    </row>
    <row r="69" spans="1:11">
      <c r="A69" s="3055" t="s">
        <v>3404</v>
      </c>
      <c r="B69" s="3055" t="s">
        <v>3405</v>
      </c>
      <c r="C69" s="3055">
        <v>64</v>
      </c>
      <c r="D69" s="3055" t="s">
        <v>3406</v>
      </c>
      <c r="E69" s="3055">
        <v>27.78</v>
      </c>
      <c r="F69" s="3055">
        <v>12.72</v>
      </c>
      <c r="G69" s="3055">
        <v>15.06</v>
      </c>
      <c r="H69" s="3055">
        <v>4945.93</v>
      </c>
      <c r="I69" s="3055">
        <v>137398</v>
      </c>
      <c r="J69" s="3055" t="s">
        <v>3407</v>
      </c>
      <c r="K69" s="3055" t="s">
        <v>3408</v>
      </c>
    </row>
    <row r="70" spans="1:11">
      <c r="A70" s="3055" t="s">
        <v>3404</v>
      </c>
      <c r="B70" s="3055" t="s">
        <v>3405</v>
      </c>
      <c r="C70" s="3055">
        <v>65</v>
      </c>
      <c r="D70" s="3055" t="s">
        <v>3406</v>
      </c>
      <c r="E70" s="3055">
        <v>27.78</v>
      </c>
      <c r="F70" s="3055">
        <v>12.72</v>
      </c>
      <c r="G70" s="3055">
        <v>15.06</v>
      </c>
      <c r="H70" s="3055">
        <v>4945.93</v>
      </c>
      <c r="I70" s="3055">
        <v>137398</v>
      </c>
      <c r="J70" s="3055" t="s">
        <v>3407</v>
      </c>
      <c r="K70" s="3055" t="s">
        <v>3408</v>
      </c>
    </row>
    <row r="71" spans="1:11">
      <c r="A71" s="3055" t="s">
        <v>3404</v>
      </c>
      <c r="B71" s="3055" t="s">
        <v>3405</v>
      </c>
      <c r="C71" s="3055">
        <v>66</v>
      </c>
      <c r="D71" s="3055" t="s">
        <v>3406</v>
      </c>
      <c r="E71" s="3055">
        <v>27.78</v>
      </c>
      <c r="F71" s="3055">
        <v>12.72</v>
      </c>
      <c r="G71" s="3055">
        <v>15.06</v>
      </c>
      <c r="H71" s="3055">
        <v>4945.93</v>
      </c>
      <c r="I71" s="3055">
        <v>137398</v>
      </c>
      <c r="J71" s="3055" t="s">
        <v>3407</v>
      </c>
      <c r="K71" s="3055" t="s">
        <v>3408</v>
      </c>
    </row>
    <row r="72" spans="1:11">
      <c r="A72" s="3055" t="s">
        <v>3404</v>
      </c>
      <c r="B72" s="3055" t="s">
        <v>3405</v>
      </c>
      <c r="C72" s="3055">
        <v>67</v>
      </c>
      <c r="D72" s="3055" t="s">
        <v>3406</v>
      </c>
      <c r="E72" s="3055">
        <v>27.78</v>
      </c>
      <c r="F72" s="3055">
        <v>12.72</v>
      </c>
      <c r="G72" s="3055">
        <v>15.06</v>
      </c>
      <c r="H72" s="3055">
        <v>4945.93</v>
      </c>
      <c r="I72" s="3055">
        <v>137398</v>
      </c>
      <c r="J72" s="3055" t="s">
        <v>3407</v>
      </c>
      <c r="K72" s="3055" t="s">
        <v>3408</v>
      </c>
    </row>
    <row r="73" spans="1:11">
      <c r="A73" s="3055" t="s">
        <v>3404</v>
      </c>
      <c r="B73" s="3055" t="s">
        <v>3405</v>
      </c>
      <c r="C73" s="3055">
        <v>68</v>
      </c>
      <c r="D73" s="3055" t="s">
        <v>3406</v>
      </c>
      <c r="E73" s="3055">
        <v>27.78</v>
      </c>
      <c r="F73" s="3055">
        <v>12.72</v>
      </c>
      <c r="G73" s="3055">
        <v>15.06</v>
      </c>
      <c r="H73" s="3055">
        <v>4945.93</v>
      </c>
      <c r="I73" s="3055">
        <v>137398</v>
      </c>
      <c r="J73" s="3055" t="s">
        <v>3407</v>
      </c>
      <c r="K73" s="3055" t="s">
        <v>3408</v>
      </c>
    </row>
    <row r="74" spans="1:11">
      <c r="A74" s="3055" t="s">
        <v>3404</v>
      </c>
      <c r="B74" s="3055" t="s">
        <v>3405</v>
      </c>
      <c r="C74" s="3055">
        <v>69</v>
      </c>
      <c r="D74" s="3055" t="s">
        <v>3406</v>
      </c>
      <c r="E74" s="3055">
        <v>27.78</v>
      </c>
      <c r="F74" s="3055">
        <v>12.72</v>
      </c>
      <c r="G74" s="3055">
        <v>15.06</v>
      </c>
      <c r="H74" s="3055">
        <v>4945.93</v>
      </c>
      <c r="I74" s="3055">
        <v>137398</v>
      </c>
      <c r="J74" s="3055" t="s">
        <v>3407</v>
      </c>
      <c r="K74" s="3055" t="s">
        <v>3408</v>
      </c>
    </row>
    <row r="75" spans="1:11">
      <c r="A75" s="3055" t="s">
        <v>3404</v>
      </c>
      <c r="B75" s="3055" t="s">
        <v>3405</v>
      </c>
      <c r="C75" s="3055">
        <v>70</v>
      </c>
      <c r="D75" s="3055" t="s">
        <v>3406</v>
      </c>
      <c r="E75" s="3055">
        <v>27.78</v>
      </c>
      <c r="F75" s="3055">
        <v>12.72</v>
      </c>
      <c r="G75" s="3055">
        <v>15.06</v>
      </c>
      <c r="H75" s="3055">
        <v>4945.93</v>
      </c>
      <c r="I75" s="3055">
        <v>137398</v>
      </c>
      <c r="J75" s="3055" t="s">
        <v>3407</v>
      </c>
      <c r="K75" s="3055" t="s">
        <v>3408</v>
      </c>
    </row>
    <row r="76" spans="1:11">
      <c r="A76" s="3055" t="s">
        <v>3404</v>
      </c>
      <c r="B76" s="3055" t="s">
        <v>3405</v>
      </c>
      <c r="C76" s="3055">
        <v>71</v>
      </c>
      <c r="D76" s="3055" t="s">
        <v>3406</v>
      </c>
      <c r="E76" s="3055">
        <v>27.78</v>
      </c>
      <c r="F76" s="3055">
        <v>12.72</v>
      </c>
      <c r="G76" s="3055">
        <v>15.06</v>
      </c>
      <c r="H76" s="3055">
        <v>4945.93</v>
      </c>
      <c r="I76" s="3055">
        <v>137398</v>
      </c>
      <c r="J76" s="3055" t="s">
        <v>3407</v>
      </c>
      <c r="K76" s="3055" t="s">
        <v>3408</v>
      </c>
    </row>
    <row r="77" spans="1:11">
      <c r="A77" s="3055" t="s">
        <v>3404</v>
      </c>
      <c r="B77" s="3055" t="s">
        <v>3405</v>
      </c>
      <c r="C77" s="3055">
        <v>72</v>
      </c>
      <c r="D77" s="3055" t="s">
        <v>3406</v>
      </c>
      <c r="E77" s="3055">
        <v>27.78</v>
      </c>
      <c r="F77" s="3055">
        <v>12.72</v>
      </c>
      <c r="G77" s="3055">
        <v>15.06</v>
      </c>
      <c r="H77" s="3055">
        <v>4945.93</v>
      </c>
      <c r="I77" s="3055">
        <v>137398</v>
      </c>
      <c r="J77" s="3055" t="s">
        <v>3407</v>
      </c>
      <c r="K77" s="3055" t="s">
        <v>3408</v>
      </c>
    </row>
    <row r="78" spans="1:11">
      <c r="A78" s="3055" t="s">
        <v>3404</v>
      </c>
      <c r="B78" s="3055" t="s">
        <v>3405</v>
      </c>
      <c r="C78" s="3055">
        <v>73</v>
      </c>
      <c r="D78" s="3055" t="s">
        <v>3406</v>
      </c>
      <c r="E78" s="3055">
        <v>27.78</v>
      </c>
      <c r="F78" s="3055">
        <v>12.72</v>
      </c>
      <c r="G78" s="3055">
        <v>15.06</v>
      </c>
      <c r="H78" s="3055">
        <v>4945.93</v>
      </c>
      <c r="I78" s="3055">
        <v>137398</v>
      </c>
      <c r="J78" s="3055" t="s">
        <v>3407</v>
      </c>
      <c r="K78" s="3055" t="s">
        <v>3408</v>
      </c>
    </row>
    <row r="79" spans="1:11">
      <c r="A79" s="3055" t="s">
        <v>3404</v>
      </c>
      <c r="B79" s="3055" t="s">
        <v>3405</v>
      </c>
      <c r="C79" s="3055">
        <v>74</v>
      </c>
      <c r="D79" s="3055" t="s">
        <v>3406</v>
      </c>
      <c r="E79" s="3055">
        <v>27.78</v>
      </c>
      <c r="F79" s="3055">
        <v>12.72</v>
      </c>
      <c r="G79" s="3055">
        <v>15.06</v>
      </c>
      <c r="H79" s="3055">
        <v>4945.93</v>
      </c>
      <c r="I79" s="3055">
        <v>137398</v>
      </c>
      <c r="J79" s="3055" t="s">
        <v>3407</v>
      </c>
      <c r="K79" s="3055" t="s">
        <v>3408</v>
      </c>
    </row>
    <row r="80" spans="1:11">
      <c r="A80" s="3055" t="s">
        <v>3404</v>
      </c>
      <c r="B80" s="3055" t="s">
        <v>3405</v>
      </c>
      <c r="C80" s="3055">
        <v>75</v>
      </c>
      <c r="D80" s="3055" t="s">
        <v>3406</v>
      </c>
      <c r="E80" s="3055">
        <v>27.78</v>
      </c>
      <c r="F80" s="3055">
        <v>12.72</v>
      </c>
      <c r="G80" s="3055">
        <v>15.06</v>
      </c>
      <c r="H80" s="3055">
        <v>4585.96</v>
      </c>
      <c r="I80" s="3055">
        <v>127398</v>
      </c>
      <c r="J80" s="3055" t="s">
        <v>3407</v>
      </c>
      <c r="K80" s="3055" t="s">
        <v>3408</v>
      </c>
    </row>
    <row r="81" spans="1:11">
      <c r="A81" s="3055" t="s">
        <v>3404</v>
      </c>
      <c r="B81" s="3055" t="s">
        <v>3405</v>
      </c>
      <c r="C81" s="3055">
        <v>76</v>
      </c>
      <c r="D81" s="3055" t="s">
        <v>3406</v>
      </c>
      <c r="E81" s="3055">
        <v>27.78</v>
      </c>
      <c r="F81" s="3055">
        <v>12.72</v>
      </c>
      <c r="G81" s="3055">
        <v>15.06</v>
      </c>
      <c r="H81" s="3055">
        <v>4945.93</v>
      </c>
      <c r="I81" s="3055">
        <v>137398</v>
      </c>
      <c r="J81" s="3055" t="s">
        <v>3407</v>
      </c>
      <c r="K81" s="3055" t="s">
        <v>3408</v>
      </c>
    </row>
    <row r="82" spans="1:11">
      <c r="A82" s="3055" t="s">
        <v>3404</v>
      </c>
      <c r="B82" s="3055" t="s">
        <v>3405</v>
      </c>
      <c r="C82" s="3055">
        <v>77</v>
      </c>
      <c r="D82" s="3055" t="s">
        <v>3406</v>
      </c>
      <c r="E82" s="3055">
        <v>27.78</v>
      </c>
      <c r="F82" s="3055">
        <v>12.72</v>
      </c>
      <c r="G82" s="3055">
        <v>15.06</v>
      </c>
      <c r="H82" s="3055">
        <v>4945.93</v>
      </c>
      <c r="I82" s="3055">
        <v>137398</v>
      </c>
      <c r="J82" s="3055" t="s">
        <v>3407</v>
      </c>
      <c r="K82" s="3055" t="s">
        <v>3408</v>
      </c>
    </row>
    <row r="83" spans="1:11">
      <c r="A83" s="3055" t="s">
        <v>3404</v>
      </c>
      <c r="B83" s="3055" t="s">
        <v>3405</v>
      </c>
      <c r="C83" s="3055">
        <v>78</v>
      </c>
      <c r="D83" s="3055" t="s">
        <v>3406</v>
      </c>
      <c r="E83" s="3055">
        <v>27.78</v>
      </c>
      <c r="F83" s="3055">
        <v>12.72</v>
      </c>
      <c r="G83" s="3055">
        <v>15.06</v>
      </c>
      <c r="H83" s="3055">
        <v>4945.93</v>
      </c>
      <c r="I83" s="3055">
        <v>137398</v>
      </c>
      <c r="J83" s="3055" t="s">
        <v>3407</v>
      </c>
      <c r="K83" s="3055" t="s">
        <v>3408</v>
      </c>
    </row>
    <row r="84" spans="1:11">
      <c r="A84" s="3055" t="s">
        <v>3404</v>
      </c>
      <c r="B84" s="3055" t="s">
        <v>3405</v>
      </c>
      <c r="C84" s="3055">
        <v>79</v>
      </c>
      <c r="D84" s="3055" t="s">
        <v>3406</v>
      </c>
      <c r="E84" s="3055">
        <v>27.78</v>
      </c>
      <c r="F84" s="3055">
        <v>12.72</v>
      </c>
      <c r="G84" s="3055">
        <v>15.06</v>
      </c>
      <c r="H84" s="3055">
        <v>4945.93</v>
      </c>
      <c r="I84" s="3055">
        <v>137398</v>
      </c>
      <c r="J84" s="3055" t="s">
        <v>3407</v>
      </c>
      <c r="K84" s="3055" t="s">
        <v>3408</v>
      </c>
    </row>
    <row r="85" spans="1:11">
      <c r="A85" s="3055" t="s">
        <v>3404</v>
      </c>
      <c r="B85" s="3055" t="s">
        <v>3405</v>
      </c>
      <c r="C85" s="3055">
        <v>80</v>
      </c>
      <c r="D85" s="3055" t="s">
        <v>3406</v>
      </c>
      <c r="E85" s="3055">
        <v>27.78</v>
      </c>
      <c r="F85" s="3055">
        <v>12.72</v>
      </c>
      <c r="G85" s="3055">
        <v>15.06</v>
      </c>
      <c r="H85" s="3055">
        <v>4945.93</v>
      </c>
      <c r="I85" s="3055">
        <v>137398</v>
      </c>
      <c r="J85" s="3055" t="s">
        <v>3407</v>
      </c>
      <c r="K85" s="3055" t="s">
        <v>3408</v>
      </c>
    </row>
    <row r="86" spans="1:11">
      <c r="A86" s="3055" t="s">
        <v>3404</v>
      </c>
      <c r="B86" s="3055" t="s">
        <v>3405</v>
      </c>
      <c r="C86" s="3055">
        <v>81</v>
      </c>
      <c r="D86" s="3055" t="s">
        <v>3406</v>
      </c>
      <c r="E86" s="3055">
        <v>27.78</v>
      </c>
      <c r="F86" s="3055">
        <v>12.72</v>
      </c>
      <c r="G86" s="3055">
        <v>15.06</v>
      </c>
      <c r="H86" s="3055">
        <v>4945.93</v>
      </c>
      <c r="I86" s="3055">
        <v>137398</v>
      </c>
      <c r="J86" s="3055" t="s">
        <v>3407</v>
      </c>
      <c r="K86" s="3055" t="s">
        <v>3408</v>
      </c>
    </row>
    <row r="87" spans="1:11">
      <c r="A87" s="3055" t="s">
        <v>3404</v>
      </c>
      <c r="B87" s="3055" t="s">
        <v>3405</v>
      </c>
      <c r="C87" s="3055">
        <v>82</v>
      </c>
      <c r="D87" s="3055" t="s">
        <v>3406</v>
      </c>
      <c r="E87" s="3055">
        <v>27.78</v>
      </c>
      <c r="F87" s="3055">
        <v>12.72</v>
      </c>
      <c r="G87" s="3055">
        <v>15.06</v>
      </c>
      <c r="H87" s="3055">
        <v>4945.93</v>
      </c>
      <c r="I87" s="3055">
        <v>137398</v>
      </c>
      <c r="J87" s="3055" t="s">
        <v>3407</v>
      </c>
      <c r="K87" s="3055" t="s">
        <v>3408</v>
      </c>
    </row>
    <row r="88" spans="1:11">
      <c r="A88" s="3055" t="s">
        <v>3404</v>
      </c>
      <c r="B88" s="3055" t="s">
        <v>3405</v>
      </c>
      <c r="C88" s="3055">
        <v>83</v>
      </c>
      <c r="D88" s="3055" t="s">
        <v>3406</v>
      </c>
      <c r="E88" s="3055">
        <v>27.78</v>
      </c>
      <c r="F88" s="3055">
        <v>12.72</v>
      </c>
      <c r="G88" s="3055">
        <v>15.06</v>
      </c>
      <c r="H88" s="3055">
        <v>4945.93</v>
      </c>
      <c r="I88" s="3055">
        <v>137398</v>
      </c>
      <c r="J88" s="3055" t="s">
        <v>3407</v>
      </c>
      <c r="K88" s="3055" t="s">
        <v>3408</v>
      </c>
    </row>
    <row r="89" spans="1:11">
      <c r="A89" s="3055" t="s">
        <v>3404</v>
      </c>
      <c r="B89" s="3055" t="s">
        <v>3405</v>
      </c>
      <c r="C89" s="3055">
        <v>84</v>
      </c>
      <c r="D89" s="3055" t="s">
        <v>3406</v>
      </c>
      <c r="E89" s="3055">
        <v>27.78</v>
      </c>
      <c r="F89" s="3055">
        <v>12.72</v>
      </c>
      <c r="G89" s="3055">
        <v>15.06</v>
      </c>
      <c r="H89" s="3055">
        <v>4225.99</v>
      </c>
      <c r="I89" s="3055">
        <v>117398</v>
      </c>
      <c r="J89" s="3055" t="s">
        <v>3407</v>
      </c>
      <c r="K89" s="3055" t="s">
        <v>3408</v>
      </c>
    </row>
    <row r="90" spans="1:11">
      <c r="A90" s="3055" t="s">
        <v>3404</v>
      </c>
      <c r="B90" s="3055" t="s">
        <v>3405</v>
      </c>
      <c r="C90" s="3055">
        <v>85</v>
      </c>
      <c r="D90" s="3055" t="s">
        <v>3406</v>
      </c>
      <c r="E90" s="3055">
        <v>27.78</v>
      </c>
      <c r="F90" s="3055">
        <v>12.72</v>
      </c>
      <c r="G90" s="3055">
        <v>15.06</v>
      </c>
      <c r="H90" s="3055">
        <v>4945.93</v>
      </c>
      <c r="I90" s="3055">
        <v>137398</v>
      </c>
      <c r="J90" s="3055" t="s">
        <v>3407</v>
      </c>
      <c r="K90" s="3055" t="s">
        <v>3408</v>
      </c>
    </row>
    <row r="91" spans="1:11">
      <c r="A91" s="3055" t="s">
        <v>3404</v>
      </c>
      <c r="B91" s="3055" t="s">
        <v>3405</v>
      </c>
      <c r="C91" s="3055">
        <v>86</v>
      </c>
      <c r="D91" s="3055" t="s">
        <v>3406</v>
      </c>
      <c r="E91" s="3055">
        <v>27.78</v>
      </c>
      <c r="F91" s="3055">
        <v>12.72</v>
      </c>
      <c r="G91" s="3055">
        <v>15.06</v>
      </c>
      <c r="H91" s="3055">
        <v>4945.93</v>
      </c>
      <c r="I91" s="3055">
        <v>137398</v>
      </c>
      <c r="J91" s="3055" t="s">
        <v>3407</v>
      </c>
      <c r="K91" s="3055" t="s">
        <v>3408</v>
      </c>
    </row>
    <row r="92" spans="1:11">
      <c r="A92" s="3055" t="s">
        <v>3404</v>
      </c>
      <c r="B92" s="3055" t="s">
        <v>3405</v>
      </c>
      <c r="C92" s="3055">
        <v>87</v>
      </c>
      <c r="D92" s="3055" t="s">
        <v>3406</v>
      </c>
      <c r="E92" s="3055">
        <v>27.78</v>
      </c>
      <c r="F92" s="3055">
        <v>12.72</v>
      </c>
      <c r="G92" s="3055">
        <v>15.06</v>
      </c>
      <c r="H92" s="3055">
        <v>4585.96</v>
      </c>
      <c r="I92" s="3055">
        <v>127398</v>
      </c>
      <c r="J92" s="3055" t="s">
        <v>3407</v>
      </c>
      <c r="K92" s="3055" t="s">
        <v>3408</v>
      </c>
    </row>
    <row r="93" spans="1:11">
      <c r="A93" s="3055" t="s">
        <v>3404</v>
      </c>
      <c r="B93" s="3055" t="s">
        <v>3405</v>
      </c>
      <c r="C93" s="3055">
        <v>88</v>
      </c>
      <c r="D93" s="3055" t="s">
        <v>3406</v>
      </c>
      <c r="E93" s="3055">
        <v>27.78</v>
      </c>
      <c r="F93" s="3055">
        <v>12.72</v>
      </c>
      <c r="G93" s="3055">
        <v>15.06</v>
      </c>
      <c r="H93" s="3055">
        <v>4585.96</v>
      </c>
      <c r="I93" s="3055">
        <v>127398</v>
      </c>
      <c r="J93" s="3055" t="s">
        <v>3407</v>
      </c>
      <c r="K93" s="3055" t="s">
        <v>3408</v>
      </c>
    </row>
    <row r="94" spans="1:11">
      <c r="A94" s="3055" t="s">
        <v>3404</v>
      </c>
      <c r="B94" s="3055" t="s">
        <v>3405</v>
      </c>
      <c r="C94" s="3055">
        <v>89</v>
      </c>
      <c r="D94" s="3055" t="s">
        <v>3406</v>
      </c>
      <c r="E94" s="3055">
        <v>27.78</v>
      </c>
      <c r="F94" s="3055">
        <v>12.72</v>
      </c>
      <c r="G94" s="3055">
        <v>15.06</v>
      </c>
      <c r="H94" s="3055">
        <v>4945.93</v>
      </c>
      <c r="I94" s="3055">
        <v>137398</v>
      </c>
      <c r="J94" s="3055" t="s">
        <v>3407</v>
      </c>
      <c r="K94" s="3055" t="s">
        <v>3408</v>
      </c>
    </row>
    <row r="95" spans="1:11">
      <c r="A95" s="3055" t="s">
        <v>3404</v>
      </c>
      <c r="B95" s="3055" t="s">
        <v>3405</v>
      </c>
      <c r="C95" s="3055">
        <v>90</v>
      </c>
      <c r="D95" s="3055" t="s">
        <v>3406</v>
      </c>
      <c r="E95" s="3055">
        <v>27.78</v>
      </c>
      <c r="F95" s="3055">
        <v>12.72</v>
      </c>
      <c r="G95" s="3055">
        <v>15.06</v>
      </c>
      <c r="H95" s="3055">
        <v>4945.93</v>
      </c>
      <c r="I95" s="3055">
        <v>137398</v>
      </c>
      <c r="J95" s="3055" t="s">
        <v>3407</v>
      </c>
      <c r="K95" s="3055" t="s">
        <v>3408</v>
      </c>
    </row>
    <row r="96" spans="1:11">
      <c r="A96" s="3055" t="s">
        <v>3404</v>
      </c>
      <c r="B96" s="3055" t="s">
        <v>3405</v>
      </c>
      <c r="C96" s="3055">
        <v>91</v>
      </c>
      <c r="D96" s="3055" t="s">
        <v>3406</v>
      </c>
      <c r="E96" s="3055">
        <v>27.78</v>
      </c>
      <c r="F96" s="3055">
        <v>12.72</v>
      </c>
      <c r="G96" s="3055">
        <v>15.06</v>
      </c>
      <c r="H96" s="3055">
        <v>4945.93</v>
      </c>
      <c r="I96" s="3055">
        <v>137398</v>
      </c>
      <c r="J96" s="3055" t="s">
        <v>3407</v>
      </c>
      <c r="K96" s="3055" t="s">
        <v>3408</v>
      </c>
    </row>
    <row r="97" spans="1:11">
      <c r="A97" s="3055" t="s">
        <v>3404</v>
      </c>
      <c r="B97" s="3055" t="s">
        <v>3405</v>
      </c>
      <c r="C97" s="3055">
        <v>92</v>
      </c>
      <c r="D97" s="3055" t="s">
        <v>3406</v>
      </c>
      <c r="E97" s="3055">
        <v>27.78</v>
      </c>
      <c r="F97" s="3055">
        <v>12.72</v>
      </c>
      <c r="G97" s="3055">
        <v>15.06</v>
      </c>
      <c r="H97" s="3055">
        <v>4945.93</v>
      </c>
      <c r="I97" s="3055">
        <v>137398</v>
      </c>
      <c r="J97" s="3055" t="s">
        <v>3407</v>
      </c>
      <c r="K97" s="3055" t="s">
        <v>3408</v>
      </c>
    </row>
    <row r="98" spans="1:11">
      <c r="A98" s="3055" t="s">
        <v>3404</v>
      </c>
      <c r="B98" s="3055" t="s">
        <v>3405</v>
      </c>
      <c r="C98" s="3055">
        <v>93</v>
      </c>
      <c r="D98" s="3055" t="s">
        <v>3406</v>
      </c>
      <c r="E98" s="3055">
        <v>27.78</v>
      </c>
      <c r="F98" s="3055">
        <v>12.72</v>
      </c>
      <c r="G98" s="3055">
        <v>15.06</v>
      </c>
      <c r="H98" s="3055">
        <v>4585.96</v>
      </c>
      <c r="I98" s="3055">
        <v>127398</v>
      </c>
      <c r="J98" s="3055" t="s">
        <v>3407</v>
      </c>
      <c r="K98" s="3055" t="s">
        <v>3408</v>
      </c>
    </row>
    <row r="99" spans="1:11">
      <c r="A99" s="3055" t="s">
        <v>3404</v>
      </c>
      <c r="B99" s="3055" t="s">
        <v>3405</v>
      </c>
      <c r="C99" s="3055">
        <v>94</v>
      </c>
      <c r="D99" s="3055" t="s">
        <v>3406</v>
      </c>
      <c r="E99" s="3055">
        <v>27.78</v>
      </c>
      <c r="F99" s="3055">
        <v>12.72</v>
      </c>
      <c r="G99" s="3055">
        <v>15.06</v>
      </c>
      <c r="H99" s="3055">
        <v>4945.93</v>
      </c>
      <c r="I99" s="3055">
        <v>137398</v>
      </c>
      <c r="J99" s="3055" t="s">
        <v>3407</v>
      </c>
      <c r="K99" s="3055" t="s">
        <v>3408</v>
      </c>
    </row>
    <row r="100" spans="1:11">
      <c r="A100" s="3055" t="s">
        <v>3404</v>
      </c>
      <c r="B100" s="3055" t="s">
        <v>3405</v>
      </c>
      <c r="C100" s="3055">
        <v>95</v>
      </c>
      <c r="D100" s="3055" t="s">
        <v>3406</v>
      </c>
      <c r="E100" s="3055">
        <v>27.78</v>
      </c>
      <c r="F100" s="3055">
        <v>12.72</v>
      </c>
      <c r="G100" s="3055">
        <v>15.06</v>
      </c>
      <c r="H100" s="3055">
        <v>4945.93</v>
      </c>
      <c r="I100" s="3055">
        <v>137398</v>
      </c>
      <c r="J100" s="3055" t="s">
        <v>3407</v>
      </c>
      <c r="K100" s="3055" t="s">
        <v>3408</v>
      </c>
    </row>
    <row r="101" spans="1:11">
      <c r="A101" s="3055" t="s">
        <v>3404</v>
      </c>
      <c r="B101" s="3055" t="s">
        <v>3405</v>
      </c>
      <c r="C101" s="3055">
        <v>96</v>
      </c>
      <c r="D101" s="3055" t="s">
        <v>3406</v>
      </c>
      <c r="E101" s="3055">
        <v>27.78</v>
      </c>
      <c r="F101" s="3055">
        <v>12.72</v>
      </c>
      <c r="G101" s="3055">
        <v>15.06</v>
      </c>
      <c r="H101" s="3055">
        <v>4945.93</v>
      </c>
      <c r="I101" s="3055">
        <v>137398</v>
      </c>
      <c r="J101" s="3055" t="s">
        <v>3407</v>
      </c>
      <c r="K101" s="3055" t="s">
        <v>3408</v>
      </c>
    </row>
    <row r="102" spans="1:11">
      <c r="A102" s="3055" t="s">
        <v>3404</v>
      </c>
      <c r="B102" s="3055" t="s">
        <v>3405</v>
      </c>
      <c r="C102" s="3055">
        <v>97</v>
      </c>
      <c r="D102" s="3055" t="s">
        <v>3409</v>
      </c>
      <c r="E102" s="3055">
        <v>19.22</v>
      </c>
      <c r="F102" s="3055">
        <v>8.8000000000000007</v>
      </c>
      <c r="G102" s="3055">
        <v>10.42</v>
      </c>
      <c r="H102" s="3055">
        <v>4547.24</v>
      </c>
      <c r="I102" s="3055">
        <v>87398</v>
      </c>
      <c r="J102" s="3055" t="s">
        <v>3407</v>
      </c>
      <c r="K102" s="3055" t="s">
        <v>3408</v>
      </c>
    </row>
    <row r="103" spans="1:11">
      <c r="A103" s="3055" t="s">
        <v>3404</v>
      </c>
      <c r="B103" s="3055" t="s">
        <v>3405</v>
      </c>
      <c r="C103" s="3055">
        <v>98</v>
      </c>
      <c r="D103" s="3055" t="s">
        <v>3406</v>
      </c>
      <c r="E103" s="3055">
        <v>27.78</v>
      </c>
      <c r="F103" s="3055">
        <v>12.72</v>
      </c>
      <c r="G103" s="3055">
        <v>15.06</v>
      </c>
      <c r="H103" s="3055">
        <v>4945.93</v>
      </c>
      <c r="I103" s="3055">
        <v>137398</v>
      </c>
      <c r="J103" s="3055" t="s">
        <v>3407</v>
      </c>
      <c r="K103" s="3055" t="s">
        <v>3408</v>
      </c>
    </row>
    <row r="104" spans="1:11">
      <c r="A104" s="3055" t="s">
        <v>3404</v>
      </c>
      <c r="B104" s="3055" t="s">
        <v>3405</v>
      </c>
      <c r="C104" s="3055">
        <v>99</v>
      </c>
      <c r="D104" s="3055" t="s">
        <v>3406</v>
      </c>
      <c r="E104" s="3055">
        <v>27.78</v>
      </c>
      <c r="F104" s="3055">
        <v>12.72</v>
      </c>
      <c r="G104" s="3055">
        <v>15.06</v>
      </c>
      <c r="H104" s="3055">
        <v>4945.93</v>
      </c>
      <c r="I104" s="3055">
        <v>137398</v>
      </c>
      <c r="J104" s="3055" t="s">
        <v>3407</v>
      </c>
      <c r="K104" s="3055" t="s">
        <v>3408</v>
      </c>
    </row>
    <row r="105" spans="1:11">
      <c r="A105" s="3055" t="s">
        <v>3404</v>
      </c>
      <c r="B105" s="3055" t="s">
        <v>3405</v>
      </c>
      <c r="C105" s="3055">
        <v>100</v>
      </c>
      <c r="D105" s="3055" t="s">
        <v>3406</v>
      </c>
      <c r="E105" s="3055">
        <v>27.78</v>
      </c>
      <c r="F105" s="3055">
        <v>12.72</v>
      </c>
      <c r="G105" s="3055">
        <v>15.06</v>
      </c>
      <c r="H105" s="3055">
        <v>4945.93</v>
      </c>
      <c r="I105" s="3055">
        <v>137398</v>
      </c>
      <c r="J105" s="3055" t="s">
        <v>3407</v>
      </c>
      <c r="K105" s="3055" t="s">
        <v>3408</v>
      </c>
    </row>
    <row r="106" spans="1:11">
      <c r="A106" s="3055" t="s">
        <v>3404</v>
      </c>
      <c r="B106" s="3055" t="s">
        <v>3405</v>
      </c>
      <c r="C106" s="3055">
        <v>101</v>
      </c>
      <c r="D106" s="3055" t="s">
        <v>3406</v>
      </c>
      <c r="E106" s="3055">
        <v>27.78</v>
      </c>
      <c r="F106" s="3055">
        <v>12.72</v>
      </c>
      <c r="G106" s="3055">
        <v>15.06</v>
      </c>
      <c r="H106" s="3055">
        <v>4945.93</v>
      </c>
      <c r="I106" s="3055">
        <v>137398</v>
      </c>
      <c r="J106" s="3055" t="s">
        <v>3407</v>
      </c>
      <c r="K106" s="3055" t="s">
        <v>3408</v>
      </c>
    </row>
    <row r="107" spans="1:11">
      <c r="A107" s="3055" t="s">
        <v>3404</v>
      </c>
      <c r="B107" s="3055" t="s">
        <v>3405</v>
      </c>
      <c r="C107" s="3055">
        <v>102</v>
      </c>
      <c r="D107" s="3055" t="s">
        <v>3406</v>
      </c>
      <c r="E107" s="3055">
        <v>27.78</v>
      </c>
      <c r="F107" s="3055">
        <v>12.72</v>
      </c>
      <c r="G107" s="3055">
        <v>15.06</v>
      </c>
      <c r="H107" s="3055">
        <v>4945.93</v>
      </c>
      <c r="I107" s="3055">
        <v>137398</v>
      </c>
      <c r="J107" s="3055" t="s">
        <v>3407</v>
      </c>
      <c r="K107" s="3055" t="s">
        <v>3408</v>
      </c>
    </row>
    <row r="108" spans="1:11">
      <c r="A108" s="3055" t="s">
        <v>3404</v>
      </c>
      <c r="B108" s="3055" t="s">
        <v>3405</v>
      </c>
      <c r="C108" s="3055">
        <v>103</v>
      </c>
      <c r="D108" s="3055" t="s">
        <v>3406</v>
      </c>
      <c r="E108" s="3055">
        <v>27.78</v>
      </c>
      <c r="F108" s="3055">
        <v>12.72</v>
      </c>
      <c r="G108" s="3055">
        <v>15.06</v>
      </c>
      <c r="H108" s="3055">
        <v>4945.93</v>
      </c>
      <c r="I108" s="3055">
        <v>137398</v>
      </c>
      <c r="J108" s="3055" t="s">
        <v>3407</v>
      </c>
      <c r="K108" s="3055" t="s">
        <v>3408</v>
      </c>
    </row>
    <row r="109" spans="1:11">
      <c r="A109" s="3055" t="s">
        <v>3404</v>
      </c>
      <c r="B109" s="3055" t="s">
        <v>3405</v>
      </c>
      <c r="C109" s="3055">
        <v>104</v>
      </c>
      <c r="D109" s="3055" t="s">
        <v>3409</v>
      </c>
      <c r="E109" s="3055">
        <v>19.22</v>
      </c>
      <c r="F109" s="3055">
        <v>8.8000000000000007</v>
      </c>
      <c r="G109" s="3055">
        <v>10.42</v>
      </c>
      <c r="H109" s="3055">
        <v>4287.1000000000004</v>
      </c>
      <c r="I109" s="3055">
        <v>82398</v>
      </c>
      <c r="J109" s="3055" t="s">
        <v>3407</v>
      </c>
      <c r="K109" s="3055" t="s">
        <v>3408</v>
      </c>
    </row>
    <row r="110" spans="1:11">
      <c r="A110" s="3055" t="s">
        <v>3404</v>
      </c>
      <c r="B110" s="3055" t="s">
        <v>3405</v>
      </c>
      <c r="C110" s="3055">
        <v>105</v>
      </c>
      <c r="D110" s="3055" t="s">
        <v>3406</v>
      </c>
      <c r="E110" s="3055">
        <v>27.78</v>
      </c>
      <c r="F110" s="3055">
        <v>12.72</v>
      </c>
      <c r="G110" s="3055">
        <v>15.06</v>
      </c>
      <c r="H110" s="3055">
        <v>4945.93</v>
      </c>
      <c r="I110" s="3055">
        <v>137398</v>
      </c>
      <c r="J110" s="3055" t="s">
        <v>3407</v>
      </c>
      <c r="K110" s="3055" t="s">
        <v>3408</v>
      </c>
    </row>
    <row r="111" spans="1:11">
      <c r="A111" s="3055" t="s">
        <v>3404</v>
      </c>
      <c r="B111" s="3055" t="s">
        <v>3405</v>
      </c>
      <c r="C111" s="3055">
        <v>106</v>
      </c>
      <c r="D111" s="3055" t="s">
        <v>3406</v>
      </c>
      <c r="E111" s="3055">
        <v>27.78</v>
      </c>
      <c r="F111" s="3055">
        <v>12.72</v>
      </c>
      <c r="G111" s="3055">
        <v>15.06</v>
      </c>
      <c r="H111" s="3055">
        <v>4945.93</v>
      </c>
      <c r="I111" s="3055">
        <v>137398</v>
      </c>
      <c r="J111" s="3055" t="s">
        <v>3407</v>
      </c>
      <c r="K111" s="3055" t="s">
        <v>3408</v>
      </c>
    </row>
    <row r="112" spans="1:11">
      <c r="A112" s="3055" t="s">
        <v>3404</v>
      </c>
      <c r="B112" s="3055" t="s">
        <v>3405</v>
      </c>
      <c r="C112" s="3055">
        <v>107</v>
      </c>
      <c r="D112" s="3055" t="s">
        <v>3406</v>
      </c>
      <c r="E112" s="3055">
        <v>27.78</v>
      </c>
      <c r="F112" s="3055">
        <v>12.72</v>
      </c>
      <c r="G112" s="3055">
        <v>15.06</v>
      </c>
      <c r="H112" s="3055">
        <v>4945.93</v>
      </c>
      <c r="I112" s="3055">
        <v>137398</v>
      </c>
      <c r="J112" s="3055" t="s">
        <v>3407</v>
      </c>
      <c r="K112" s="3055" t="s">
        <v>3408</v>
      </c>
    </row>
    <row r="113" spans="1:11">
      <c r="A113" s="3055" t="s">
        <v>3404</v>
      </c>
      <c r="B113" s="3055" t="s">
        <v>3405</v>
      </c>
      <c r="C113" s="3055">
        <v>108</v>
      </c>
      <c r="D113" s="3055" t="s">
        <v>3406</v>
      </c>
      <c r="E113" s="3055">
        <v>27.78</v>
      </c>
      <c r="F113" s="3055">
        <v>12.72</v>
      </c>
      <c r="G113" s="3055">
        <v>15.06</v>
      </c>
      <c r="H113" s="3055">
        <v>4945.93</v>
      </c>
      <c r="I113" s="3055">
        <v>137398</v>
      </c>
      <c r="J113" s="3055" t="s">
        <v>3407</v>
      </c>
      <c r="K113" s="3055" t="s">
        <v>3408</v>
      </c>
    </row>
    <row r="114" spans="1:11">
      <c r="A114" s="3055" t="s">
        <v>3404</v>
      </c>
      <c r="B114" s="3055" t="s">
        <v>3405</v>
      </c>
      <c r="C114" s="3055">
        <v>109</v>
      </c>
      <c r="D114" s="3055" t="s">
        <v>3406</v>
      </c>
      <c r="E114" s="3055">
        <v>27.78</v>
      </c>
      <c r="F114" s="3055">
        <v>12.72</v>
      </c>
      <c r="G114" s="3055">
        <v>15.06</v>
      </c>
      <c r="H114" s="3055">
        <v>4945.93</v>
      </c>
      <c r="I114" s="3055">
        <v>137398</v>
      </c>
      <c r="J114" s="3055" t="s">
        <v>3407</v>
      </c>
      <c r="K114" s="3055" t="s">
        <v>3408</v>
      </c>
    </row>
    <row r="115" spans="1:11">
      <c r="A115" s="3055" t="s">
        <v>3404</v>
      </c>
      <c r="B115" s="3055" t="s">
        <v>3405</v>
      </c>
      <c r="C115" s="3055">
        <v>110</v>
      </c>
      <c r="D115" s="3055" t="s">
        <v>3406</v>
      </c>
      <c r="E115" s="3055">
        <v>27.78</v>
      </c>
      <c r="F115" s="3055">
        <v>12.72</v>
      </c>
      <c r="G115" s="3055">
        <v>15.06</v>
      </c>
      <c r="H115" s="3055">
        <v>4945.93</v>
      </c>
      <c r="I115" s="3055">
        <v>137398</v>
      </c>
      <c r="J115" s="3055" t="s">
        <v>3407</v>
      </c>
      <c r="K115" s="3055" t="s">
        <v>3408</v>
      </c>
    </row>
    <row r="116" spans="1:11">
      <c r="A116" s="3055" t="s">
        <v>3404</v>
      </c>
      <c r="B116" s="3055" t="s">
        <v>3405</v>
      </c>
      <c r="C116" s="3055">
        <v>111</v>
      </c>
      <c r="D116" s="3055" t="s">
        <v>3406</v>
      </c>
      <c r="E116" s="3055">
        <v>27.78</v>
      </c>
      <c r="F116" s="3055">
        <v>12.72</v>
      </c>
      <c r="G116" s="3055">
        <v>15.06</v>
      </c>
      <c r="H116" s="3055">
        <v>4945.93</v>
      </c>
      <c r="I116" s="3055">
        <v>137398</v>
      </c>
      <c r="J116" s="3055" t="s">
        <v>3407</v>
      </c>
      <c r="K116" s="3055" t="s">
        <v>3408</v>
      </c>
    </row>
    <row r="117" spans="1:11">
      <c r="A117" s="3055" t="s">
        <v>3404</v>
      </c>
      <c r="B117" s="3055" t="s">
        <v>3405</v>
      </c>
      <c r="C117" s="3055">
        <v>112</v>
      </c>
      <c r="D117" s="3055" t="s">
        <v>3406</v>
      </c>
      <c r="E117" s="3055">
        <v>27.78</v>
      </c>
      <c r="F117" s="3055">
        <v>12.72</v>
      </c>
      <c r="G117" s="3055">
        <v>15.06</v>
      </c>
      <c r="H117" s="3055">
        <v>4945.93</v>
      </c>
      <c r="I117" s="3055">
        <v>137398</v>
      </c>
      <c r="J117" s="3055" t="s">
        <v>3407</v>
      </c>
      <c r="K117" s="3055" t="s">
        <v>3408</v>
      </c>
    </row>
    <row r="118" spans="1:11">
      <c r="A118" s="3055" t="s">
        <v>3404</v>
      </c>
      <c r="B118" s="3055" t="s">
        <v>3405</v>
      </c>
      <c r="C118" s="3055">
        <v>113</v>
      </c>
      <c r="D118" s="3055" t="s">
        <v>3406</v>
      </c>
      <c r="E118" s="3055">
        <v>27.78</v>
      </c>
      <c r="F118" s="3055">
        <v>12.72</v>
      </c>
      <c r="G118" s="3055">
        <v>15.06</v>
      </c>
      <c r="H118" s="3055">
        <v>4945.93</v>
      </c>
      <c r="I118" s="3055">
        <v>137398</v>
      </c>
      <c r="J118" s="3055" t="s">
        <v>3407</v>
      </c>
      <c r="K118" s="3055" t="s">
        <v>3408</v>
      </c>
    </row>
    <row r="119" spans="1:11">
      <c r="A119" s="3055" t="s">
        <v>3404</v>
      </c>
      <c r="B119" s="3055" t="s">
        <v>3405</v>
      </c>
      <c r="C119" s="3055">
        <v>114</v>
      </c>
      <c r="D119" s="3055" t="s">
        <v>3406</v>
      </c>
      <c r="E119" s="3055">
        <v>27.78</v>
      </c>
      <c r="F119" s="3055">
        <v>12.72</v>
      </c>
      <c r="G119" s="3055">
        <v>15.06</v>
      </c>
      <c r="H119" s="3055">
        <v>4945.93</v>
      </c>
      <c r="I119" s="3055">
        <v>137398</v>
      </c>
      <c r="J119" s="3055" t="s">
        <v>3407</v>
      </c>
      <c r="K119" s="3055" t="s">
        <v>3408</v>
      </c>
    </row>
    <row r="120" spans="1:11">
      <c r="A120" s="3055" t="s">
        <v>3404</v>
      </c>
      <c r="B120" s="3055" t="s">
        <v>3405</v>
      </c>
      <c r="C120" s="3055">
        <v>115</v>
      </c>
      <c r="D120" s="3055" t="s">
        <v>3406</v>
      </c>
      <c r="E120" s="3055">
        <v>27.78</v>
      </c>
      <c r="F120" s="3055">
        <v>12.72</v>
      </c>
      <c r="G120" s="3055">
        <v>15.06</v>
      </c>
      <c r="H120" s="3055">
        <v>4945.93</v>
      </c>
      <c r="I120" s="3055">
        <v>137398</v>
      </c>
      <c r="J120" s="3055" t="s">
        <v>3407</v>
      </c>
      <c r="K120" s="3055" t="s">
        <v>3408</v>
      </c>
    </row>
    <row r="121" spans="1:11">
      <c r="A121" s="3055" t="s">
        <v>3404</v>
      </c>
      <c r="B121" s="3055" t="s">
        <v>3405</v>
      </c>
      <c r="C121" s="3055">
        <v>116</v>
      </c>
      <c r="D121" s="3055" t="s">
        <v>3406</v>
      </c>
      <c r="E121" s="3055">
        <v>27.78</v>
      </c>
      <c r="F121" s="3055">
        <v>12.72</v>
      </c>
      <c r="G121" s="3055">
        <v>15.06</v>
      </c>
      <c r="H121" s="3055">
        <v>4945.93</v>
      </c>
      <c r="I121" s="3055">
        <v>137398</v>
      </c>
      <c r="J121" s="3055" t="s">
        <v>3407</v>
      </c>
      <c r="K121" s="3055" t="s">
        <v>3408</v>
      </c>
    </row>
    <row r="122" spans="1:11">
      <c r="A122" s="3055" t="s">
        <v>3404</v>
      </c>
      <c r="B122" s="3055" t="s">
        <v>3405</v>
      </c>
      <c r="C122" s="3055">
        <v>117</v>
      </c>
      <c r="D122" s="3055" t="s">
        <v>3406</v>
      </c>
      <c r="E122" s="3055">
        <v>27.78</v>
      </c>
      <c r="F122" s="3055">
        <v>12.72</v>
      </c>
      <c r="G122" s="3055">
        <v>15.06</v>
      </c>
      <c r="H122" s="3055">
        <v>4945.93</v>
      </c>
      <c r="I122" s="3055">
        <v>137398</v>
      </c>
      <c r="J122" s="3055" t="s">
        <v>3407</v>
      </c>
      <c r="K122" s="3055" t="s">
        <v>3408</v>
      </c>
    </row>
    <row r="123" spans="1:11">
      <c r="A123" s="3055" t="s">
        <v>3404</v>
      </c>
      <c r="B123" s="3055" t="s">
        <v>3405</v>
      </c>
      <c r="C123" s="3055">
        <v>118</v>
      </c>
      <c r="D123" s="3055" t="s">
        <v>3406</v>
      </c>
      <c r="E123" s="3055">
        <v>27.78</v>
      </c>
      <c r="F123" s="3055">
        <v>12.72</v>
      </c>
      <c r="G123" s="3055">
        <v>15.06</v>
      </c>
      <c r="H123" s="3055">
        <v>4945.93</v>
      </c>
      <c r="I123" s="3055">
        <v>137398</v>
      </c>
      <c r="J123" s="3055" t="s">
        <v>3407</v>
      </c>
      <c r="K123" s="3055" t="s">
        <v>3408</v>
      </c>
    </row>
    <row r="124" spans="1:11">
      <c r="A124" s="3055" t="s">
        <v>3404</v>
      </c>
      <c r="B124" s="3055" t="s">
        <v>3405</v>
      </c>
      <c r="C124" s="3055">
        <v>119</v>
      </c>
      <c r="D124" s="3055" t="s">
        <v>3409</v>
      </c>
      <c r="E124" s="3055">
        <v>19.22</v>
      </c>
      <c r="F124" s="3055">
        <v>8.8000000000000007</v>
      </c>
      <c r="G124" s="3055">
        <v>10.42</v>
      </c>
      <c r="H124" s="3055">
        <v>4547.24</v>
      </c>
      <c r="I124" s="3055">
        <v>87398</v>
      </c>
      <c r="J124" s="3055" t="s">
        <v>3407</v>
      </c>
      <c r="K124" s="3055" t="s">
        <v>3408</v>
      </c>
    </row>
    <row r="125" spans="1:11">
      <c r="A125" s="3055" t="s">
        <v>3404</v>
      </c>
      <c r="B125" s="3055" t="s">
        <v>3405</v>
      </c>
      <c r="C125" s="3055">
        <v>120</v>
      </c>
      <c r="D125" s="3055" t="s">
        <v>3406</v>
      </c>
      <c r="E125" s="3055">
        <v>27.78</v>
      </c>
      <c r="F125" s="3055">
        <v>12.72</v>
      </c>
      <c r="G125" s="3055">
        <v>15.06</v>
      </c>
      <c r="H125" s="3055">
        <v>4945.93</v>
      </c>
      <c r="I125" s="3055">
        <v>137398</v>
      </c>
      <c r="J125" s="3055" t="s">
        <v>3407</v>
      </c>
      <c r="K125" s="3055" t="s">
        <v>3408</v>
      </c>
    </row>
    <row r="126" spans="1:11">
      <c r="A126" s="3055" t="s">
        <v>3404</v>
      </c>
      <c r="B126" s="3055" t="s">
        <v>3405</v>
      </c>
      <c r="C126" s="3055">
        <v>121</v>
      </c>
      <c r="D126" s="3055" t="s">
        <v>3406</v>
      </c>
      <c r="E126" s="3055">
        <v>27.78</v>
      </c>
      <c r="F126" s="3055">
        <v>12.72</v>
      </c>
      <c r="G126" s="3055">
        <v>15.06</v>
      </c>
      <c r="H126" s="3055">
        <v>4945.93</v>
      </c>
      <c r="I126" s="3055">
        <v>137398</v>
      </c>
      <c r="J126" s="3055" t="s">
        <v>3407</v>
      </c>
      <c r="K126" s="3055" t="s">
        <v>3408</v>
      </c>
    </row>
    <row r="127" spans="1:11">
      <c r="A127" s="3055" t="s">
        <v>3404</v>
      </c>
      <c r="B127" s="3055" t="s">
        <v>3405</v>
      </c>
      <c r="C127" s="3055">
        <v>122</v>
      </c>
      <c r="D127" s="3055" t="s">
        <v>3406</v>
      </c>
      <c r="E127" s="3055">
        <v>27.78</v>
      </c>
      <c r="F127" s="3055">
        <v>12.72</v>
      </c>
      <c r="G127" s="3055">
        <v>15.06</v>
      </c>
      <c r="H127" s="3055">
        <v>4945.93</v>
      </c>
      <c r="I127" s="3055">
        <v>137398</v>
      </c>
      <c r="J127" s="3055" t="s">
        <v>3407</v>
      </c>
      <c r="K127" s="3055" t="s">
        <v>3408</v>
      </c>
    </row>
    <row r="128" spans="1:11">
      <c r="A128" s="3055" t="s">
        <v>3404</v>
      </c>
      <c r="B128" s="3055" t="s">
        <v>3405</v>
      </c>
      <c r="C128" s="3055">
        <v>123</v>
      </c>
      <c r="D128" s="3055" t="s">
        <v>3406</v>
      </c>
      <c r="E128" s="3055">
        <v>27.78</v>
      </c>
      <c r="F128" s="3055">
        <v>12.72</v>
      </c>
      <c r="G128" s="3055">
        <v>15.06</v>
      </c>
      <c r="H128" s="3055">
        <v>4945.93</v>
      </c>
      <c r="I128" s="3055">
        <v>137398</v>
      </c>
      <c r="J128" s="3055" t="s">
        <v>3407</v>
      </c>
      <c r="K128" s="3055" t="s">
        <v>3408</v>
      </c>
    </row>
    <row r="129" spans="1:11">
      <c r="A129" s="3055" t="s">
        <v>3404</v>
      </c>
      <c r="B129" s="3055" t="s">
        <v>3405</v>
      </c>
      <c r="C129" s="3055">
        <v>124</v>
      </c>
      <c r="D129" s="3055" t="s">
        <v>3406</v>
      </c>
      <c r="E129" s="3055">
        <v>27.78</v>
      </c>
      <c r="F129" s="3055">
        <v>12.72</v>
      </c>
      <c r="G129" s="3055">
        <v>15.06</v>
      </c>
      <c r="H129" s="3055">
        <v>4945.93</v>
      </c>
      <c r="I129" s="3055">
        <v>137398</v>
      </c>
      <c r="J129" s="3055" t="s">
        <v>3407</v>
      </c>
      <c r="K129" s="3055" t="s">
        <v>3408</v>
      </c>
    </row>
    <row r="130" spans="1:11">
      <c r="A130" s="3055" t="s">
        <v>3404</v>
      </c>
      <c r="B130" s="3055" t="s">
        <v>3405</v>
      </c>
      <c r="C130" s="3055">
        <v>125</v>
      </c>
      <c r="D130" s="3055" t="s">
        <v>3406</v>
      </c>
      <c r="E130" s="3055">
        <v>27.78</v>
      </c>
      <c r="F130" s="3055">
        <v>12.72</v>
      </c>
      <c r="G130" s="3055">
        <v>15.06</v>
      </c>
      <c r="H130" s="3055">
        <v>4945.93</v>
      </c>
      <c r="I130" s="3055">
        <v>137398</v>
      </c>
      <c r="J130" s="3055" t="s">
        <v>3407</v>
      </c>
      <c r="K130" s="3055" t="s">
        <v>3408</v>
      </c>
    </row>
    <row r="131" spans="1:11">
      <c r="A131" s="3055" t="s">
        <v>3404</v>
      </c>
      <c r="B131" s="3055" t="s">
        <v>3405</v>
      </c>
      <c r="C131" s="3055">
        <v>126</v>
      </c>
      <c r="D131" s="3055" t="s">
        <v>3406</v>
      </c>
      <c r="E131" s="3055">
        <v>27.78</v>
      </c>
      <c r="F131" s="3055">
        <v>12.72</v>
      </c>
      <c r="G131" s="3055">
        <v>15.06</v>
      </c>
      <c r="H131" s="3055">
        <v>4945.93</v>
      </c>
      <c r="I131" s="3055">
        <v>137398</v>
      </c>
      <c r="J131" s="3055" t="s">
        <v>3407</v>
      </c>
      <c r="K131" s="3055" t="s">
        <v>3408</v>
      </c>
    </row>
    <row r="132" spans="1:11">
      <c r="A132" s="3055" t="s">
        <v>3404</v>
      </c>
      <c r="B132" s="3055" t="s">
        <v>3405</v>
      </c>
      <c r="C132" s="3055">
        <v>127</v>
      </c>
      <c r="D132" s="3055" t="s">
        <v>3406</v>
      </c>
      <c r="E132" s="3055">
        <v>27.78</v>
      </c>
      <c r="F132" s="3055">
        <v>12.72</v>
      </c>
      <c r="G132" s="3055">
        <v>15.06</v>
      </c>
      <c r="H132" s="3055">
        <v>4945.93</v>
      </c>
      <c r="I132" s="3055">
        <v>137398</v>
      </c>
      <c r="J132" s="3055" t="s">
        <v>3407</v>
      </c>
      <c r="K132" s="3055" t="s">
        <v>3408</v>
      </c>
    </row>
    <row r="133" spans="1:11">
      <c r="A133" s="3055" t="s">
        <v>3404</v>
      </c>
      <c r="B133" s="3055" t="s">
        <v>3405</v>
      </c>
      <c r="C133" s="3055">
        <v>128</v>
      </c>
      <c r="D133" s="3055" t="s">
        <v>3406</v>
      </c>
      <c r="E133" s="3055">
        <v>27.78</v>
      </c>
      <c r="F133" s="3055">
        <v>12.72</v>
      </c>
      <c r="G133" s="3055">
        <v>15.06</v>
      </c>
      <c r="H133" s="3055">
        <v>4585.96</v>
      </c>
      <c r="I133" s="3055">
        <v>127398</v>
      </c>
      <c r="J133" s="3055" t="s">
        <v>3407</v>
      </c>
      <c r="K133" s="3055" t="s">
        <v>3408</v>
      </c>
    </row>
    <row r="134" spans="1:11">
      <c r="A134" s="3055" t="s">
        <v>3404</v>
      </c>
      <c r="B134" s="3055" t="s">
        <v>3405</v>
      </c>
      <c r="C134" s="3055">
        <v>129</v>
      </c>
      <c r="D134" s="3055" t="s">
        <v>3406</v>
      </c>
      <c r="E134" s="3055">
        <v>27.78</v>
      </c>
      <c r="F134" s="3055">
        <v>12.72</v>
      </c>
      <c r="G134" s="3055">
        <v>15.06</v>
      </c>
      <c r="H134" s="3055">
        <v>4945.93</v>
      </c>
      <c r="I134" s="3055">
        <v>137398</v>
      </c>
      <c r="J134" s="3055" t="s">
        <v>3407</v>
      </c>
      <c r="K134" s="3055" t="s">
        <v>3408</v>
      </c>
    </row>
    <row r="135" spans="1:11">
      <c r="A135" s="3055" t="s">
        <v>3404</v>
      </c>
      <c r="B135" s="3055" t="s">
        <v>3405</v>
      </c>
      <c r="C135" s="3055">
        <v>130</v>
      </c>
      <c r="D135" s="3055" t="s">
        <v>3406</v>
      </c>
      <c r="E135" s="3055">
        <v>27.78</v>
      </c>
      <c r="F135" s="3055">
        <v>12.72</v>
      </c>
      <c r="G135" s="3055">
        <v>15.06</v>
      </c>
      <c r="H135" s="3055">
        <v>4945.93</v>
      </c>
      <c r="I135" s="3055">
        <v>137398</v>
      </c>
      <c r="J135" s="3055" t="s">
        <v>3407</v>
      </c>
      <c r="K135" s="3055" t="s">
        <v>3408</v>
      </c>
    </row>
    <row r="136" spans="1:11">
      <c r="A136" s="3055" t="s">
        <v>3404</v>
      </c>
      <c r="B136" s="3055" t="s">
        <v>3405</v>
      </c>
      <c r="C136" s="3055">
        <v>131</v>
      </c>
      <c r="D136" s="3055" t="s">
        <v>3406</v>
      </c>
      <c r="E136" s="3055">
        <v>27.78</v>
      </c>
      <c r="F136" s="3055">
        <v>12.72</v>
      </c>
      <c r="G136" s="3055">
        <v>15.06</v>
      </c>
      <c r="H136" s="3055">
        <v>4585.96</v>
      </c>
      <c r="I136" s="3055">
        <v>127398</v>
      </c>
      <c r="J136" s="3055" t="s">
        <v>3407</v>
      </c>
      <c r="K136" s="3055" t="s">
        <v>3408</v>
      </c>
    </row>
    <row r="137" spans="1:11">
      <c r="A137" s="3055" t="s">
        <v>3404</v>
      </c>
      <c r="B137" s="3055" t="s">
        <v>3405</v>
      </c>
      <c r="C137" s="3055">
        <v>132</v>
      </c>
      <c r="D137" s="3055" t="s">
        <v>3406</v>
      </c>
      <c r="E137" s="3055">
        <v>27.78</v>
      </c>
      <c r="F137" s="3055">
        <v>12.72</v>
      </c>
      <c r="G137" s="3055">
        <v>15.06</v>
      </c>
      <c r="H137" s="3055">
        <v>4945.93</v>
      </c>
      <c r="I137" s="3055">
        <v>137398</v>
      </c>
      <c r="J137" s="3055" t="s">
        <v>3407</v>
      </c>
      <c r="K137" s="3055" t="s">
        <v>3408</v>
      </c>
    </row>
    <row r="138" spans="1:11">
      <c r="A138" s="3055" t="s">
        <v>3404</v>
      </c>
      <c r="B138" s="3055" t="s">
        <v>3405</v>
      </c>
      <c r="C138" s="3055">
        <v>133</v>
      </c>
      <c r="D138" s="3055" t="s">
        <v>3406</v>
      </c>
      <c r="E138" s="3055">
        <v>27.78</v>
      </c>
      <c r="F138" s="3055">
        <v>12.72</v>
      </c>
      <c r="G138" s="3055">
        <v>15.06</v>
      </c>
      <c r="H138" s="3055">
        <v>4945.93</v>
      </c>
      <c r="I138" s="3055">
        <v>137398</v>
      </c>
      <c r="J138" s="3055" t="s">
        <v>3407</v>
      </c>
      <c r="K138" s="3055" t="s">
        <v>3408</v>
      </c>
    </row>
    <row r="139" spans="1:11">
      <c r="A139" s="3055" t="s">
        <v>3404</v>
      </c>
      <c r="B139" s="3055" t="s">
        <v>3405</v>
      </c>
      <c r="C139" s="3055">
        <v>134</v>
      </c>
      <c r="D139" s="3055" t="s">
        <v>3406</v>
      </c>
      <c r="E139" s="3055">
        <v>27.78</v>
      </c>
      <c r="F139" s="3055">
        <v>12.72</v>
      </c>
      <c r="G139" s="3055">
        <v>15.06</v>
      </c>
      <c r="H139" s="3055">
        <v>4945.93</v>
      </c>
      <c r="I139" s="3055">
        <v>137398</v>
      </c>
      <c r="J139" s="3055" t="s">
        <v>3407</v>
      </c>
      <c r="K139" s="3055" t="s">
        <v>3408</v>
      </c>
    </row>
    <row r="140" spans="1:11">
      <c r="A140" s="3055" t="s">
        <v>3404</v>
      </c>
      <c r="B140" s="3055" t="s">
        <v>3405</v>
      </c>
      <c r="C140" s="3055">
        <v>135</v>
      </c>
      <c r="D140" s="3055" t="s">
        <v>3406</v>
      </c>
      <c r="E140" s="3055">
        <v>27.78</v>
      </c>
      <c r="F140" s="3055">
        <v>12.72</v>
      </c>
      <c r="G140" s="3055">
        <v>15.06</v>
      </c>
      <c r="H140" s="3055">
        <v>4945.93</v>
      </c>
      <c r="I140" s="3055">
        <v>137398</v>
      </c>
      <c r="J140" s="3055" t="s">
        <v>3407</v>
      </c>
      <c r="K140" s="3055" t="s">
        <v>3408</v>
      </c>
    </row>
    <row r="141" spans="1:11">
      <c r="A141" s="3055" t="s">
        <v>3404</v>
      </c>
      <c r="B141" s="3055" t="s">
        <v>3405</v>
      </c>
      <c r="C141" s="3055">
        <v>136</v>
      </c>
      <c r="D141" s="3055" t="s">
        <v>3406</v>
      </c>
      <c r="E141" s="3055">
        <v>27.78</v>
      </c>
      <c r="F141" s="3055">
        <v>12.72</v>
      </c>
      <c r="G141" s="3055">
        <v>15.06</v>
      </c>
      <c r="H141" s="3055">
        <v>4945.93</v>
      </c>
      <c r="I141" s="3055">
        <v>137398</v>
      </c>
      <c r="J141" s="3055" t="s">
        <v>3407</v>
      </c>
      <c r="K141" s="3055" t="s">
        <v>3408</v>
      </c>
    </row>
    <row r="142" spans="1:11">
      <c r="A142" s="3055" t="s">
        <v>3404</v>
      </c>
      <c r="B142" s="3055" t="s">
        <v>3405</v>
      </c>
      <c r="C142" s="3055">
        <v>137</v>
      </c>
      <c r="D142" s="3055" t="s">
        <v>3406</v>
      </c>
      <c r="E142" s="3055">
        <v>27.78</v>
      </c>
      <c r="F142" s="3055">
        <v>12.72</v>
      </c>
      <c r="G142" s="3055">
        <v>15.06</v>
      </c>
      <c r="H142" s="3055">
        <v>4945.93</v>
      </c>
      <c r="I142" s="3055">
        <v>137398</v>
      </c>
      <c r="J142" s="3055" t="s">
        <v>3407</v>
      </c>
      <c r="K142" s="3055" t="s">
        <v>3408</v>
      </c>
    </row>
    <row r="143" spans="1:11">
      <c r="A143" s="3055" t="s">
        <v>3404</v>
      </c>
      <c r="B143" s="3055" t="s">
        <v>3405</v>
      </c>
      <c r="C143" s="3055">
        <v>138</v>
      </c>
      <c r="D143" s="3055" t="s">
        <v>3406</v>
      </c>
      <c r="E143" s="3055">
        <v>27.78</v>
      </c>
      <c r="F143" s="3055">
        <v>12.72</v>
      </c>
      <c r="G143" s="3055">
        <v>15.06</v>
      </c>
      <c r="H143" s="3055">
        <v>4945.93</v>
      </c>
      <c r="I143" s="3055">
        <v>137398</v>
      </c>
      <c r="J143" s="3055" t="s">
        <v>3407</v>
      </c>
      <c r="K143" s="3055" t="s">
        <v>3408</v>
      </c>
    </row>
    <row r="144" spans="1:11">
      <c r="A144" s="3055" t="s">
        <v>3404</v>
      </c>
      <c r="B144" s="3055" t="s">
        <v>3405</v>
      </c>
      <c r="C144" s="3055">
        <v>139</v>
      </c>
      <c r="D144" s="3055" t="s">
        <v>3406</v>
      </c>
      <c r="E144" s="3055">
        <v>27.78</v>
      </c>
      <c r="F144" s="3055">
        <v>12.72</v>
      </c>
      <c r="G144" s="3055">
        <v>15.06</v>
      </c>
      <c r="H144" s="3055">
        <v>4945.93</v>
      </c>
      <c r="I144" s="3055">
        <v>137398</v>
      </c>
      <c r="J144" s="3055" t="s">
        <v>3407</v>
      </c>
      <c r="K144" s="3055" t="s">
        <v>3408</v>
      </c>
    </row>
    <row r="145" spans="1:11">
      <c r="A145" s="3055" t="s">
        <v>3404</v>
      </c>
      <c r="B145" s="3055" t="s">
        <v>3405</v>
      </c>
      <c r="C145" s="3055">
        <v>140</v>
      </c>
      <c r="D145" s="3055" t="s">
        <v>3406</v>
      </c>
      <c r="E145" s="3055">
        <v>27.78</v>
      </c>
      <c r="F145" s="3055">
        <v>12.72</v>
      </c>
      <c r="G145" s="3055">
        <v>15.06</v>
      </c>
      <c r="H145" s="3055">
        <v>4585.96</v>
      </c>
      <c r="I145" s="3055">
        <v>127398</v>
      </c>
      <c r="J145" s="3055" t="s">
        <v>3407</v>
      </c>
      <c r="K145" s="3055" t="s">
        <v>3408</v>
      </c>
    </row>
    <row r="146" spans="1:11">
      <c r="A146" s="3055" t="s">
        <v>3404</v>
      </c>
      <c r="B146" s="3055" t="s">
        <v>3405</v>
      </c>
      <c r="C146" s="3055">
        <v>141</v>
      </c>
      <c r="D146" s="3055" t="s">
        <v>3406</v>
      </c>
      <c r="E146" s="3055">
        <v>27.78</v>
      </c>
      <c r="F146" s="3055">
        <v>12.72</v>
      </c>
      <c r="G146" s="3055">
        <v>15.06</v>
      </c>
      <c r="H146" s="3055">
        <v>4945.93</v>
      </c>
      <c r="I146" s="3055">
        <v>137398</v>
      </c>
      <c r="J146" s="3055" t="s">
        <v>3407</v>
      </c>
      <c r="K146" s="3055" t="s">
        <v>3408</v>
      </c>
    </row>
    <row r="147" spans="1:11">
      <c r="A147" s="3055" t="s">
        <v>3404</v>
      </c>
      <c r="B147" s="3055" t="s">
        <v>3405</v>
      </c>
      <c r="C147" s="3055">
        <v>142</v>
      </c>
      <c r="D147" s="3055" t="s">
        <v>3406</v>
      </c>
      <c r="E147" s="3055">
        <v>27.78</v>
      </c>
      <c r="F147" s="3055">
        <v>12.72</v>
      </c>
      <c r="G147" s="3055">
        <v>15.06</v>
      </c>
      <c r="H147" s="3055">
        <v>4945.93</v>
      </c>
      <c r="I147" s="3055">
        <v>137398</v>
      </c>
      <c r="J147" s="3055" t="s">
        <v>3407</v>
      </c>
      <c r="K147" s="3055" t="s">
        <v>3408</v>
      </c>
    </row>
    <row r="148" spans="1:11">
      <c r="A148" s="3055" t="s">
        <v>3404</v>
      </c>
      <c r="B148" s="3055" t="s">
        <v>3405</v>
      </c>
      <c r="C148" s="3055">
        <v>143</v>
      </c>
      <c r="D148" s="3055" t="s">
        <v>3406</v>
      </c>
      <c r="E148" s="3055">
        <v>27.78</v>
      </c>
      <c r="F148" s="3055">
        <v>12.72</v>
      </c>
      <c r="G148" s="3055">
        <v>15.06</v>
      </c>
      <c r="H148" s="3055">
        <v>4945.93</v>
      </c>
      <c r="I148" s="3055">
        <v>137398</v>
      </c>
      <c r="J148" s="3055" t="s">
        <v>3407</v>
      </c>
      <c r="K148" s="3055" t="s">
        <v>3408</v>
      </c>
    </row>
    <row r="149" spans="1:11">
      <c r="A149" s="3055" t="s">
        <v>3404</v>
      </c>
      <c r="B149" s="3055" t="s">
        <v>3405</v>
      </c>
      <c r="C149" s="3055">
        <v>144</v>
      </c>
      <c r="D149" s="3055" t="s">
        <v>3406</v>
      </c>
      <c r="E149" s="3055">
        <v>27.78</v>
      </c>
      <c r="F149" s="3055">
        <v>12.72</v>
      </c>
      <c r="G149" s="3055">
        <v>15.06</v>
      </c>
      <c r="H149" s="3055">
        <v>4945.93</v>
      </c>
      <c r="I149" s="3055">
        <v>137398</v>
      </c>
      <c r="J149" s="3055" t="s">
        <v>3407</v>
      </c>
      <c r="K149" s="3055" t="s">
        <v>3408</v>
      </c>
    </row>
    <row r="150" spans="1:11">
      <c r="A150" s="3055" t="s">
        <v>3404</v>
      </c>
      <c r="B150" s="3055" t="s">
        <v>3405</v>
      </c>
      <c r="C150" s="3055">
        <v>145</v>
      </c>
      <c r="D150" s="3055" t="s">
        <v>3406</v>
      </c>
      <c r="E150" s="3055">
        <v>27.78</v>
      </c>
      <c r="F150" s="3055">
        <v>12.72</v>
      </c>
      <c r="G150" s="3055">
        <v>15.06</v>
      </c>
      <c r="H150" s="3055">
        <v>4945.93</v>
      </c>
      <c r="I150" s="3055">
        <v>137398</v>
      </c>
      <c r="J150" s="3055" t="s">
        <v>3407</v>
      </c>
      <c r="K150" s="3055" t="s">
        <v>3408</v>
      </c>
    </row>
    <row r="151" spans="1:11">
      <c r="A151" s="3055" t="s">
        <v>3404</v>
      </c>
      <c r="B151" s="3055" t="s">
        <v>3405</v>
      </c>
      <c r="C151" s="3055">
        <v>146</v>
      </c>
      <c r="D151" s="3055" t="s">
        <v>3406</v>
      </c>
      <c r="E151" s="3055">
        <v>27.78</v>
      </c>
      <c r="F151" s="3055">
        <v>12.72</v>
      </c>
      <c r="G151" s="3055">
        <v>15.06</v>
      </c>
      <c r="H151" s="3055">
        <v>4945.93</v>
      </c>
      <c r="I151" s="3055">
        <v>137398</v>
      </c>
      <c r="J151" s="3055" t="s">
        <v>3407</v>
      </c>
      <c r="K151" s="3055" t="s">
        <v>3408</v>
      </c>
    </row>
    <row r="152" spans="1:11">
      <c r="A152" s="3055" t="s">
        <v>3404</v>
      </c>
      <c r="B152" s="3055" t="s">
        <v>3405</v>
      </c>
      <c r="C152" s="3055">
        <v>147</v>
      </c>
      <c r="D152" s="3055" t="s">
        <v>3406</v>
      </c>
      <c r="E152" s="3055">
        <v>27.78</v>
      </c>
      <c r="F152" s="3055">
        <v>12.72</v>
      </c>
      <c r="G152" s="3055">
        <v>15.06</v>
      </c>
      <c r="H152" s="3055">
        <v>4945.93</v>
      </c>
      <c r="I152" s="3055">
        <v>137398</v>
      </c>
      <c r="J152" s="3055" t="s">
        <v>3407</v>
      </c>
      <c r="K152" s="3055" t="s">
        <v>3408</v>
      </c>
    </row>
    <row r="153" spans="1:11">
      <c r="A153" s="3055" t="s">
        <v>3404</v>
      </c>
      <c r="B153" s="3055" t="s">
        <v>3405</v>
      </c>
      <c r="C153" s="3055">
        <v>148</v>
      </c>
      <c r="D153" s="3055" t="s">
        <v>3406</v>
      </c>
      <c r="E153" s="3055">
        <v>27.78</v>
      </c>
      <c r="F153" s="3055">
        <v>12.72</v>
      </c>
      <c r="G153" s="3055">
        <v>15.06</v>
      </c>
      <c r="H153" s="3055">
        <v>4945.93</v>
      </c>
      <c r="I153" s="3055">
        <v>137398</v>
      </c>
      <c r="J153" s="3055" t="s">
        <v>3407</v>
      </c>
      <c r="K153" s="3055" t="s">
        <v>3408</v>
      </c>
    </row>
    <row r="154" spans="1:11">
      <c r="A154" s="3055" t="s">
        <v>3404</v>
      </c>
      <c r="B154" s="3055" t="s">
        <v>3405</v>
      </c>
      <c r="C154" s="3055">
        <v>149</v>
      </c>
      <c r="D154" s="3055" t="s">
        <v>3406</v>
      </c>
      <c r="E154" s="3055">
        <v>27.78</v>
      </c>
      <c r="F154" s="3055">
        <v>12.72</v>
      </c>
      <c r="G154" s="3055">
        <v>15.06</v>
      </c>
      <c r="H154" s="3055">
        <v>4945.93</v>
      </c>
      <c r="I154" s="3055">
        <v>137398</v>
      </c>
      <c r="J154" s="3055" t="s">
        <v>3407</v>
      </c>
      <c r="K154" s="3055" t="s">
        <v>3408</v>
      </c>
    </row>
    <row r="155" spans="1:11">
      <c r="A155" s="3055" t="s">
        <v>3404</v>
      </c>
      <c r="B155" s="3055" t="s">
        <v>3405</v>
      </c>
      <c r="C155" s="3055">
        <v>150</v>
      </c>
      <c r="D155" s="3055" t="s">
        <v>3406</v>
      </c>
      <c r="E155" s="3055">
        <v>27.78</v>
      </c>
      <c r="F155" s="3055">
        <v>12.72</v>
      </c>
      <c r="G155" s="3055">
        <v>15.06</v>
      </c>
      <c r="H155" s="3055">
        <v>4945.93</v>
      </c>
      <c r="I155" s="3055">
        <v>137398</v>
      </c>
      <c r="J155" s="3055" t="s">
        <v>3407</v>
      </c>
      <c r="K155" s="3055" t="s">
        <v>3408</v>
      </c>
    </row>
    <row r="156" spans="1:11">
      <c r="A156" s="3055" t="s">
        <v>3404</v>
      </c>
      <c r="B156" s="3055" t="s">
        <v>3405</v>
      </c>
      <c r="C156" s="3055">
        <v>151</v>
      </c>
      <c r="D156" s="3055" t="s">
        <v>3406</v>
      </c>
      <c r="E156" s="3055">
        <v>27.78</v>
      </c>
      <c r="F156" s="3055">
        <v>12.72</v>
      </c>
      <c r="G156" s="3055">
        <v>15.06</v>
      </c>
      <c r="H156" s="3055">
        <v>4945.93</v>
      </c>
      <c r="I156" s="3055">
        <v>137398</v>
      </c>
      <c r="J156" s="3055" t="s">
        <v>3407</v>
      </c>
      <c r="K156" s="3055" t="s">
        <v>3408</v>
      </c>
    </row>
    <row r="157" spans="1:11">
      <c r="A157" s="3055" t="s">
        <v>3404</v>
      </c>
      <c r="B157" s="3055" t="s">
        <v>3405</v>
      </c>
      <c r="C157" s="3055">
        <v>152</v>
      </c>
      <c r="D157" s="3055" t="s">
        <v>3406</v>
      </c>
      <c r="E157" s="3055">
        <v>27.78</v>
      </c>
      <c r="F157" s="3055">
        <v>12.72</v>
      </c>
      <c r="G157" s="3055">
        <v>15.06</v>
      </c>
      <c r="H157" s="3055">
        <v>4585.96</v>
      </c>
      <c r="I157" s="3055">
        <v>127398</v>
      </c>
      <c r="J157" s="3055" t="s">
        <v>3407</v>
      </c>
      <c r="K157" s="3055" t="s">
        <v>3408</v>
      </c>
    </row>
    <row r="158" spans="1:11">
      <c r="A158" s="3055" t="s">
        <v>3404</v>
      </c>
      <c r="B158" s="3055" t="s">
        <v>3405</v>
      </c>
      <c r="C158" s="3055">
        <v>153</v>
      </c>
      <c r="D158" s="3055" t="s">
        <v>3406</v>
      </c>
      <c r="E158" s="3055">
        <v>27.78</v>
      </c>
      <c r="F158" s="3055">
        <v>12.72</v>
      </c>
      <c r="G158" s="3055">
        <v>15.06</v>
      </c>
      <c r="H158" s="3055">
        <v>4945.93</v>
      </c>
      <c r="I158" s="3055">
        <v>137398</v>
      </c>
      <c r="J158" s="3055" t="s">
        <v>3407</v>
      </c>
      <c r="K158" s="3055" t="s">
        <v>3408</v>
      </c>
    </row>
    <row r="159" spans="1:11">
      <c r="A159" s="3055" t="s">
        <v>3404</v>
      </c>
      <c r="B159" s="3055" t="s">
        <v>3405</v>
      </c>
      <c r="C159" s="3055">
        <v>154</v>
      </c>
      <c r="D159" s="3055" t="s">
        <v>3406</v>
      </c>
      <c r="E159" s="3055">
        <v>27.78</v>
      </c>
      <c r="F159" s="3055">
        <v>12.72</v>
      </c>
      <c r="G159" s="3055">
        <v>15.06</v>
      </c>
      <c r="H159" s="3055">
        <v>4945.93</v>
      </c>
      <c r="I159" s="3055">
        <v>137398</v>
      </c>
      <c r="J159" s="3055" t="s">
        <v>3407</v>
      </c>
      <c r="K159" s="3055" t="s">
        <v>3408</v>
      </c>
    </row>
    <row r="160" spans="1:11">
      <c r="A160" s="3055" t="s">
        <v>3404</v>
      </c>
      <c r="B160" s="3055" t="s">
        <v>3405</v>
      </c>
      <c r="C160" s="3055">
        <v>155</v>
      </c>
      <c r="D160" s="3055" t="s">
        <v>3406</v>
      </c>
      <c r="E160" s="3055">
        <v>27.78</v>
      </c>
      <c r="F160" s="3055">
        <v>12.72</v>
      </c>
      <c r="G160" s="3055">
        <v>15.06</v>
      </c>
      <c r="H160" s="3055">
        <v>4945.93</v>
      </c>
      <c r="I160" s="3055">
        <v>137398</v>
      </c>
      <c r="J160" s="3055" t="s">
        <v>3407</v>
      </c>
      <c r="K160" s="3055" t="s">
        <v>3408</v>
      </c>
    </row>
    <row r="161" spans="1:11">
      <c r="A161" s="3055" t="s">
        <v>3404</v>
      </c>
      <c r="B161" s="3055" t="s">
        <v>3405</v>
      </c>
      <c r="C161" s="3055">
        <v>156</v>
      </c>
      <c r="D161" s="3055" t="s">
        <v>3406</v>
      </c>
      <c r="E161" s="3055">
        <v>27.78</v>
      </c>
      <c r="F161" s="3055">
        <v>12.72</v>
      </c>
      <c r="G161" s="3055">
        <v>15.06</v>
      </c>
      <c r="H161" s="3055">
        <v>4945.93</v>
      </c>
      <c r="I161" s="3055">
        <v>137398</v>
      </c>
      <c r="J161" s="3055" t="s">
        <v>3407</v>
      </c>
      <c r="K161" s="3055" t="s">
        <v>3408</v>
      </c>
    </row>
    <row r="162" spans="1:11">
      <c r="A162" s="3055" t="s">
        <v>3404</v>
      </c>
      <c r="B162" s="3055" t="s">
        <v>3405</v>
      </c>
      <c r="C162" s="3055">
        <v>157</v>
      </c>
      <c r="D162" s="3055" t="s">
        <v>3406</v>
      </c>
      <c r="E162" s="3055">
        <v>27.78</v>
      </c>
      <c r="F162" s="3055">
        <v>12.72</v>
      </c>
      <c r="G162" s="3055">
        <v>15.06</v>
      </c>
      <c r="H162" s="3055">
        <v>4945.93</v>
      </c>
      <c r="I162" s="3055">
        <v>137398</v>
      </c>
      <c r="J162" s="3055" t="s">
        <v>3407</v>
      </c>
      <c r="K162" s="3055" t="s">
        <v>3408</v>
      </c>
    </row>
    <row r="163" spans="1:11">
      <c r="A163" s="3055" t="s">
        <v>3404</v>
      </c>
      <c r="B163" s="3055" t="s">
        <v>3405</v>
      </c>
      <c r="C163" s="3055">
        <v>158</v>
      </c>
      <c r="D163" s="3055" t="s">
        <v>3406</v>
      </c>
      <c r="E163" s="3055">
        <v>27.78</v>
      </c>
      <c r="F163" s="3055">
        <v>12.72</v>
      </c>
      <c r="G163" s="3055">
        <v>15.06</v>
      </c>
      <c r="H163" s="3055">
        <v>4945.93</v>
      </c>
      <c r="I163" s="3055">
        <v>137398</v>
      </c>
      <c r="J163" s="3055" t="s">
        <v>3407</v>
      </c>
      <c r="K163" s="3055" t="s">
        <v>3408</v>
      </c>
    </row>
    <row r="164" spans="1:11">
      <c r="A164" s="3055" t="s">
        <v>3404</v>
      </c>
      <c r="B164" s="3055" t="s">
        <v>3405</v>
      </c>
      <c r="C164" s="3055">
        <v>159</v>
      </c>
      <c r="D164" s="3055" t="s">
        <v>3406</v>
      </c>
      <c r="E164" s="3055">
        <v>27.78</v>
      </c>
      <c r="F164" s="3055">
        <v>12.72</v>
      </c>
      <c r="G164" s="3055">
        <v>15.06</v>
      </c>
      <c r="H164" s="3055">
        <v>4945.93</v>
      </c>
      <c r="I164" s="3055">
        <v>137398</v>
      </c>
      <c r="J164" s="3055" t="s">
        <v>3407</v>
      </c>
      <c r="K164" s="3055" t="s">
        <v>3408</v>
      </c>
    </row>
    <row r="165" spans="1:11">
      <c r="A165" s="3055" t="s">
        <v>3404</v>
      </c>
      <c r="B165" s="3055" t="s">
        <v>3405</v>
      </c>
      <c r="C165" s="3055">
        <v>160</v>
      </c>
      <c r="D165" s="3055" t="s">
        <v>3406</v>
      </c>
      <c r="E165" s="3055">
        <v>27.78</v>
      </c>
      <c r="F165" s="3055">
        <v>12.72</v>
      </c>
      <c r="G165" s="3055">
        <v>15.06</v>
      </c>
      <c r="H165" s="3055">
        <v>4945.93</v>
      </c>
      <c r="I165" s="3055">
        <v>137398</v>
      </c>
      <c r="J165" s="3055" t="s">
        <v>3407</v>
      </c>
      <c r="K165" s="3055" t="s">
        <v>3408</v>
      </c>
    </row>
    <row r="166" spans="1:11">
      <c r="A166" s="3055" t="s">
        <v>3404</v>
      </c>
      <c r="B166" s="3055" t="s">
        <v>3405</v>
      </c>
      <c r="C166" s="3055">
        <v>161</v>
      </c>
      <c r="D166" s="3055" t="s">
        <v>3406</v>
      </c>
      <c r="E166" s="3055">
        <v>27.78</v>
      </c>
      <c r="F166" s="3055">
        <v>12.72</v>
      </c>
      <c r="G166" s="3055">
        <v>15.06</v>
      </c>
      <c r="H166" s="3055">
        <v>4945.93</v>
      </c>
      <c r="I166" s="3055">
        <v>137398</v>
      </c>
      <c r="J166" s="3055" t="s">
        <v>3407</v>
      </c>
      <c r="K166" s="3055" t="s">
        <v>3408</v>
      </c>
    </row>
    <row r="167" spans="1:11">
      <c r="A167" s="3055" t="s">
        <v>3404</v>
      </c>
      <c r="B167" s="3055" t="s">
        <v>3405</v>
      </c>
      <c r="C167" s="3055">
        <v>162</v>
      </c>
      <c r="D167" s="3055" t="s">
        <v>3406</v>
      </c>
      <c r="E167" s="3055">
        <v>27.78</v>
      </c>
      <c r="F167" s="3055">
        <v>12.72</v>
      </c>
      <c r="G167" s="3055">
        <v>15.06</v>
      </c>
      <c r="H167" s="3055">
        <v>4945.93</v>
      </c>
      <c r="I167" s="3055">
        <v>137398</v>
      </c>
      <c r="J167" s="3055" t="s">
        <v>3407</v>
      </c>
      <c r="K167" s="3055" t="s">
        <v>3408</v>
      </c>
    </row>
    <row r="168" spans="1:11">
      <c r="A168" s="3055" t="s">
        <v>3404</v>
      </c>
      <c r="B168" s="3055" t="s">
        <v>3405</v>
      </c>
      <c r="C168" s="3055">
        <v>163</v>
      </c>
      <c r="D168" s="3055" t="s">
        <v>3406</v>
      </c>
      <c r="E168" s="3055">
        <v>27.78</v>
      </c>
      <c r="F168" s="3055">
        <v>12.72</v>
      </c>
      <c r="G168" s="3055">
        <v>15.06</v>
      </c>
      <c r="H168" s="3055">
        <v>4945.93</v>
      </c>
      <c r="I168" s="3055">
        <v>137398</v>
      </c>
      <c r="J168" s="3055" t="s">
        <v>3407</v>
      </c>
      <c r="K168" s="3055" t="s">
        <v>3408</v>
      </c>
    </row>
    <row r="169" spans="1:11">
      <c r="A169" s="3055" t="s">
        <v>3404</v>
      </c>
      <c r="B169" s="3055" t="s">
        <v>3405</v>
      </c>
      <c r="C169" s="3055">
        <v>164</v>
      </c>
      <c r="D169" s="3055" t="s">
        <v>3406</v>
      </c>
      <c r="E169" s="3055">
        <v>27.78</v>
      </c>
      <c r="F169" s="3055">
        <v>12.72</v>
      </c>
      <c r="G169" s="3055">
        <v>15.06</v>
      </c>
      <c r="H169" s="3055">
        <v>4945.93</v>
      </c>
      <c r="I169" s="3055">
        <v>137398</v>
      </c>
      <c r="J169" s="3055" t="s">
        <v>3407</v>
      </c>
      <c r="K169" s="3055" t="s">
        <v>3408</v>
      </c>
    </row>
    <row r="170" spans="1:11">
      <c r="A170" s="3055" t="s">
        <v>3404</v>
      </c>
      <c r="B170" s="3055" t="s">
        <v>3405</v>
      </c>
      <c r="C170" s="3055">
        <v>165</v>
      </c>
      <c r="D170" s="3055" t="s">
        <v>3406</v>
      </c>
      <c r="E170" s="3055">
        <v>27.78</v>
      </c>
      <c r="F170" s="3055">
        <v>12.72</v>
      </c>
      <c r="G170" s="3055">
        <v>15.06</v>
      </c>
      <c r="H170" s="3055">
        <v>4945.93</v>
      </c>
      <c r="I170" s="3055">
        <v>137398</v>
      </c>
      <c r="J170" s="3055" t="s">
        <v>3407</v>
      </c>
      <c r="K170" s="3055" t="s">
        <v>3408</v>
      </c>
    </row>
    <row r="171" spans="1:11">
      <c r="A171" s="3055" t="s">
        <v>3404</v>
      </c>
      <c r="B171" s="3055" t="s">
        <v>3405</v>
      </c>
      <c r="C171" s="3055">
        <v>166</v>
      </c>
      <c r="D171" s="3055" t="s">
        <v>3406</v>
      </c>
      <c r="E171" s="3055">
        <v>27.78</v>
      </c>
      <c r="F171" s="3055">
        <v>12.72</v>
      </c>
      <c r="G171" s="3055">
        <v>15.06</v>
      </c>
      <c r="H171" s="3055">
        <v>4945.93</v>
      </c>
      <c r="I171" s="3055">
        <v>137398</v>
      </c>
      <c r="J171" s="3055" t="s">
        <v>3407</v>
      </c>
      <c r="K171" s="3055" t="s">
        <v>3408</v>
      </c>
    </row>
    <row r="172" spans="1:11">
      <c r="A172" s="3055" t="s">
        <v>3404</v>
      </c>
      <c r="B172" s="3055" t="s">
        <v>3405</v>
      </c>
      <c r="C172" s="3055">
        <v>167</v>
      </c>
      <c r="D172" s="3055" t="s">
        <v>3406</v>
      </c>
      <c r="E172" s="3055">
        <v>27.78</v>
      </c>
      <c r="F172" s="3055">
        <v>12.72</v>
      </c>
      <c r="G172" s="3055">
        <v>15.06</v>
      </c>
      <c r="H172" s="3055">
        <v>4945.93</v>
      </c>
      <c r="I172" s="3055">
        <v>137398</v>
      </c>
      <c r="J172" s="3055" t="s">
        <v>3407</v>
      </c>
      <c r="K172" s="3055" t="s">
        <v>3408</v>
      </c>
    </row>
    <row r="173" spans="1:11">
      <c r="A173" s="3055" t="s">
        <v>3404</v>
      </c>
      <c r="B173" s="3055" t="s">
        <v>3405</v>
      </c>
      <c r="C173" s="3055">
        <v>168</v>
      </c>
      <c r="D173" s="3055" t="s">
        <v>3406</v>
      </c>
      <c r="E173" s="3055">
        <v>27.78</v>
      </c>
      <c r="F173" s="3055">
        <v>12.72</v>
      </c>
      <c r="G173" s="3055">
        <v>15.06</v>
      </c>
      <c r="H173" s="3055">
        <v>4945.93</v>
      </c>
      <c r="I173" s="3055">
        <v>137398</v>
      </c>
      <c r="J173" s="3055" t="s">
        <v>3407</v>
      </c>
      <c r="K173" s="3055" t="s">
        <v>3408</v>
      </c>
    </row>
    <row r="174" spans="1:11">
      <c r="A174" s="3055" t="s">
        <v>3404</v>
      </c>
      <c r="B174" s="3055" t="s">
        <v>3405</v>
      </c>
      <c r="C174" s="3055">
        <v>169</v>
      </c>
      <c r="D174" s="3055" t="s">
        <v>3406</v>
      </c>
      <c r="E174" s="3055">
        <v>27.78</v>
      </c>
      <c r="F174" s="3055">
        <v>12.72</v>
      </c>
      <c r="G174" s="3055">
        <v>15.06</v>
      </c>
      <c r="H174" s="3055">
        <v>4945.93</v>
      </c>
      <c r="I174" s="3055">
        <v>137398</v>
      </c>
      <c r="J174" s="3055" t="s">
        <v>3407</v>
      </c>
      <c r="K174" s="3055" t="s">
        <v>3408</v>
      </c>
    </row>
    <row r="175" spans="1:11">
      <c r="A175" s="3055" t="s">
        <v>3404</v>
      </c>
      <c r="B175" s="3055" t="s">
        <v>3405</v>
      </c>
      <c r="C175" s="3055">
        <v>170</v>
      </c>
      <c r="D175" s="3055" t="s">
        <v>3406</v>
      </c>
      <c r="E175" s="3055">
        <v>27.78</v>
      </c>
      <c r="F175" s="3055">
        <v>12.72</v>
      </c>
      <c r="G175" s="3055">
        <v>15.06</v>
      </c>
      <c r="H175" s="3055">
        <v>4945.93</v>
      </c>
      <c r="I175" s="3055">
        <v>137398</v>
      </c>
      <c r="J175" s="3055" t="s">
        <v>3407</v>
      </c>
      <c r="K175" s="3055" t="s">
        <v>3408</v>
      </c>
    </row>
    <row r="176" spans="1:11">
      <c r="A176" s="3055" t="s">
        <v>3404</v>
      </c>
      <c r="B176" s="3055" t="s">
        <v>3405</v>
      </c>
      <c r="C176" s="3055">
        <v>171</v>
      </c>
      <c r="D176" s="3055" t="s">
        <v>3406</v>
      </c>
      <c r="E176" s="3055">
        <v>27.78</v>
      </c>
      <c r="F176" s="3055">
        <v>12.72</v>
      </c>
      <c r="G176" s="3055">
        <v>15.06</v>
      </c>
      <c r="H176" s="3055">
        <v>4945.93</v>
      </c>
      <c r="I176" s="3055">
        <v>137398</v>
      </c>
      <c r="J176" s="3055" t="s">
        <v>3407</v>
      </c>
      <c r="K176" s="3055" t="s">
        <v>3408</v>
      </c>
    </row>
    <row r="177" spans="1:11">
      <c r="A177" s="3055" t="s">
        <v>3404</v>
      </c>
      <c r="B177" s="3055" t="s">
        <v>3405</v>
      </c>
      <c r="C177" s="3055">
        <v>172</v>
      </c>
      <c r="D177" s="3055" t="s">
        <v>3406</v>
      </c>
      <c r="E177" s="3055">
        <v>27.78</v>
      </c>
      <c r="F177" s="3055">
        <v>12.72</v>
      </c>
      <c r="G177" s="3055">
        <v>15.06</v>
      </c>
      <c r="H177" s="3055">
        <v>4945.93</v>
      </c>
      <c r="I177" s="3055">
        <v>137398</v>
      </c>
      <c r="J177" s="3055" t="s">
        <v>3407</v>
      </c>
      <c r="K177" s="3055" t="s">
        <v>3408</v>
      </c>
    </row>
    <row r="178" spans="1:11">
      <c r="A178" s="3055" t="s">
        <v>3404</v>
      </c>
      <c r="B178" s="3055" t="s">
        <v>3405</v>
      </c>
      <c r="C178" s="3055">
        <v>173</v>
      </c>
      <c r="D178" s="3055" t="s">
        <v>3406</v>
      </c>
      <c r="E178" s="3055">
        <v>27.78</v>
      </c>
      <c r="F178" s="3055">
        <v>12.72</v>
      </c>
      <c r="G178" s="3055">
        <v>15.06</v>
      </c>
      <c r="H178" s="3055">
        <v>4945.93</v>
      </c>
      <c r="I178" s="3055">
        <v>137398</v>
      </c>
      <c r="J178" s="3055" t="s">
        <v>3407</v>
      </c>
      <c r="K178" s="3055" t="s">
        <v>3408</v>
      </c>
    </row>
    <row r="179" spans="1:11">
      <c r="A179" s="3055" t="s">
        <v>3404</v>
      </c>
      <c r="B179" s="3055" t="s">
        <v>3405</v>
      </c>
      <c r="C179" s="3055">
        <v>174</v>
      </c>
      <c r="D179" s="3055" t="s">
        <v>3406</v>
      </c>
      <c r="E179" s="3055">
        <v>27.78</v>
      </c>
      <c r="F179" s="3055">
        <v>12.72</v>
      </c>
      <c r="G179" s="3055">
        <v>15.06</v>
      </c>
      <c r="H179" s="3055">
        <v>4945.93</v>
      </c>
      <c r="I179" s="3055">
        <v>137398</v>
      </c>
      <c r="J179" s="3055" t="s">
        <v>3407</v>
      </c>
      <c r="K179" s="3055" t="s">
        <v>3408</v>
      </c>
    </row>
    <row r="180" spans="1:11">
      <c r="A180" s="3055" t="s">
        <v>3404</v>
      </c>
      <c r="B180" s="3055" t="s">
        <v>3405</v>
      </c>
      <c r="C180" s="3055">
        <v>175</v>
      </c>
      <c r="D180" s="3055" t="s">
        <v>3406</v>
      </c>
      <c r="E180" s="3055">
        <v>27.78</v>
      </c>
      <c r="F180" s="3055">
        <v>12.72</v>
      </c>
      <c r="G180" s="3055">
        <v>15.06</v>
      </c>
      <c r="H180" s="3055">
        <v>4945.93</v>
      </c>
      <c r="I180" s="3055">
        <v>137398</v>
      </c>
      <c r="J180" s="3055" t="s">
        <v>3407</v>
      </c>
      <c r="K180" s="3055" t="s">
        <v>3408</v>
      </c>
    </row>
    <row r="181" spans="1:11">
      <c r="A181" s="3055" t="s">
        <v>3404</v>
      </c>
      <c r="B181" s="3055" t="s">
        <v>3405</v>
      </c>
      <c r="C181" s="3055">
        <v>176</v>
      </c>
      <c r="D181" s="3055" t="s">
        <v>3406</v>
      </c>
      <c r="E181" s="3055">
        <v>27.78</v>
      </c>
      <c r="F181" s="3055">
        <v>12.72</v>
      </c>
      <c r="G181" s="3055">
        <v>15.06</v>
      </c>
      <c r="H181" s="3055">
        <v>4945.93</v>
      </c>
      <c r="I181" s="3055">
        <v>137398</v>
      </c>
      <c r="J181" s="3055" t="s">
        <v>3407</v>
      </c>
      <c r="K181" s="3055" t="s">
        <v>3408</v>
      </c>
    </row>
    <row r="182" spans="1:11">
      <c r="A182" s="3055" t="s">
        <v>3404</v>
      </c>
      <c r="B182" s="3055" t="s">
        <v>3405</v>
      </c>
      <c r="C182" s="3055">
        <v>177</v>
      </c>
      <c r="D182" s="3055" t="s">
        <v>3406</v>
      </c>
      <c r="E182" s="3055">
        <v>27.78</v>
      </c>
      <c r="F182" s="3055">
        <v>12.72</v>
      </c>
      <c r="G182" s="3055">
        <v>15.06</v>
      </c>
      <c r="H182" s="3055">
        <v>4945.93</v>
      </c>
      <c r="I182" s="3055">
        <v>137398</v>
      </c>
      <c r="J182" s="3055" t="s">
        <v>3407</v>
      </c>
      <c r="K182" s="3055" t="s">
        <v>3408</v>
      </c>
    </row>
    <row r="183" spans="1:11">
      <c r="A183" s="3055" t="s">
        <v>3404</v>
      </c>
      <c r="B183" s="3055" t="s">
        <v>3405</v>
      </c>
      <c r="C183" s="3055">
        <v>178</v>
      </c>
      <c r="D183" s="3055" t="s">
        <v>3406</v>
      </c>
      <c r="E183" s="3055">
        <v>27.78</v>
      </c>
      <c r="F183" s="3055">
        <v>12.72</v>
      </c>
      <c r="G183" s="3055">
        <v>15.06</v>
      </c>
      <c r="H183" s="3055">
        <v>4945.93</v>
      </c>
      <c r="I183" s="3055">
        <v>137398</v>
      </c>
      <c r="J183" s="3055" t="s">
        <v>3407</v>
      </c>
      <c r="K183" s="3055" t="s">
        <v>3408</v>
      </c>
    </row>
    <row r="184" spans="1:11">
      <c r="A184" s="3055" t="s">
        <v>3404</v>
      </c>
      <c r="B184" s="3055" t="s">
        <v>3405</v>
      </c>
      <c r="C184" s="3055">
        <v>179</v>
      </c>
      <c r="D184" s="3055" t="s">
        <v>3406</v>
      </c>
      <c r="E184" s="3055">
        <v>27.78</v>
      </c>
      <c r="F184" s="3055">
        <v>12.72</v>
      </c>
      <c r="G184" s="3055">
        <v>15.06</v>
      </c>
      <c r="H184" s="3055">
        <v>4585.96</v>
      </c>
      <c r="I184" s="3055">
        <v>127398</v>
      </c>
      <c r="J184" s="3055" t="s">
        <v>3407</v>
      </c>
      <c r="K184" s="3055" t="s">
        <v>3408</v>
      </c>
    </row>
    <row r="185" spans="1:11">
      <c r="A185" s="3055" t="s">
        <v>3404</v>
      </c>
      <c r="B185" s="3055" t="s">
        <v>3405</v>
      </c>
      <c r="C185" s="3055">
        <v>180</v>
      </c>
      <c r="D185" s="3055" t="s">
        <v>3406</v>
      </c>
      <c r="E185" s="3055">
        <v>27.78</v>
      </c>
      <c r="F185" s="3055">
        <v>12.72</v>
      </c>
      <c r="G185" s="3055">
        <v>15.06</v>
      </c>
      <c r="H185" s="3055">
        <v>4945.93</v>
      </c>
      <c r="I185" s="3055">
        <v>137398</v>
      </c>
      <c r="J185" s="3055" t="s">
        <v>3407</v>
      </c>
      <c r="K185" s="3055" t="s">
        <v>3408</v>
      </c>
    </row>
    <row r="186" spans="1:11">
      <c r="A186" s="3055" t="s">
        <v>3404</v>
      </c>
      <c r="B186" s="3055" t="s">
        <v>3405</v>
      </c>
      <c r="C186" s="3055">
        <v>181</v>
      </c>
      <c r="D186" s="3055" t="s">
        <v>3406</v>
      </c>
      <c r="E186" s="3055">
        <v>27.78</v>
      </c>
      <c r="F186" s="3055">
        <v>12.72</v>
      </c>
      <c r="G186" s="3055">
        <v>15.06</v>
      </c>
      <c r="H186" s="3055">
        <v>4945.93</v>
      </c>
      <c r="I186" s="3055">
        <v>137398</v>
      </c>
      <c r="J186" s="3055" t="s">
        <v>3407</v>
      </c>
      <c r="K186" s="3055" t="s">
        <v>3408</v>
      </c>
    </row>
    <row r="187" spans="1:11">
      <c r="A187" s="3055" t="s">
        <v>3404</v>
      </c>
      <c r="B187" s="3055" t="s">
        <v>3405</v>
      </c>
      <c r="C187" s="3055">
        <v>182</v>
      </c>
      <c r="D187" s="3055" t="s">
        <v>3406</v>
      </c>
      <c r="E187" s="3055">
        <v>27.78</v>
      </c>
      <c r="F187" s="3055">
        <v>12.72</v>
      </c>
      <c r="G187" s="3055">
        <v>15.06</v>
      </c>
      <c r="H187" s="3055">
        <v>4945.93</v>
      </c>
      <c r="I187" s="3055">
        <v>137398</v>
      </c>
      <c r="J187" s="3055" t="s">
        <v>3407</v>
      </c>
      <c r="K187" s="3055" t="s">
        <v>3408</v>
      </c>
    </row>
    <row r="188" spans="1:11">
      <c r="A188" s="3055" t="s">
        <v>3404</v>
      </c>
      <c r="B188" s="3055" t="s">
        <v>3405</v>
      </c>
      <c r="C188" s="3055">
        <v>183</v>
      </c>
      <c r="D188" s="3055" t="s">
        <v>3406</v>
      </c>
      <c r="E188" s="3055">
        <v>27.78</v>
      </c>
      <c r="F188" s="3055">
        <v>12.72</v>
      </c>
      <c r="G188" s="3055">
        <v>15.06</v>
      </c>
      <c r="H188" s="3055">
        <v>4585.96</v>
      </c>
      <c r="I188" s="3055">
        <v>127398</v>
      </c>
      <c r="J188" s="3055" t="s">
        <v>3407</v>
      </c>
      <c r="K188" s="3055" t="s">
        <v>3408</v>
      </c>
    </row>
    <row r="189" spans="1:11">
      <c r="A189" s="3055" t="s">
        <v>3404</v>
      </c>
      <c r="B189" s="3055" t="s">
        <v>3405</v>
      </c>
      <c r="C189" s="3055">
        <v>184</v>
      </c>
      <c r="D189" s="3055" t="s">
        <v>3406</v>
      </c>
      <c r="E189" s="3055">
        <v>27.78</v>
      </c>
      <c r="F189" s="3055">
        <v>12.72</v>
      </c>
      <c r="G189" s="3055">
        <v>15.06</v>
      </c>
      <c r="H189" s="3055">
        <v>4945.93</v>
      </c>
      <c r="I189" s="3055">
        <v>137398</v>
      </c>
      <c r="J189" s="3055" t="s">
        <v>3407</v>
      </c>
      <c r="K189" s="3055" t="s">
        <v>3408</v>
      </c>
    </row>
    <row r="190" spans="1:11">
      <c r="A190" s="3055" t="s">
        <v>3404</v>
      </c>
      <c r="B190" s="3055" t="s">
        <v>3405</v>
      </c>
      <c r="C190" s="3055">
        <v>185</v>
      </c>
      <c r="D190" s="3055" t="s">
        <v>3406</v>
      </c>
      <c r="E190" s="3055">
        <v>27.78</v>
      </c>
      <c r="F190" s="3055">
        <v>12.72</v>
      </c>
      <c r="G190" s="3055">
        <v>15.06</v>
      </c>
      <c r="H190" s="3055">
        <v>4945.93</v>
      </c>
      <c r="I190" s="3055">
        <v>137398</v>
      </c>
      <c r="J190" s="3055" t="s">
        <v>3407</v>
      </c>
      <c r="K190" s="3055" t="s">
        <v>3408</v>
      </c>
    </row>
    <row r="191" spans="1:11">
      <c r="A191" s="3055" t="s">
        <v>3404</v>
      </c>
      <c r="B191" s="3055" t="s">
        <v>3405</v>
      </c>
      <c r="C191" s="3055">
        <v>186</v>
      </c>
      <c r="D191" s="3055" t="s">
        <v>3406</v>
      </c>
      <c r="E191" s="3055">
        <v>27.78</v>
      </c>
      <c r="F191" s="3055">
        <v>12.72</v>
      </c>
      <c r="G191" s="3055">
        <v>15.06</v>
      </c>
      <c r="H191" s="3055">
        <v>4585.96</v>
      </c>
      <c r="I191" s="3055">
        <v>127398</v>
      </c>
      <c r="J191" s="3055" t="s">
        <v>3407</v>
      </c>
      <c r="K191" s="3055" t="s">
        <v>3408</v>
      </c>
    </row>
    <row r="192" spans="1:11">
      <c r="A192" s="3055" t="s">
        <v>3404</v>
      </c>
      <c r="B192" s="3055" t="s">
        <v>3405</v>
      </c>
      <c r="C192" s="3055">
        <v>187</v>
      </c>
      <c r="D192" s="3055" t="s">
        <v>3406</v>
      </c>
      <c r="E192" s="3055">
        <v>27.78</v>
      </c>
      <c r="F192" s="3055">
        <v>12.72</v>
      </c>
      <c r="G192" s="3055">
        <v>15.06</v>
      </c>
      <c r="H192" s="3055">
        <v>4225.99</v>
      </c>
      <c r="I192" s="3055">
        <v>117398</v>
      </c>
      <c r="J192" s="3055" t="s">
        <v>3407</v>
      </c>
      <c r="K192" s="3055" t="s">
        <v>3408</v>
      </c>
    </row>
    <row r="193" spans="1:11">
      <c r="A193" s="3055" t="s">
        <v>3404</v>
      </c>
      <c r="B193" s="3055" t="s">
        <v>3405</v>
      </c>
      <c r="C193" s="3055">
        <v>188</v>
      </c>
      <c r="D193" s="3055" t="s">
        <v>3406</v>
      </c>
      <c r="E193" s="3055">
        <v>27.78</v>
      </c>
      <c r="F193" s="3055">
        <v>12.72</v>
      </c>
      <c r="G193" s="3055">
        <v>15.06</v>
      </c>
      <c r="H193" s="3055">
        <v>4945.93</v>
      </c>
      <c r="I193" s="3055">
        <v>137398</v>
      </c>
      <c r="J193" s="3055" t="s">
        <v>3407</v>
      </c>
      <c r="K193" s="3055" t="s">
        <v>3408</v>
      </c>
    </row>
    <row r="194" spans="1:11">
      <c r="A194" s="3055" t="s">
        <v>3404</v>
      </c>
      <c r="B194" s="3055" t="s">
        <v>3405</v>
      </c>
      <c r="C194" s="3055">
        <v>189</v>
      </c>
      <c r="D194" s="3055" t="s">
        <v>3406</v>
      </c>
      <c r="E194" s="3055">
        <v>27.78</v>
      </c>
      <c r="F194" s="3055">
        <v>12.72</v>
      </c>
      <c r="G194" s="3055">
        <v>15.06</v>
      </c>
      <c r="H194" s="3055">
        <v>4945.93</v>
      </c>
      <c r="I194" s="3055">
        <v>137398</v>
      </c>
      <c r="J194" s="3055" t="s">
        <v>3407</v>
      </c>
      <c r="K194" s="3055" t="s">
        <v>3408</v>
      </c>
    </row>
    <row r="195" spans="1:11">
      <c r="A195" s="3055" t="s">
        <v>3404</v>
      </c>
      <c r="B195" s="3055" t="s">
        <v>3405</v>
      </c>
      <c r="C195" s="3055">
        <v>190</v>
      </c>
      <c r="D195" s="3055" t="s">
        <v>3406</v>
      </c>
      <c r="E195" s="3055">
        <v>27.78</v>
      </c>
      <c r="F195" s="3055">
        <v>12.72</v>
      </c>
      <c r="G195" s="3055">
        <v>15.06</v>
      </c>
      <c r="H195" s="3055">
        <v>4945.93</v>
      </c>
      <c r="I195" s="3055">
        <v>137398</v>
      </c>
      <c r="J195" s="3055" t="s">
        <v>3407</v>
      </c>
      <c r="K195" s="3055" t="s">
        <v>3408</v>
      </c>
    </row>
    <row r="196" spans="1:11">
      <c r="A196" s="3055" t="s">
        <v>3404</v>
      </c>
      <c r="B196" s="3055" t="s">
        <v>3405</v>
      </c>
      <c r="C196" s="3055">
        <v>191</v>
      </c>
      <c r="D196" s="3055" t="s">
        <v>3406</v>
      </c>
      <c r="E196" s="3055">
        <v>27.78</v>
      </c>
      <c r="F196" s="3055">
        <v>12.72</v>
      </c>
      <c r="G196" s="3055">
        <v>15.06</v>
      </c>
      <c r="H196" s="3055">
        <v>4945.93</v>
      </c>
      <c r="I196" s="3055">
        <v>137398</v>
      </c>
      <c r="J196" s="3055" t="s">
        <v>3407</v>
      </c>
      <c r="K196" s="3055" t="s">
        <v>3408</v>
      </c>
    </row>
    <row r="197" spans="1:11">
      <c r="A197" s="3055" t="s">
        <v>3404</v>
      </c>
      <c r="B197" s="3055" t="s">
        <v>3405</v>
      </c>
      <c r="C197" s="3055">
        <v>192</v>
      </c>
      <c r="D197" s="3055" t="s">
        <v>3406</v>
      </c>
      <c r="E197" s="3055">
        <v>27.78</v>
      </c>
      <c r="F197" s="3055">
        <v>12.72</v>
      </c>
      <c r="G197" s="3055">
        <v>15.06</v>
      </c>
      <c r="H197" s="3055">
        <v>4945.93</v>
      </c>
      <c r="I197" s="3055">
        <v>137398</v>
      </c>
      <c r="J197" s="3055" t="s">
        <v>3407</v>
      </c>
      <c r="K197" s="3055" t="s">
        <v>3408</v>
      </c>
    </row>
    <row r="198" spans="1:11">
      <c r="A198" s="3055" t="s">
        <v>3404</v>
      </c>
      <c r="B198" s="3055" t="s">
        <v>3405</v>
      </c>
      <c r="C198" s="3055">
        <v>193</v>
      </c>
      <c r="D198" s="3055" t="s">
        <v>3406</v>
      </c>
      <c r="E198" s="3055">
        <v>27.78</v>
      </c>
      <c r="F198" s="3055">
        <v>12.72</v>
      </c>
      <c r="G198" s="3055">
        <v>15.06</v>
      </c>
      <c r="H198" s="3055">
        <v>4945.93</v>
      </c>
      <c r="I198" s="3055">
        <v>137398</v>
      </c>
      <c r="J198" s="3055" t="s">
        <v>3407</v>
      </c>
      <c r="K198" s="3055" t="s">
        <v>3408</v>
      </c>
    </row>
    <row r="199" spans="1:11">
      <c r="A199" s="3055" t="s">
        <v>3404</v>
      </c>
      <c r="B199" s="3055" t="s">
        <v>3405</v>
      </c>
      <c r="C199" s="3055">
        <v>194</v>
      </c>
      <c r="D199" s="3055" t="s">
        <v>3406</v>
      </c>
      <c r="E199" s="3055">
        <v>27.78</v>
      </c>
      <c r="F199" s="3055">
        <v>12.72</v>
      </c>
      <c r="G199" s="3055">
        <v>15.06</v>
      </c>
      <c r="H199" s="3055">
        <v>4945.93</v>
      </c>
      <c r="I199" s="3055">
        <v>137398</v>
      </c>
      <c r="J199" s="3055" t="s">
        <v>3407</v>
      </c>
      <c r="K199" s="3055" t="s">
        <v>3408</v>
      </c>
    </row>
    <row r="200" spans="1:11">
      <c r="A200" s="3055" t="s">
        <v>3404</v>
      </c>
      <c r="B200" s="3055" t="s">
        <v>3405</v>
      </c>
      <c r="C200" s="3055">
        <v>195</v>
      </c>
      <c r="D200" s="3055" t="s">
        <v>3406</v>
      </c>
      <c r="E200" s="3055">
        <v>27.78</v>
      </c>
      <c r="F200" s="3055">
        <v>12.72</v>
      </c>
      <c r="G200" s="3055">
        <v>15.06</v>
      </c>
      <c r="H200" s="3055">
        <v>4945.93</v>
      </c>
      <c r="I200" s="3055">
        <v>137398</v>
      </c>
      <c r="J200" s="3055" t="s">
        <v>3407</v>
      </c>
      <c r="K200" s="3055" t="s">
        <v>3408</v>
      </c>
    </row>
    <row r="201" spans="1:11">
      <c r="A201" s="3055" t="s">
        <v>3404</v>
      </c>
      <c r="B201" s="3055" t="s">
        <v>3405</v>
      </c>
      <c r="C201" s="3055">
        <v>196</v>
      </c>
      <c r="D201" s="3055" t="s">
        <v>3406</v>
      </c>
      <c r="E201" s="3055">
        <v>27.78</v>
      </c>
      <c r="F201" s="3055">
        <v>12.72</v>
      </c>
      <c r="G201" s="3055">
        <v>15.06</v>
      </c>
      <c r="H201" s="3055">
        <v>4945.93</v>
      </c>
      <c r="I201" s="3055">
        <v>137398</v>
      </c>
      <c r="J201" s="3055" t="s">
        <v>3407</v>
      </c>
      <c r="K201" s="3055" t="s">
        <v>3408</v>
      </c>
    </row>
    <row r="202" spans="1:11">
      <c r="A202" s="3055" t="s">
        <v>3404</v>
      </c>
      <c r="B202" s="3055" t="s">
        <v>3405</v>
      </c>
      <c r="C202" s="3055">
        <v>197</v>
      </c>
      <c r="D202" s="3055" t="s">
        <v>3409</v>
      </c>
      <c r="E202" s="3055">
        <v>19.22</v>
      </c>
      <c r="F202" s="3055">
        <v>8.8000000000000007</v>
      </c>
      <c r="G202" s="3055">
        <v>10.42</v>
      </c>
      <c r="H202" s="3055">
        <v>4547.24</v>
      </c>
      <c r="I202" s="3055">
        <v>87398</v>
      </c>
      <c r="J202" s="3055" t="s">
        <v>3407</v>
      </c>
      <c r="K202" s="3055" t="s">
        <v>3408</v>
      </c>
    </row>
    <row r="203" spans="1:11">
      <c r="A203" s="3055" t="s">
        <v>3404</v>
      </c>
      <c r="B203" s="3055" t="s">
        <v>3405</v>
      </c>
      <c r="C203" s="3055">
        <v>198</v>
      </c>
      <c r="D203" s="3055" t="s">
        <v>3406</v>
      </c>
      <c r="E203" s="3055">
        <v>27.78</v>
      </c>
      <c r="F203" s="3055">
        <v>12.72</v>
      </c>
      <c r="G203" s="3055">
        <v>15.06</v>
      </c>
      <c r="H203" s="3055">
        <v>4945.93</v>
      </c>
      <c r="I203" s="3055">
        <v>137398</v>
      </c>
      <c r="J203" s="3055" t="s">
        <v>3407</v>
      </c>
      <c r="K203" s="3055" t="s">
        <v>3408</v>
      </c>
    </row>
    <row r="204" spans="1:11">
      <c r="A204" s="3055" t="s">
        <v>3404</v>
      </c>
      <c r="B204" s="3055" t="s">
        <v>3405</v>
      </c>
      <c r="C204" s="3055">
        <v>199</v>
      </c>
      <c r="D204" s="3055" t="s">
        <v>3406</v>
      </c>
      <c r="E204" s="3055">
        <v>27.78</v>
      </c>
      <c r="F204" s="3055">
        <v>12.72</v>
      </c>
      <c r="G204" s="3055">
        <v>15.06</v>
      </c>
      <c r="H204" s="3055">
        <v>4945.93</v>
      </c>
      <c r="I204" s="3055">
        <v>137398</v>
      </c>
      <c r="J204" s="3055" t="s">
        <v>3407</v>
      </c>
      <c r="K204" s="3055" t="s">
        <v>3408</v>
      </c>
    </row>
    <row r="205" spans="1:11">
      <c r="A205" s="3055" t="s">
        <v>3404</v>
      </c>
      <c r="B205" s="3055" t="s">
        <v>3405</v>
      </c>
      <c r="C205" s="3055">
        <v>200</v>
      </c>
      <c r="D205" s="3055" t="s">
        <v>3406</v>
      </c>
      <c r="E205" s="3055">
        <v>27.78</v>
      </c>
      <c r="F205" s="3055">
        <v>12.72</v>
      </c>
      <c r="G205" s="3055">
        <v>15.06</v>
      </c>
      <c r="H205" s="3055">
        <v>4945.93</v>
      </c>
      <c r="I205" s="3055">
        <v>137398</v>
      </c>
      <c r="J205" s="3055" t="s">
        <v>3407</v>
      </c>
      <c r="K205" s="3055" t="s">
        <v>3408</v>
      </c>
    </row>
    <row r="206" spans="1:11">
      <c r="A206" s="3055" t="s">
        <v>3404</v>
      </c>
      <c r="B206" s="3055" t="s">
        <v>3405</v>
      </c>
      <c r="C206" s="3055">
        <v>201</v>
      </c>
      <c r="D206" s="3055" t="s">
        <v>3406</v>
      </c>
      <c r="E206" s="3055">
        <v>27.78</v>
      </c>
      <c r="F206" s="3055">
        <v>12.72</v>
      </c>
      <c r="G206" s="3055">
        <v>15.06</v>
      </c>
      <c r="H206" s="3055">
        <v>4945.93</v>
      </c>
      <c r="I206" s="3055">
        <v>137398</v>
      </c>
      <c r="J206" s="3055" t="s">
        <v>3407</v>
      </c>
      <c r="K206" s="3055" t="s">
        <v>3408</v>
      </c>
    </row>
    <row r="207" spans="1:11">
      <c r="A207" s="3055" t="s">
        <v>3404</v>
      </c>
      <c r="B207" s="3055" t="s">
        <v>3405</v>
      </c>
      <c r="C207" s="3055">
        <v>202</v>
      </c>
      <c r="D207" s="3055" t="s">
        <v>3406</v>
      </c>
      <c r="E207" s="3055">
        <v>27.78</v>
      </c>
      <c r="F207" s="3055">
        <v>12.72</v>
      </c>
      <c r="G207" s="3055">
        <v>15.06</v>
      </c>
      <c r="H207" s="3055">
        <v>4945.93</v>
      </c>
      <c r="I207" s="3055">
        <v>137398</v>
      </c>
      <c r="J207" s="3055" t="s">
        <v>3407</v>
      </c>
      <c r="K207" s="3055" t="s">
        <v>3408</v>
      </c>
    </row>
    <row r="208" spans="1:11">
      <c r="A208" s="3055" t="s">
        <v>3404</v>
      </c>
      <c r="B208" s="3055" t="s">
        <v>3405</v>
      </c>
      <c r="C208" s="3055">
        <v>203</v>
      </c>
      <c r="D208" s="3055" t="s">
        <v>3406</v>
      </c>
      <c r="E208" s="3055">
        <v>27.78</v>
      </c>
      <c r="F208" s="3055">
        <v>12.72</v>
      </c>
      <c r="G208" s="3055">
        <v>15.06</v>
      </c>
      <c r="H208" s="3055">
        <v>4945.93</v>
      </c>
      <c r="I208" s="3055">
        <v>137398</v>
      </c>
      <c r="J208" s="3055" t="s">
        <v>3407</v>
      </c>
      <c r="K208" s="3055" t="s">
        <v>3408</v>
      </c>
    </row>
    <row r="209" spans="1:11">
      <c r="A209" s="3055" t="s">
        <v>3404</v>
      </c>
      <c r="B209" s="3055" t="s">
        <v>3405</v>
      </c>
      <c r="C209" s="3055">
        <v>204</v>
      </c>
      <c r="D209" s="3055" t="s">
        <v>3406</v>
      </c>
      <c r="E209" s="3055">
        <v>27.78</v>
      </c>
      <c r="F209" s="3055">
        <v>12.72</v>
      </c>
      <c r="G209" s="3055">
        <v>15.06</v>
      </c>
      <c r="H209" s="3055">
        <v>4945.93</v>
      </c>
      <c r="I209" s="3055">
        <v>137398</v>
      </c>
      <c r="J209" s="3055" t="s">
        <v>3407</v>
      </c>
      <c r="K209" s="3055" t="s">
        <v>3408</v>
      </c>
    </row>
    <row r="210" spans="1:11">
      <c r="A210" s="3055" t="s">
        <v>3404</v>
      </c>
      <c r="B210" s="3055" t="s">
        <v>3405</v>
      </c>
      <c r="C210" s="3055">
        <v>205</v>
      </c>
      <c r="D210" s="3055" t="s">
        <v>3406</v>
      </c>
      <c r="E210" s="3055">
        <v>27.78</v>
      </c>
      <c r="F210" s="3055">
        <v>12.72</v>
      </c>
      <c r="G210" s="3055">
        <v>15.06</v>
      </c>
      <c r="H210" s="3055">
        <v>4945.93</v>
      </c>
      <c r="I210" s="3055">
        <v>137398</v>
      </c>
      <c r="J210" s="3055" t="s">
        <v>3407</v>
      </c>
      <c r="K210" s="3055" t="s">
        <v>3408</v>
      </c>
    </row>
    <row r="211" spans="1:11">
      <c r="A211" s="3055" t="s">
        <v>3404</v>
      </c>
      <c r="B211" s="3055" t="s">
        <v>3405</v>
      </c>
      <c r="C211" s="3055">
        <v>206</v>
      </c>
      <c r="D211" s="3055" t="s">
        <v>3406</v>
      </c>
      <c r="E211" s="3055">
        <v>27.78</v>
      </c>
      <c r="F211" s="3055">
        <v>12.72</v>
      </c>
      <c r="G211" s="3055">
        <v>15.06</v>
      </c>
      <c r="H211" s="3055">
        <v>4945.93</v>
      </c>
      <c r="I211" s="3055">
        <v>137398</v>
      </c>
      <c r="J211" s="3055" t="s">
        <v>3407</v>
      </c>
      <c r="K211" s="3055" t="s">
        <v>3408</v>
      </c>
    </row>
    <row r="212" spans="1:11">
      <c r="A212" s="3055" t="s">
        <v>3404</v>
      </c>
      <c r="B212" s="3055" t="s">
        <v>3405</v>
      </c>
      <c r="C212" s="3055">
        <v>207</v>
      </c>
      <c r="D212" s="3055" t="s">
        <v>3406</v>
      </c>
      <c r="E212" s="3055">
        <v>27.78</v>
      </c>
      <c r="F212" s="3055">
        <v>12.72</v>
      </c>
      <c r="G212" s="3055">
        <v>15.06</v>
      </c>
      <c r="H212" s="3055">
        <v>4945.93</v>
      </c>
      <c r="I212" s="3055">
        <v>137398</v>
      </c>
      <c r="J212" s="3055" t="s">
        <v>3407</v>
      </c>
      <c r="K212" s="3055" t="s">
        <v>3408</v>
      </c>
    </row>
    <row r="213" spans="1:11">
      <c r="A213" s="3055" t="s">
        <v>3404</v>
      </c>
      <c r="B213" s="3055" t="s">
        <v>3405</v>
      </c>
      <c r="C213" s="3055">
        <v>208</v>
      </c>
      <c r="D213" s="3055" t="s">
        <v>3406</v>
      </c>
      <c r="E213" s="3055">
        <v>27.78</v>
      </c>
      <c r="F213" s="3055">
        <v>12.72</v>
      </c>
      <c r="G213" s="3055">
        <v>15.06</v>
      </c>
      <c r="H213" s="3055">
        <v>4945.93</v>
      </c>
      <c r="I213" s="3055">
        <v>137398</v>
      </c>
      <c r="J213" s="3055" t="s">
        <v>3407</v>
      </c>
      <c r="K213" s="3055" t="s">
        <v>3408</v>
      </c>
    </row>
    <row r="214" spans="1:11">
      <c r="A214" s="3055" t="s">
        <v>3404</v>
      </c>
      <c r="B214" s="3055" t="s">
        <v>3405</v>
      </c>
      <c r="C214" s="3055">
        <v>209</v>
      </c>
      <c r="D214" s="3055" t="s">
        <v>3406</v>
      </c>
      <c r="E214" s="3055">
        <v>27.78</v>
      </c>
      <c r="F214" s="3055">
        <v>12.72</v>
      </c>
      <c r="G214" s="3055">
        <v>15.06</v>
      </c>
      <c r="H214" s="3055">
        <v>4585.96</v>
      </c>
      <c r="I214" s="3055">
        <v>127398</v>
      </c>
      <c r="J214" s="3055" t="s">
        <v>3407</v>
      </c>
      <c r="K214" s="3055" t="s">
        <v>3408</v>
      </c>
    </row>
    <row r="215" spans="1:11">
      <c r="A215" s="3055" t="s">
        <v>3404</v>
      </c>
      <c r="B215" s="3055" t="s">
        <v>3405</v>
      </c>
      <c r="C215" s="3055">
        <v>210</v>
      </c>
      <c r="D215" s="3055" t="s">
        <v>3406</v>
      </c>
      <c r="E215" s="3055">
        <v>27.78</v>
      </c>
      <c r="F215" s="3055">
        <v>12.72</v>
      </c>
      <c r="G215" s="3055">
        <v>15.06</v>
      </c>
      <c r="H215" s="3055">
        <v>4945.93</v>
      </c>
      <c r="I215" s="3055">
        <v>137398</v>
      </c>
      <c r="J215" s="3055" t="s">
        <v>3407</v>
      </c>
      <c r="K215" s="3055" t="s">
        <v>3408</v>
      </c>
    </row>
    <row r="216" spans="1:11">
      <c r="A216" s="3055" t="s">
        <v>3404</v>
      </c>
      <c r="B216" s="3055" t="s">
        <v>3405</v>
      </c>
      <c r="C216" s="3055">
        <v>211</v>
      </c>
      <c r="D216" s="3055" t="s">
        <v>3406</v>
      </c>
      <c r="E216" s="3055">
        <v>27.78</v>
      </c>
      <c r="F216" s="3055">
        <v>12.72</v>
      </c>
      <c r="G216" s="3055">
        <v>15.06</v>
      </c>
      <c r="H216" s="3055">
        <v>4945.93</v>
      </c>
      <c r="I216" s="3055">
        <v>137398</v>
      </c>
      <c r="J216" s="3055" t="s">
        <v>3407</v>
      </c>
      <c r="K216" s="3055" t="s">
        <v>3408</v>
      </c>
    </row>
    <row r="217" spans="1:11">
      <c r="A217" s="3055" t="s">
        <v>3404</v>
      </c>
      <c r="B217" s="3055" t="s">
        <v>3405</v>
      </c>
      <c r="C217" s="3055">
        <v>212</v>
      </c>
      <c r="D217" s="3055" t="s">
        <v>3406</v>
      </c>
      <c r="E217" s="3055">
        <v>27.78</v>
      </c>
      <c r="F217" s="3055">
        <v>12.72</v>
      </c>
      <c r="G217" s="3055">
        <v>15.06</v>
      </c>
      <c r="H217" s="3055">
        <v>4585.96</v>
      </c>
      <c r="I217" s="3055">
        <v>127398</v>
      </c>
      <c r="J217" s="3055" t="s">
        <v>3407</v>
      </c>
      <c r="K217" s="3055" t="s">
        <v>3408</v>
      </c>
    </row>
    <row r="218" spans="1:11">
      <c r="A218" s="3055" t="s">
        <v>3404</v>
      </c>
      <c r="B218" s="3055" t="s">
        <v>3405</v>
      </c>
      <c r="C218" s="3055">
        <v>213</v>
      </c>
      <c r="D218" s="3055" t="s">
        <v>3406</v>
      </c>
      <c r="E218" s="3055">
        <v>27.78</v>
      </c>
      <c r="F218" s="3055">
        <v>12.72</v>
      </c>
      <c r="G218" s="3055">
        <v>15.06</v>
      </c>
      <c r="H218" s="3055">
        <v>4585.96</v>
      </c>
      <c r="I218" s="3055">
        <v>127398</v>
      </c>
      <c r="J218" s="3055" t="s">
        <v>3407</v>
      </c>
      <c r="K218" s="3055" t="s">
        <v>3408</v>
      </c>
    </row>
    <row r="219" spans="1:11">
      <c r="A219" s="3055" t="s">
        <v>3404</v>
      </c>
      <c r="B219" s="3055" t="s">
        <v>3405</v>
      </c>
      <c r="C219" s="3055">
        <v>214</v>
      </c>
      <c r="D219" s="3055" t="s">
        <v>3406</v>
      </c>
      <c r="E219" s="3055">
        <v>27.78</v>
      </c>
      <c r="F219" s="3055">
        <v>12.72</v>
      </c>
      <c r="G219" s="3055">
        <v>15.06</v>
      </c>
      <c r="H219" s="3055">
        <v>4945.93</v>
      </c>
      <c r="I219" s="3055">
        <v>137398</v>
      </c>
      <c r="J219" s="3055" t="s">
        <v>3407</v>
      </c>
      <c r="K219" s="3055" t="s">
        <v>3408</v>
      </c>
    </row>
    <row r="220" spans="1:11">
      <c r="A220" s="3055" t="s">
        <v>3404</v>
      </c>
      <c r="B220" s="3055" t="s">
        <v>3405</v>
      </c>
      <c r="C220" s="3055">
        <v>215</v>
      </c>
      <c r="D220" s="3055" t="s">
        <v>3406</v>
      </c>
      <c r="E220" s="3055">
        <v>27.78</v>
      </c>
      <c r="F220" s="3055">
        <v>12.72</v>
      </c>
      <c r="G220" s="3055">
        <v>15.06</v>
      </c>
      <c r="H220" s="3055">
        <v>4945.93</v>
      </c>
      <c r="I220" s="3055">
        <v>137398</v>
      </c>
      <c r="J220" s="3055" t="s">
        <v>3407</v>
      </c>
      <c r="K220" s="3055" t="s">
        <v>3408</v>
      </c>
    </row>
    <row r="221" spans="1:11">
      <c r="A221" s="3055" t="s">
        <v>3404</v>
      </c>
      <c r="B221" s="3055" t="s">
        <v>3405</v>
      </c>
      <c r="C221" s="3055">
        <v>216</v>
      </c>
      <c r="D221" s="3055" t="s">
        <v>3406</v>
      </c>
      <c r="E221" s="3055">
        <v>27.78</v>
      </c>
      <c r="F221" s="3055">
        <v>12.72</v>
      </c>
      <c r="G221" s="3055">
        <v>15.06</v>
      </c>
      <c r="H221" s="3055">
        <v>4945.93</v>
      </c>
      <c r="I221" s="3055">
        <v>137398</v>
      </c>
      <c r="J221" s="3055" t="s">
        <v>3407</v>
      </c>
      <c r="K221" s="3055" t="s">
        <v>3408</v>
      </c>
    </row>
    <row r="222" spans="1:11">
      <c r="A222" s="3055" t="s">
        <v>3404</v>
      </c>
      <c r="B222" s="3055" t="s">
        <v>3405</v>
      </c>
      <c r="C222" s="3055">
        <v>217</v>
      </c>
      <c r="D222" s="3055" t="s">
        <v>3406</v>
      </c>
      <c r="E222" s="3055">
        <v>27.78</v>
      </c>
      <c r="F222" s="3055">
        <v>12.72</v>
      </c>
      <c r="G222" s="3055">
        <v>15.06</v>
      </c>
      <c r="H222" s="3055">
        <v>4945.93</v>
      </c>
      <c r="I222" s="3055">
        <v>137398</v>
      </c>
      <c r="J222" s="3055" t="s">
        <v>3407</v>
      </c>
      <c r="K222" s="3055" t="s">
        <v>3408</v>
      </c>
    </row>
    <row r="223" spans="1:11">
      <c r="A223" s="3055" t="s">
        <v>3404</v>
      </c>
      <c r="B223" s="3055" t="s">
        <v>3405</v>
      </c>
      <c r="C223" s="3055">
        <v>218</v>
      </c>
      <c r="D223" s="3055" t="s">
        <v>3406</v>
      </c>
      <c r="E223" s="3055">
        <v>27.78</v>
      </c>
      <c r="F223" s="3055">
        <v>12.72</v>
      </c>
      <c r="G223" s="3055">
        <v>15.06</v>
      </c>
      <c r="H223" s="3055">
        <v>4945.93</v>
      </c>
      <c r="I223" s="3055">
        <v>137398</v>
      </c>
      <c r="J223" s="3055" t="s">
        <v>3407</v>
      </c>
      <c r="K223" s="3055" t="s">
        <v>3408</v>
      </c>
    </row>
    <row r="224" spans="1:11">
      <c r="A224" s="3055" t="s">
        <v>3404</v>
      </c>
      <c r="B224" s="3055" t="s">
        <v>3405</v>
      </c>
      <c r="C224" s="3055">
        <v>219</v>
      </c>
      <c r="D224" s="3055" t="s">
        <v>3406</v>
      </c>
      <c r="E224" s="3055">
        <v>27.78</v>
      </c>
      <c r="F224" s="3055">
        <v>12.72</v>
      </c>
      <c r="G224" s="3055">
        <v>15.06</v>
      </c>
      <c r="H224" s="3055">
        <v>4585.96</v>
      </c>
      <c r="I224" s="3055">
        <v>127398</v>
      </c>
      <c r="J224" s="3055" t="s">
        <v>3407</v>
      </c>
      <c r="K224" s="3055" t="s">
        <v>3408</v>
      </c>
    </row>
    <row r="225" spans="1:11">
      <c r="A225" s="3055" t="s">
        <v>3404</v>
      </c>
      <c r="B225" s="3055" t="s">
        <v>3405</v>
      </c>
      <c r="C225" s="3055">
        <v>220</v>
      </c>
      <c r="D225" s="3055" t="s">
        <v>3406</v>
      </c>
      <c r="E225" s="3055">
        <v>27.78</v>
      </c>
      <c r="F225" s="3055">
        <v>12.72</v>
      </c>
      <c r="G225" s="3055">
        <v>15.06</v>
      </c>
      <c r="H225" s="3055">
        <v>4945.93</v>
      </c>
      <c r="I225" s="3055">
        <v>137398</v>
      </c>
      <c r="J225" s="3055" t="s">
        <v>3407</v>
      </c>
      <c r="K225" s="3055" t="s">
        <v>3408</v>
      </c>
    </row>
    <row r="226" spans="1:11">
      <c r="A226" s="3055" t="s">
        <v>3404</v>
      </c>
      <c r="B226" s="3055" t="s">
        <v>3405</v>
      </c>
      <c r="C226" s="3055">
        <v>221</v>
      </c>
      <c r="D226" s="3055" t="s">
        <v>3406</v>
      </c>
      <c r="E226" s="3055">
        <v>27.78</v>
      </c>
      <c r="F226" s="3055">
        <v>12.72</v>
      </c>
      <c r="G226" s="3055">
        <v>15.06</v>
      </c>
      <c r="H226" s="3055">
        <v>4945.93</v>
      </c>
      <c r="I226" s="3055">
        <v>137398</v>
      </c>
      <c r="J226" s="3055" t="s">
        <v>3407</v>
      </c>
      <c r="K226" s="3055" t="s">
        <v>3408</v>
      </c>
    </row>
    <row r="227" spans="1:11">
      <c r="A227" s="3055" t="s">
        <v>3404</v>
      </c>
      <c r="B227" s="3055" t="s">
        <v>3405</v>
      </c>
      <c r="C227" s="3055">
        <v>222</v>
      </c>
      <c r="D227" s="3055" t="s">
        <v>3406</v>
      </c>
      <c r="E227" s="3055">
        <v>27.78</v>
      </c>
      <c r="F227" s="3055">
        <v>12.72</v>
      </c>
      <c r="G227" s="3055">
        <v>15.06</v>
      </c>
      <c r="H227" s="3055">
        <v>4945.93</v>
      </c>
      <c r="I227" s="3055">
        <v>137398</v>
      </c>
      <c r="J227" s="3055" t="s">
        <v>3407</v>
      </c>
      <c r="K227" s="3055" t="s">
        <v>3408</v>
      </c>
    </row>
    <row r="228" spans="1:11">
      <c r="A228" s="3055" t="s">
        <v>3404</v>
      </c>
      <c r="B228" s="3055" t="s">
        <v>3405</v>
      </c>
      <c r="C228" s="3055">
        <v>223</v>
      </c>
      <c r="D228" s="3055" t="s">
        <v>3406</v>
      </c>
      <c r="E228" s="3055">
        <v>27.78</v>
      </c>
      <c r="F228" s="3055">
        <v>12.72</v>
      </c>
      <c r="G228" s="3055">
        <v>15.06</v>
      </c>
      <c r="H228" s="3055">
        <v>4945.93</v>
      </c>
      <c r="I228" s="3055">
        <v>137398</v>
      </c>
      <c r="J228" s="3055" t="s">
        <v>3407</v>
      </c>
      <c r="K228" s="3055" t="s">
        <v>3408</v>
      </c>
    </row>
    <row r="229" spans="1:11">
      <c r="A229" s="3055" t="s">
        <v>3404</v>
      </c>
      <c r="B229" s="3055" t="s">
        <v>3405</v>
      </c>
      <c r="C229" s="3055">
        <v>224</v>
      </c>
      <c r="D229" s="3055" t="s">
        <v>3406</v>
      </c>
      <c r="E229" s="3055">
        <v>27.78</v>
      </c>
      <c r="F229" s="3055">
        <v>12.72</v>
      </c>
      <c r="G229" s="3055">
        <v>15.06</v>
      </c>
      <c r="H229" s="3055">
        <v>4945.93</v>
      </c>
      <c r="I229" s="3055">
        <v>137398</v>
      </c>
      <c r="J229" s="3055" t="s">
        <v>3407</v>
      </c>
      <c r="K229" s="3055" t="s">
        <v>3408</v>
      </c>
    </row>
    <row r="230" spans="1:11">
      <c r="A230" s="3055" t="s">
        <v>3404</v>
      </c>
      <c r="B230" s="3055" t="s">
        <v>3405</v>
      </c>
      <c r="C230" s="3055">
        <v>225</v>
      </c>
      <c r="D230" s="3055" t="s">
        <v>3406</v>
      </c>
      <c r="E230" s="3055">
        <v>27.78</v>
      </c>
      <c r="F230" s="3055">
        <v>12.72</v>
      </c>
      <c r="G230" s="3055">
        <v>15.06</v>
      </c>
      <c r="H230" s="3055">
        <v>4945.93</v>
      </c>
      <c r="I230" s="3055">
        <v>137398</v>
      </c>
      <c r="J230" s="3055" t="s">
        <v>3407</v>
      </c>
      <c r="K230" s="3055" t="s">
        <v>3408</v>
      </c>
    </row>
    <row r="231" spans="1:11">
      <c r="A231" s="3055" t="s">
        <v>3404</v>
      </c>
      <c r="B231" s="3055" t="s">
        <v>3405</v>
      </c>
      <c r="C231" s="3055">
        <v>226</v>
      </c>
      <c r="D231" s="3055" t="s">
        <v>3406</v>
      </c>
      <c r="E231" s="3055">
        <v>27.78</v>
      </c>
      <c r="F231" s="3055">
        <v>12.72</v>
      </c>
      <c r="G231" s="3055">
        <v>15.06</v>
      </c>
      <c r="H231" s="3055">
        <v>4585.96</v>
      </c>
      <c r="I231" s="3055">
        <v>127398</v>
      </c>
      <c r="J231" s="3055" t="s">
        <v>3407</v>
      </c>
      <c r="K231" s="3055" t="s">
        <v>3408</v>
      </c>
    </row>
    <row r="232" spans="1:11">
      <c r="A232" s="3055" t="s">
        <v>3404</v>
      </c>
      <c r="B232" s="3055" t="s">
        <v>3405</v>
      </c>
      <c r="C232" s="3055">
        <v>227</v>
      </c>
      <c r="D232" s="3055" t="s">
        <v>3406</v>
      </c>
      <c r="E232" s="3055">
        <v>27.78</v>
      </c>
      <c r="F232" s="3055">
        <v>12.72</v>
      </c>
      <c r="G232" s="3055">
        <v>15.06</v>
      </c>
      <c r="H232" s="3055">
        <v>4945.93</v>
      </c>
      <c r="I232" s="3055">
        <v>137398</v>
      </c>
      <c r="J232" s="3055" t="s">
        <v>3407</v>
      </c>
      <c r="K232" s="3055" t="s">
        <v>3408</v>
      </c>
    </row>
    <row r="233" spans="1:11">
      <c r="A233" s="3055" t="s">
        <v>3404</v>
      </c>
      <c r="B233" s="3055" t="s">
        <v>3405</v>
      </c>
      <c r="C233" s="3055">
        <v>228</v>
      </c>
      <c r="D233" s="3055" t="s">
        <v>3406</v>
      </c>
      <c r="E233" s="3055">
        <v>27.78</v>
      </c>
      <c r="F233" s="3055">
        <v>12.72</v>
      </c>
      <c r="G233" s="3055">
        <v>15.06</v>
      </c>
      <c r="H233" s="3055">
        <v>4945.93</v>
      </c>
      <c r="I233" s="3055">
        <v>137398</v>
      </c>
      <c r="J233" s="3055" t="s">
        <v>3407</v>
      </c>
      <c r="K233" s="3055" t="s">
        <v>3408</v>
      </c>
    </row>
    <row r="234" spans="1:11">
      <c r="A234" s="3055" t="s">
        <v>3404</v>
      </c>
      <c r="B234" s="3055" t="s">
        <v>3405</v>
      </c>
      <c r="C234" s="3055">
        <v>229</v>
      </c>
      <c r="D234" s="3055" t="s">
        <v>3406</v>
      </c>
      <c r="E234" s="3055">
        <v>27.78</v>
      </c>
      <c r="F234" s="3055">
        <v>12.72</v>
      </c>
      <c r="G234" s="3055">
        <v>15.06</v>
      </c>
      <c r="H234" s="3055">
        <v>4945.93</v>
      </c>
      <c r="I234" s="3055">
        <v>137398</v>
      </c>
      <c r="J234" s="3055" t="s">
        <v>3407</v>
      </c>
      <c r="K234" s="3055" t="s">
        <v>3408</v>
      </c>
    </row>
    <row r="235" spans="1:11">
      <c r="A235" s="3055" t="s">
        <v>3404</v>
      </c>
      <c r="B235" s="3055" t="s">
        <v>3405</v>
      </c>
      <c r="C235" s="3055">
        <v>230</v>
      </c>
      <c r="D235" s="3055" t="s">
        <v>3406</v>
      </c>
      <c r="E235" s="3055">
        <v>27.78</v>
      </c>
      <c r="F235" s="3055">
        <v>12.72</v>
      </c>
      <c r="G235" s="3055">
        <v>15.06</v>
      </c>
      <c r="H235" s="3055">
        <v>4945.93</v>
      </c>
      <c r="I235" s="3055">
        <v>137398</v>
      </c>
      <c r="J235" s="3055" t="s">
        <v>3407</v>
      </c>
      <c r="K235" s="3055" t="s">
        <v>3408</v>
      </c>
    </row>
    <row r="236" spans="1:11">
      <c r="A236" s="3055" t="s">
        <v>3404</v>
      </c>
      <c r="B236" s="3055" t="s">
        <v>3405</v>
      </c>
      <c r="C236" s="3055">
        <v>231</v>
      </c>
      <c r="D236" s="3055" t="s">
        <v>3406</v>
      </c>
      <c r="E236" s="3055">
        <v>27.78</v>
      </c>
      <c r="F236" s="3055">
        <v>12.72</v>
      </c>
      <c r="G236" s="3055">
        <v>15.06</v>
      </c>
      <c r="H236" s="3055">
        <v>4945.93</v>
      </c>
      <c r="I236" s="3055">
        <v>137398</v>
      </c>
      <c r="J236" s="3055" t="s">
        <v>3407</v>
      </c>
      <c r="K236" s="3055" t="s">
        <v>3408</v>
      </c>
    </row>
    <row r="237" spans="1:11">
      <c r="A237" s="3055" t="s">
        <v>3404</v>
      </c>
      <c r="B237" s="3055" t="s">
        <v>3405</v>
      </c>
      <c r="C237" s="3055">
        <v>232</v>
      </c>
      <c r="D237" s="3055" t="s">
        <v>3406</v>
      </c>
      <c r="E237" s="3055">
        <v>27.78</v>
      </c>
      <c r="F237" s="3055">
        <v>12.72</v>
      </c>
      <c r="G237" s="3055">
        <v>15.06</v>
      </c>
      <c r="H237" s="3055">
        <v>4945.93</v>
      </c>
      <c r="I237" s="3055">
        <v>137398</v>
      </c>
      <c r="J237" s="3055" t="s">
        <v>3407</v>
      </c>
      <c r="K237" s="3055" t="s">
        <v>3408</v>
      </c>
    </row>
    <row r="238" spans="1:11">
      <c r="A238" s="3055" t="s">
        <v>3404</v>
      </c>
      <c r="B238" s="3055" t="s">
        <v>3405</v>
      </c>
      <c r="C238" s="3055">
        <v>233</v>
      </c>
      <c r="D238" s="3055" t="s">
        <v>3406</v>
      </c>
      <c r="E238" s="3055">
        <v>27.78</v>
      </c>
      <c r="F238" s="3055">
        <v>12.72</v>
      </c>
      <c r="G238" s="3055">
        <v>15.06</v>
      </c>
      <c r="H238" s="3055">
        <v>4945.93</v>
      </c>
      <c r="I238" s="3055">
        <v>137398</v>
      </c>
      <c r="J238" s="3055" t="s">
        <v>3407</v>
      </c>
      <c r="K238" s="3055" t="s">
        <v>3408</v>
      </c>
    </row>
    <row r="239" spans="1:11">
      <c r="A239" s="3055" t="s">
        <v>3404</v>
      </c>
      <c r="B239" s="3055" t="s">
        <v>3405</v>
      </c>
      <c r="C239" s="3055">
        <v>234</v>
      </c>
      <c r="D239" s="3055" t="s">
        <v>3406</v>
      </c>
      <c r="E239" s="3055">
        <v>27.78</v>
      </c>
      <c r="F239" s="3055">
        <v>12.72</v>
      </c>
      <c r="G239" s="3055">
        <v>15.06</v>
      </c>
      <c r="H239" s="3055">
        <v>4945.93</v>
      </c>
      <c r="I239" s="3055">
        <v>137398</v>
      </c>
      <c r="J239" s="3055" t="s">
        <v>3407</v>
      </c>
      <c r="K239" s="3055" t="s">
        <v>3408</v>
      </c>
    </row>
    <row r="240" spans="1:11">
      <c r="A240" s="3055" t="s">
        <v>3404</v>
      </c>
      <c r="B240" s="3055" t="s">
        <v>3405</v>
      </c>
      <c r="C240" s="3055">
        <v>235</v>
      </c>
      <c r="D240" s="3055" t="s">
        <v>3406</v>
      </c>
      <c r="E240" s="3055">
        <v>27.78</v>
      </c>
      <c r="F240" s="3055">
        <v>12.72</v>
      </c>
      <c r="G240" s="3055">
        <v>15.06</v>
      </c>
      <c r="H240" s="3055">
        <v>4945.93</v>
      </c>
      <c r="I240" s="3055">
        <v>137398</v>
      </c>
      <c r="J240" s="3055" t="s">
        <v>3407</v>
      </c>
      <c r="K240" s="3055" t="s">
        <v>3408</v>
      </c>
    </row>
    <row r="241" spans="1:11">
      <c r="A241" s="3055" t="s">
        <v>3404</v>
      </c>
      <c r="B241" s="3055" t="s">
        <v>3405</v>
      </c>
      <c r="C241" s="3055">
        <v>236</v>
      </c>
      <c r="D241" s="3055" t="s">
        <v>3406</v>
      </c>
      <c r="E241" s="3055">
        <v>27.78</v>
      </c>
      <c r="F241" s="3055">
        <v>12.72</v>
      </c>
      <c r="G241" s="3055">
        <v>15.06</v>
      </c>
      <c r="H241" s="3055">
        <v>4225.99</v>
      </c>
      <c r="I241" s="3055">
        <v>117398</v>
      </c>
      <c r="J241" s="3055" t="s">
        <v>3407</v>
      </c>
      <c r="K241" s="3055" t="s">
        <v>3408</v>
      </c>
    </row>
    <row r="242" spans="1:11">
      <c r="A242" s="3055" t="s">
        <v>3404</v>
      </c>
      <c r="B242" s="3055" t="s">
        <v>3405</v>
      </c>
      <c r="C242" s="3055">
        <v>237</v>
      </c>
      <c r="D242" s="3055" t="s">
        <v>3406</v>
      </c>
      <c r="E242" s="3055">
        <v>27.78</v>
      </c>
      <c r="F242" s="3055">
        <v>12.72</v>
      </c>
      <c r="G242" s="3055">
        <v>15.06</v>
      </c>
      <c r="H242" s="3055">
        <v>4945.93</v>
      </c>
      <c r="I242" s="3055">
        <v>137398</v>
      </c>
      <c r="J242" s="3055" t="s">
        <v>3407</v>
      </c>
      <c r="K242" s="3055" t="s">
        <v>3408</v>
      </c>
    </row>
    <row r="243" spans="1:11">
      <c r="A243" s="3055" t="s">
        <v>3404</v>
      </c>
      <c r="B243" s="3055" t="s">
        <v>3405</v>
      </c>
      <c r="C243" s="3055">
        <v>238</v>
      </c>
      <c r="D243" s="3055" t="s">
        <v>3406</v>
      </c>
      <c r="E243" s="3055">
        <v>27.78</v>
      </c>
      <c r="F243" s="3055">
        <v>12.72</v>
      </c>
      <c r="G243" s="3055">
        <v>15.06</v>
      </c>
      <c r="H243" s="3055">
        <v>4945.93</v>
      </c>
      <c r="I243" s="3055">
        <v>137398</v>
      </c>
      <c r="J243" s="3055" t="s">
        <v>3407</v>
      </c>
      <c r="K243" s="3055" t="s">
        <v>3408</v>
      </c>
    </row>
    <row r="244" spans="1:11">
      <c r="A244" s="3055" t="s">
        <v>3404</v>
      </c>
      <c r="B244" s="3055" t="s">
        <v>3405</v>
      </c>
      <c r="C244" s="3055">
        <v>239</v>
      </c>
      <c r="D244" s="3055" t="s">
        <v>3406</v>
      </c>
      <c r="E244" s="3055">
        <v>27.78</v>
      </c>
      <c r="F244" s="3055">
        <v>12.72</v>
      </c>
      <c r="G244" s="3055">
        <v>15.06</v>
      </c>
      <c r="H244" s="3055">
        <v>4945.93</v>
      </c>
      <c r="I244" s="3055">
        <v>137398</v>
      </c>
      <c r="J244" s="3055" t="s">
        <v>3407</v>
      </c>
      <c r="K244" s="3055" t="s">
        <v>3408</v>
      </c>
    </row>
    <row r="245" spans="1:11">
      <c r="A245" s="3055" t="s">
        <v>3404</v>
      </c>
      <c r="B245" s="3055" t="s">
        <v>3405</v>
      </c>
      <c r="C245" s="3055">
        <v>240</v>
      </c>
      <c r="D245" s="3055" t="s">
        <v>3406</v>
      </c>
      <c r="E245" s="3055">
        <v>27.78</v>
      </c>
      <c r="F245" s="3055">
        <v>12.72</v>
      </c>
      <c r="G245" s="3055">
        <v>15.06</v>
      </c>
      <c r="H245" s="3055">
        <v>4945.93</v>
      </c>
      <c r="I245" s="3055">
        <v>137398</v>
      </c>
      <c r="J245" s="3055" t="s">
        <v>3407</v>
      </c>
      <c r="K245" s="3055" t="s">
        <v>3408</v>
      </c>
    </row>
    <row r="246" spans="1:11">
      <c r="A246" s="3055" t="s">
        <v>3404</v>
      </c>
      <c r="B246" s="3055" t="s">
        <v>3405</v>
      </c>
      <c r="C246" s="3055">
        <v>241</v>
      </c>
      <c r="D246" s="3055" t="s">
        <v>3406</v>
      </c>
      <c r="E246" s="3055">
        <v>27.78</v>
      </c>
      <c r="F246" s="3055">
        <v>12.72</v>
      </c>
      <c r="G246" s="3055">
        <v>15.06</v>
      </c>
      <c r="H246" s="3055">
        <v>4945.93</v>
      </c>
      <c r="I246" s="3055">
        <v>137398</v>
      </c>
      <c r="J246" s="3055" t="s">
        <v>3407</v>
      </c>
      <c r="K246" s="3055" t="s">
        <v>3408</v>
      </c>
    </row>
    <row r="247" spans="1:11">
      <c r="A247" s="3055" t="s">
        <v>3404</v>
      </c>
      <c r="B247" s="3055" t="s">
        <v>3405</v>
      </c>
      <c r="C247" s="3055">
        <v>242</v>
      </c>
      <c r="D247" s="3055" t="s">
        <v>3406</v>
      </c>
      <c r="E247" s="3055">
        <v>27.78</v>
      </c>
      <c r="F247" s="3055">
        <v>12.72</v>
      </c>
      <c r="G247" s="3055">
        <v>15.06</v>
      </c>
      <c r="H247" s="3055">
        <v>4945.93</v>
      </c>
      <c r="I247" s="3055">
        <v>137398</v>
      </c>
      <c r="J247" s="3055" t="s">
        <v>3407</v>
      </c>
      <c r="K247" s="3055" t="s">
        <v>3408</v>
      </c>
    </row>
    <row r="248" spans="1:11">
      <c r="A248" s="3055" t="s">
        <v>3404</v>
      </c>
      <c r="B248" s="3055" t="s">
        <v>3405</v>
      </c>
      <c r="C248" s="3055">
        <v>243</v>
      </c>
      <c r="D248" s="3055" t="s">
        <v>3406</v>
      </c>
      <c r="E248" s="3055">
        <v>27.78</v>
      </c>
      <c r="F248" s="3055">
        <v>12.72</v>
      </c>
      <c r="G248" s="3055">
        <v>15.06</v>
      </c>
      <c r="H248" s="3055">
        <v>4945.93</v>
      </c>
      <c r="I248" s="3055">
        <v>137398</v>
      </c>
      <c r="J248" s="3055" t="s">
        <v>3407</v>
      </c>
      <c r="K248" s="3055" t="s">
        <v>3408</v>
      </c>
    </row>
    <row r="249" spans="1:11">
      <c r="A249" s="3055" t="s">
        <v>3404</v>
      </c>
      <c r="B249" s="3055" t="s">
        <v>3405</v>
      </c>
      <c r="C249" s="3055">
        <v>244</v>
      </c>
      <c r="D249" s="3055" t="s">
        <v>3406</v>
      </c>
      <c r="E249" s="3055">
        <v>27.78</v>
      </c>
      <c r="F249" s="3055">
        <v>12.72</v>
      </c>
      <c r="G249" s="3055">
        <v>15.06</v>
      </c>
      <c r="H249" s="3055">
        <v>4945.93</v>
      </c>
      <c r="I249" s="3055">
        <v>137398</v>
      </c>
      <c r="J249" s="3055" t="s">
        <v>3407</v>
      </c>
      <c r="K249" s="3055" t="s">
        <v>3408</v>
      </c>
    </row>
    <row r="250" spans="1:11">
      <c r="A250" s="3055" t="s">
        <v>3404</v>
      </c>
      <c r="B250" s="3055" t="s">
        <v>3405</v>
      </c>
      <c r="C250" s="3055">
        <v>245</v>
      </c>
      <c r="D250" s="3055" t="s">
        <v>3406</v>
      </c>
      <c r="E250" s="3055">
        <v>27.78</v>
      </c>
      <c r="F250" s="3055">
        <v>12.72</v>
      </c>
      <c r="G250" s="3055">
        <v>15.06</v>
      </c>
      <c r="H250" s="3055">
        <v>4945.93</v>
      </c>
      <c r="I250" s="3055">
        <v>137398</v>
      </c>
      <c r="J250" s="3055" t="s">
        <v>3407</v>
      </c>
      <c r="K250" s="3055" t="s">
        <v>3408</v>
      </c>
    </row>
    <row r="251" spans="1:11">
      <c r="A251" s="3055" t="s">
        <v>3404</v>
      </c>
      <c r="B251" s="3055" t="s">
        <v>3405</v>
      </c>
      <c r="C251" s="3055">
        <v>246</v>
      </c>
      <c r="D251" s="3055" t="s">
        <v>3406</v>
      </c>
      <c r="E251" s="3055">
        <v>27.78</v>
      </c>
      <c r="F251" s="3055">
        <v>12.72</v>
      </c>
      <c r="G251" s="3055">
        <v>15.06</v>
      </c>
      <c r="H251" s="3055">
        <v>4945.93</v>
      </c>
      <c r="I251" s="3055">
        <v>137398</v>
      </c>
      <c r="J251" s="3055" t="s">
        <v>3407</v>
      </c>
      <c r="K251" s="3055" t="s">
        <v>3408</v>
      </c>
    </row>
    <row r="252" spans="1:11">
      <c r="A252" s="3055" t="s">
        <v>3404</v>
      </c>
      <c r="B252" s="3055" t="s">
        <v>3405</v>
      </c>
      <c r="C252" s="3055">
        <v>247</v>
      </c>
      <c r="D252" s="3055" t="s">
        <v>3406</v>
      </c>
      <c r="E252" s="3055">
        <v>27.78</v>
      </c>
      <c r="F252" s="3055">
        <v>12.72</v>
      </c>
      <c r="G252" s="3055">
        <v>15.06</v>
      </c>
      <c r="H252" s="3055">
        <v>4945.93</v>
      </c>
      <c r="I252" s="3055">
        <v>137398</v>
      </c>
      <c r="J252" s="3055" t="s">
        <v>3407</v>
      </c>
      <c r="K252" s="3055" t="s">
        <v>3408</v>
      </c>
    </row>
    <row r="253" spans="1:11">
      <c r="A253" s="3055" t="s">
        <v>3404</v>
      </c>
      <c r="B253" s="3055" t="s">
        <v>3405</v>
      </c>
      <c r="C253" s="3055">
        <v>248</v>
      </c>
      <c r="D253" s="3055" t="s">
        <v>3406</v>
      </c>
      <c r="E253" s="3055">
        <v>27.78</v>
      </c>
      <c r="F253" s="3055">
        <v>12.72</v>
      </c>
      <c r="G253" s="3055">
        <v>15.06</v>
      </c>
      <c r="H253" s="3055">
        <v>4945.93</v>
      </c>
      <c r="I253" s="3055">
        <v>137398</v>
      </c>
      <c r="J253" s="3055" t="s">
        <v>3407</v>
      </c>
      <c r="K253" s="3055" t="s">
        <v>3408</v>
      </c>
    </row>
    <row r="254" spans="1:11">
      <c r="A254" s="3055" t="s">
        <v>3404</v>
      </c>
      <c r="B254" s="3055" t="s">
        <v>3405</v>
      </c>
      <c r="C254" s="3055">
        <v>249</v>
      </c>
      <c r="D254" s="3055" t="s">
        <v>3406</v>
      </c>
      <c r="E254" s="3055">
        <v>27.78</v>
      </c>
      <c r="F254" s="3055">
        <v>12.72</v>
      </c>
      <c r="G254" s="3055">
        <v>15.06</v>
      </c>
      <c r="H254" s="3055">
        <v>4945.93</v>
      </c>
      <c r="I254" s="3055">
        <v>137398</v>
      </c>
      <c r="J254" s="3055" t="s">
        <v>3407</v>
      </c>
      <c r="K254" s="3055" t="s">
        <v>3408</v>
      </c>
    </row>
    <row r="255" spans="1:11">
      <c r="A255" s="3055" t="s">
        <v>3404</v>
      </c>
      <c r="B255" s="3055" t="s">
        <v>3405</v>
      </c>
      <c r="C255" s="3055">
        <v>250</v>
      </c>
      <c r="D255" s="3055" t="s">
        <v>3406</v>
      </c>
      <c r="E255" s="3055">
        <v>27.78</v>
      </c>
      <c r="F255" s="3055">
        <v>12.72</v>
      </c>
      <c r="G255" s="3055">
        <v>15.06</v>
      </c>
      <c r="H255" s="3055">
        <v>4585.96</v>
      </c>
      <c r="I255" s="3055">
        <v>127398</v>
      </c>
      <c r="J255" s="3055" t="s">
        <v>3407</v>
      </c>
      <c r="K255" s="3055" t="s">
        <v>3408</v>
      </c>
    </row>
    <row r="256" spans="1:11">
      <c r="A256" s="3055" t="s">
        <v>3404</v>
      </c>
      <c r="B256" s="3055" t="s">
        <v>3405</v>
      </c>
      <c r="C256" s="3055">
        <v>251</v>
      </c>
      <c r="D256" s="3055" t="s">
        <v>3406</v>
      </c>
      <c r="E256" s="3055">
        <v>27.78</v>
      </c>
      <c r="F256" s="3055">
        <v>12.72</v>
      </c>
      <c r="G256" s="3055">
        <v>15.06</v>
      </c>
      <c r="H256" s="3055">
        <v>4945.93</v>
      </c>
      <c r="I256" s="3055">
        <v>137398</v>
      </c>
      <c r="J256" s="3055" t="s">
        <v>3407</v>
      </c>
      <c r="K256" s="3055" t="s">
        <v>3408</v>
      </c>
    </row>
    <row r="257" spans="1:11">
      <c r="A257" s="3055" t="s">
        <v>3404</v>
      </c>
      <c r="B257" s="3055" t="s">
        <v>3405</v>
      </c>
      <c r="C257" s="3055">
        <v>252</v>
      </c>
      <c r="D257" s="3055" t="s">
        <v>3406</v>
      </c>
      <c r="E257" s="3055">
        <v>27.78</v>
      </c>
      <c r="F257" s="3055">
        <v>12.72</v>
      </c>
      <c r="G257" s="3055">
        <v>15.06</v>
      </c>
      <c r="H257" s="3055">
        <v>4585.96</v>
      </c>
      <c r="I257" s="3055">
        <v>127398</v>
      </c>
      <c r="J257" s="3055" t="s">
        <v>3407</v>
      </c>
      <c r="K257" s="3055" t="s">
        <v>3408</v>
      </c>
    </row>
    <row r="258" spans="1:11">
      <c r="A258" s="3055" t="s">
        <v>3404</v>
      </c>
      <c r="B258" s="3055" t="s">
        <v>3405</v>
      </c>
      <c r="C258" s="3055">
        <v>253</v>
      </c>
      <c r="D258" s="3055" t="s">
        <v>3406</v>
      </c>
      <c r="E258" s="3055">
        <v>27.78</v>
      </c>
      <c r="F258" s="3055">
        <v>12.72</v>
      </c>
      <c r="G258" s="3055">
        <v>15.06</v>
      </c>
      <c r="H258" s="3055">
        <v>4945.93</v>
      </c>
      <c r="I258" s="3055">
        <v>137398</v>
      </c>
      <c r="J258" s="3055" t="s">
        <v>3407</v>
      </c>
      <c r="K258" s="3055" t="s">
        <v>3408</v>
      </c>
    </row>
    <row r="259" spans="1:11">
      <c r="A259" s="3055" t="s">
        <v>3404</v>
      </c>
      <c r="B259" s="3055" t="s">
        <v>3405</v>
      </c>
      <c r="C259" s="3055">
        <v>254</v>
      </c>
      <c r="D259" s="3055" t="s">
        <v>3406</v>
      </c>
      <c r="E259" s="3055">
        <v>27.78</v>
      </c>
      <c r="F259" s="3055">
        <v>12.72</v>
      </c>
      <c r="G259" s="3055">
        <v>15.06</v>
      </c>
      <c r="H259" s="3055">
        <v>4585.96</v>
      </c>
      <c r="I259" s="3055">
        <v>127398</v>
      </c>
      <c r="J259" s="3055" t="s">
        <v>3407</v>
      </c>
      <c r="K259" s="3055" t="s">
        <v>3408</v>
      </c>
    </row>
    <row r="260" spans="1:11">
      <c r="A260" s="3055" t="s">
        <v>3404</v>
      </c>
      <c r="B260" s="3055" t="s">
        <v>3405</v>
      </c>
      <c r="C260" s="3055">
        <v>255</v>
      </c>
      <c r="D260" s="3055" t="s">
        <v>3406</v>
      </c>
      <c r="E260" s="3055">
        <v>27.78</v>
      </c>
      <c r="F260" s="3055">
        <v>12.72</v>
      </c>
      <c r="G260" s="3055">
        <v>15.06</v>
      </c>
      <c r="H260" s="3055">
        <v>4945.93</v>
      </c>
      <c r="I260" s="3055">
        <v>137398</v>
      </c>
      <c r="J260" s="3055" t="s">
        <v>3407</v>
      </c>
      <c r="K260" s="3055" t="s">
        <v>3408</v>
      </c>
    </row>
    <row r="261" spans="1:11">
      <c r="A261" s="3055" t="s">
        <v>3404</v>
      </c>
      <c r="B261" s="3055" t="s">
        <v>3405</v>
      </c>
      <c r="C261" s="3055">
        <v>256</v>
      </c>
      <c r="D261" s="3055" t="s">
        <v>3406</v>
      </c>
      <c r="E261" s="3055">
        <v>27.78</v>
      </c>
      <c r="F261" s="3055">
        <v>12.72</v>
      </c>
      <c r="G261" s="3055">
        <v>15.06</v>
      </c>
      <c r="H261" s="3055">
        <v>4945.93</v>
      </c>
      <c r="I261" s="3055">
        <v>137398</v>
      </c>
      <c r="J261" s="3055" t="s">
        <v>3407</v>
      </c>
      <c r="K261" s="3055" t="s">
        <v>3408</v>
      </c>
    </row>
    <row r="262" spans="1:11">
      <c r="A262" s="3055" t="s">
        <v>3404</v>
      </c>
      <c r="B262" s="3055" t="s">
        <v>3405</v>
      </c>
      <c r="C262" s="3055">
        <v>257</v>
      </c>
      <c r="D262" s="3055" t="s">
        <v>3406</v>
      </c>
      <c r="E262" s="3055">
        <v>27.78</v>
      </c>
      <c r="F262" s="3055">
        <v>12.72</v>
      </c>
      <c r="G262" s="3055">
        <v>15.06</v>
      </c>
      <c r="H262" s="3055">
        <v>4945.93</v>
      </c>
      <c r="I262" s="3055">
        <v>137398</v>
      </c>
      <c r="J262" s="3055" t="s">
        <v>3407</v>
      </c>
      <c r="K262" s="3055" t="s">
        <v>3408</v>
      </c>
    </row>
    <row r="263" spans="1:11">
      <c r="A263" s="3055" t="s">
        <v>3404</v>
      </c>
      <c r="B263" s="3055" t="s">
        <v>3405</v>
      </c>
      <c r="C263" s="3055">
        <v>258</v>
      </c>
      <c r="D263" s="3055" t="s">
        <v>3406</v>
      </c>
      <c r="E263" s="3055">
        <v>27.78</v>
      </c>
      <c r="F263" s="3055">
        <v>12.72</v>
      </c>
      <c r="G263" s="3055">
        <v>15.06</v>
      </c>
      <c r="H263" s="3055">
        <v>4945.93</v>
      </c>
      <c r="I263" s="3055">
        <v>137398</v>
      </c>
      <c r="J263" s="3055" t="s">
        <v>3407</v>
      </c>
      <c r="K263" s="3055" t="s">
        <v>3408</v>
      </c>
    </row>
    <row r="264" spans="1:11">
      <c r="A264" s="3055" t="s">
        <v>3404</v>
      </c>
      <c r="B264" s="3055" t="s">
        <v>3405</v>
      </c>
      <c r="C264" s="3055">
        <v>259</v>
      </c>
      <c r="D264" s="3055" t="s">
        <v>3406</v>
      </c>
      <c r="E264" s="3055">
        <v>27.78</v>
      </c>
      <c r="F264" s="3055">
        <v>12.72</v>
      </c>
      <c r="G264" s="3055">
        <v>15.06</v>
      </c>
      <c r="H264" s="3055">
        <v>4945.93</v>
      </c>
      <c r="I264" s="3055">
        <v>137398</v>
      </c>
      <c r="J264" s="3055" t="s">
        <v>3407</v>
      </c>
      <c r="K264" s="3055" t="s">
        <v>3408</v>
      </c>
    </row>
    <row r="265" spans="1:11">
      <c r="A265" s="3055" t="s">
        <v>3404</v>
      </c>
      <c r="B265" s="3055" t="s">
        <v>3405</v>
      </c>
      <c r="C265" s="3055">
        <v>260</v>
      </c>
      <c r="D265" s="3055" t="s">
        <v>3406</v>
      </c>
      <c r="E265" s="3055">
        <v>27.78</v>
      </c>
      <c r="F265" s="3055">
        <v>12.72</v>
      </c>
      <c r="G265" s="3055">
        <v>15.06</v>
      </c>
      <c r="H265" s="3055">
        <v>4225.99</v>
      </c>
      <c r="I265" s="3055">
        <v>117398</v>
      </c>
      <c r="J265" s="3055" t="s">
        <v>3407</v>
      </c>
      <c r="K265" s="3055" t="s">
        <v>3408</v>
      </c>
    </row>
    <row r="266" spans="1:11">
      <c r="A266" s="3055" t="s">
        <v>3404</v>
      </c>
      <c r="B266" s="3055" t="s">
        <v>3405</v>
      </c>
      <c r="C266" s="3055">
        <v>261</v>
      </c>
      <c r="D266" s="3055" t="s">
        <v>3406</v>
      </c>
      <c r="E266" s="3055">
        <v>27.78</v>
      </c>
      <c r="F266" s="3055">
        <v>12.72</v>
      </c>
      <c r="G266" s="3055">
        <v>15.06</v>
      </c>
      <c r="H266" s="3055">
        <v>4945.93</v>
      </c>
      <c r="I266" s="3055">
        <v>137398</v>
      </c>
      <c r="J266" s="3055" t="s">
        <v>3407</v>
      </c>
      <c r="K266" s="3055" t="s">
        <v>3408</v>
      </c>
    </row>
    <row r="267" spans="1:11">
      <c r="A267" s="3055" t="s">
        <v>3404</v>
      </c>
      <c r="B267" s="3055" t="s">
        <v>3405</v>
      </c>
      <c r="C267" s="3055">
        <v>262</v>
      </c>
      <c r="D267" s="3055" t="s">
        <v>3406</v>
      </c>
      <c r="E267" s="3055">
        <v>27.78</v>
      </c>
      <c r="F267" s="3055">
        <v>12.72</v>
      </c>
      <c r="G267" s="3055">
        <v>15.06</v>
      </c>
      <c r="H267" s="3055">
        <v>4945.93</v>
      </c>
      <c r="I267" s="3055">
        <v>137398</v>
      </c>
      <c r="J267" s="3055" t="s">
        <v>3407</v>
      </c>
      <c r="K267" s="3055" t="s">
        <v>3408</v>
      </c>
    </row>
    <row r="268" spans="1:11">
      <c r="A268" s="3055" t="s">
        <v>3404</v>
      </c>
      <c r="B268" s="3055" t="s">
        <v>3405</v>
      </c>
      <c r="C268" s="3055">
        <v>263</v>
      </c>
      <c r="D268" s="3055" t="s">
        <v>3406</v>
      </c>
      <c r="E268" s="3055">
        <v>27.78</v>
      </c>
      <c r="F268" s="3055">
        <v>12.72</v>
      </c>
      <c r="G268" s="3055">
        <v>15.06</v>
      </c>
      <c r="H268" s="3055">
        <v>4585.96</v>
      </c>
      <c r="I268" s="3055">
        <v>127398</v>
      </c>
      <c r="J268" s="3055" t="s">
        <v>3407</v>
      </c>
      <c r="K268" s="3055" t="s">
        <v>3408</v>
      </c>
    </row>
    <row r="269" spans="1:11">
      <c r="A269" s="3055" t="s">
        <v>3404</v>
      </c>
      <c r="B269" s="3055" t="s">
        <v>3405</v>
      </c>
      <c r="C269" s="3055">
        <v>264</v>
      </c>
      <c r="D269" s="3055" t="s">
        <v>3406</v>
      </c>
      <c r="E269" s="3055">
        <v>27.78</v>
      </c>
      <c r="F269" s="3055">
        <v>12.72</v>
      </c>
      <c r="G269" s="3055">
        <v>15.06</v>
      </c>
      <c r="H269" s="3055">
        <v>4945.93</v>
      </c>
      <c r="I269" s="3055">
        <v>137398</v>
      </c>
      <c r="J269" s="3055" t="s">
        <v>3407</v>
      </c>
      <c r="K269" s="3055" t="s">
        <v>3408</v>
      </c>
    </row>
    <row r="270" spans="1:11">
      <c r="A270" s="3055" t="s">
        <v>3404</v>
      </c>
      <c r="B270" s="3055" t="s">
        <v>3405</v>
      </c>
      <c r="C270" s="3055">
        <v>265</v>
      </c>
      <c r="D270" s="3055" t="s">
        <v>3406</v>
      </c>
      <c r="E270" s="3055">
        <v>27.78</v>
      </c>
      <c r="F270" s="3055">
        <v>12.72</v>
      </c>
      <c r="G270" s="3055">
        <v>15.06</v>
      </c>
      <c r="H270" s="3055">
        <v>4945.93</v>
      </c>
      <c r="I270" s="3055">
        <v>137398</v>
      </c>
      <c r="J270" s="3055" t="s">
        <v>3407</v>
      </c>
      <c r="K270" s="3055" t="s">
        <v>3408</v>
      </c>
    </row>
    <row r="271" spans="1:11">
      <c r="A271" s="3055" t="s">
        <v>3404</v>
      </c>
      <c r="B271" s="3055" t="s">
        <v>3405</v>
      </c>
      <c r="C271" s="3055">
        <v>266</v>
      </c>
      <c r="D271" s="3055" t="s">
        <v>3406</v>
      </c>
      <c r="E271" s="3055">
        <v>27.78</v>
      </c>
      <c r="F271" s="3055">
        <v>12.72</v>
      </c>
      <c r="G271" s="3055">
        <v>15.06</v>
      </c>
      <c r="H271" s="3055">
        <v>4945.93</v>
      </c>
      <c r="I271" s="3055">
        <v>137398</v>
      </c>
      <c r="J271" s="3055" t="s">
        <v>3407</v>
      </c>
      <c r="K271" s="3055" t="s">
        <v>3408</v>
      </c>
    </row>
    <row r="272" spans="1:11">
      <c r="A272" s="3055" t="s">
        <v>3404</v>
      </c>
      <c r="B272" s="3055" t="s">
        <v>3405</v>
      </c>
      <c r="C272" s="3055">
        <v>267</v>
      </c>
      <c r="D272" s="3055" t="s">
        <v>3406</v>
      </c>
      <c r="E272" s="3055">
        <v>27.78</v>
      </c>
      <c r="F272" s="3055">
        <v>12.72</v>
      </c>
      <c r="G272" s="3055">
        <v>15.06</v>
      </c>
      <c r="H272" s="3055">
        <v>4945.93</v>
      </c>
      <c r="I272" s="3055">
        <v>137398</v>
      </c>
      <c r="J272" s="3055" t="s">
        <v>3407</v>
      </c>
      <c r="K272" s="3055" t="s">
        <v>3408</v>
      </c>
    </row>
    <row r="273" spans="1:11">
      <c r="A273" s="3055" t="s">
        <v>3404</v>
      </c>
      <c r="B273" s="3055" t="s">
        <v>3405</v>
      </c>
      <c r="C273" s="3055">
        <v>268</v>
      </c>
      <c r="D273" s="3055" t="s">
        <v>3406</v>
      </c>
      <c r="E273" s="3055">
        <v>27.78</v>
      </c>
      <c r="F273" s="3055">
        <v>12.72</v>
      </c>
      <c r="G273" s="3055">
        <v>15.06</v>
      </c>
      <c r="H273" s="3055">
        <v>4945.93</v>
      </c>
      <c r="I273" s="3055">
        <v>137398</v>
      </c>
      <c r="J273" s="3055" t="s">
        <v>3407</v>
      </c>
      <c r="K273" s="3055" t="s">
        <v>3408</v>
      </c>
    </row>
    <row r="274" spans="1:11">
      <c r="A274" s="3055" t="s">
        <v>3404</v>
      </c>
      <c r="B274" s="3055" t="s">
        <v>3405</v>
      </c>
      <c r="C274" s="3055">
        <v>269</v>
      </c>
      <c r="D274" s="3055" t="s">
        <v>3406</v>
      </c>
      <c r="E274" s="3055">
        <v>27.78</v>
      </c>
      <c r="F274" s="3055">
        <v>12.72</v>
      </c>
      <c r="G274" s="3055">
        <v>15.06</v>
      </c>
      <c r="H274" s="3055">
        <v>4945.93</v>
      </c>
      <c r="I274" s="3055">
        <v>137398</v>
      </c>
      <c r="J274" s="3055" t="s">
        <v>3407</v>
      </c>
      <c r="K274" s="3055" t="s">
        <v>3408</v>
      </c>
    </row>
    <row r="275" spans="1:11">
      <c r="A275" s="3055" t="s">
        <v>3404</v>
      </c>
      <c r="B275" s="3055" t="s">
        <v>3405</v>
      </c>
      <c r="C275" s="3055">
        <v>270</v>
      </c>
      <c r="D275" s="3055" t="s">
        <v>3406</v>
      </c>
      <c r="E275" s="3055">
        <v>27.78</v>
      </c>
      <c r="F275" s="3055">
        <v>12.72</v>
      </c>
      <c r="G275" s="3055">
        <v>15.06</v>
      </c>
      <c r="H275" s="3055">
        <v>4945.93</v>
      </c>
      <c r="I275" s="3055">
        <v>137398</v>
      </c>
      <c r="J275" s="3055" t="s">
        <v>3407</v>
      </c>
      <c r="K275" s="3055" t="s">
        <v>3408</v>
      </c>
    </row>
    <row r="276" spans="1:11">
      <c r="A276" s="3055" t="s">
        <v>3404</v>
      </c>
      <c r="B276" s="3055" t="s">
        <v>3405</v>
      </c>
      <c r="C276" s="3055">
        <v>271</v>
      </c>
      <c r="D276" s="3055" t="s">
        <v>3406</v>
      </c>
      <c r="E276" s="3055">
        <v>27.78</v>
      </c>
      <c r="F276" s="3055">
        <v>12.72</v>
      </c>
      <c r="G276" s="3055">
        <v>15.06</v>
      </c>
      <c r="H276" s="3055">
        <v>4945.93</v>
      </c>
      <c r="I276" s="3055">
        <v>137398</v>
      </c>
      <c r="J276" s="3055" t="s">
        <v>3407</v>
      </c>
      <c r="K276" s="3055" t="s">
        <v>3408</v>
      </c>
    </row>
    <row r="277" spans="1:11">
      <c r="A277" s="3055" t="s">
        <v>3404</v>
      </c>
      <c r="B277" s="3055" t="s">
        <v>3405</v>
      </c>
      <c r="C277" s="3055">
        <v>272</v>
      </c>
      <c r="D277" s="3055" t="s">
        <v>3406</v>
      </c>
      <c r="E277" s="3055">
        <v>27.78</v>
      </c>
      <c r="F277" s="3055">
        <v>12.72</v>
      </c>
      <c r="G277" s="3055">
        <v>15.06</v>
      </c>
      <c r="H277" s="3055">
        <v>4945.93</v>
      </c>
      <c r="I277" s="3055">
        <v>137398</v>
      </c>
      <c r="J277" s="3055" t="s">
        <v>3407</v>
      </c>
      <c r="K277" s="3055" t="s">
        <v>3408</v>
      </c>
    </row>
    <row r="278" spans="1:11">
      <c r="A278" s="3055" t="s">
        <v>3404</v>
      </c>
      <c r="B278" s="3055" t="s">
        <v>3405</v>
      </c>
      <c r="C278" s="3055">
        <v>273</v>
      </c>
      <c r="D278" s="3055" t="s">
        <v>3406</v>
      </c>
      <c r="E278" s="3055">
        <v>27.78</v>
      </c>
      <c r="F278" s="3055">
        <v>12.72</v>
      </c>
      <c r="G278" s="3055">
        <v>15.06</v>
      </c>
      <c r="H278" s="3055">
        <v>4585.96</v>
      </c>
      <c r="I278" s="3055">
        <v>127398</v>
      </c>
      <c r="J278" s="3055" t="s">
        <v>3407</v>
      </c>
      <c r="K278" s="3055" t="s">
        <v>3408</v>
      </c>
    </row>
    <row r="279" spans="1:11">
      <c r="A279" s="3055" t="s">
        <v>3404</v>
      </c>
      <c r="B279" s="3055" t="s">
        <v>3405</v>
      </c>
      <c r="C279" s="3055">
        <v>274</v>
      </c>
      <c r="D279" s="3055" t="s">
        <v>3406</v>
      </c>
      <c r="E279" s="3055">
        <v>27.78</v>
      </c>
      <c r="F279" s="3055">
        <v>12.72</v>
      </c>
      <c r="G279" s="3055">
        <v>15.06</v>
      </c>
      <c r="H279" s="3055">
        <v>4945.93</v>
      </c>
      <c r="I279" s="3055">
        <v>137398</v>
      </c>
      <c r="J279" s="3055" t="s">
        <v>3407</v>
      </c>
      <c r="K279" s="3055" t="s">
        <v>3408</v>
      </c>
    </row>
    <row r="280" spans="1:11">
      <c r="A280" s="3055" t="s">
        <v>3404</v>
      </c>
      <c r="B280" s="3055" t="s">
        <v>3405</v>
      </c>
      <c r="C280" s="3055">
        <v>275</v>
      </c>
      <c r="D280" s="3055" t="s">
        <v>3406</v>
      </c>
      <c r="E280" s="3055">
        <v>27.78</v>
      </c>
      <c r="F280" s="3055">
        <v>12.72</v>
      </c>
      <c r="G280" s="3055">
        <v>15.06</v>
      </c>
      <c r="H280" s="3055">
        <v>4945.93</v>
      </c>
      <c r="I280" s="3055">
        <v>137398</v>
      </c>
      <c r="J280" s="3055" t="s">
        <v>3407</v>
      </c>
      <c r="K280" s="3055" t="s">
        <v>3408</v>
      </c>
    </row>
    <row r="281" spans="1:11">
      <c r="A281" s="3055" t="s">
        <v>3404</v>
      </c>
      <c r="B281" s="3055" t="s">
        <v>3405</v>
      </c>
      <c r="C281" s="3055">
        <v>276</v>
      </c>
      <c r="D281" s="3055" t="s">
        <v>3406</v>
      </c>
      <c r="E281" s="3055">
        <v>27.78</v>
      </c>
      <c r="F281" s="3055">
        <v>12.72</v>
      </c>
      <c r="G281" s="3055">
        <v>15.06</v>
      </c>
      <c r="H281" s="3055">
        <v>4945.93</v>
      </c>
      <c r="I281" s="3055">
        <v>137398</v>
      </c>
      <c r="J281" s="3055" t="s">
        <v>3407</v>
      </c>
      <c r="K281" s="3055" t="s">
        <v>3408</v>
      </c>
    </row>
    <row r="282" spans="1:11">
      <c r="A282" s="3055" t="s">
        <v>3404</v>
      </c>
      <c r="B282" s="3055" t="s">
        <v>3405</v>
      </c>
      <c r="C282" s="3055">
        <v>277</v>
      </c>
      <c r="D282" s="3055" t="s">
        <v>3406</v>
      </c>
      <c r="E282" s="3055">
        <v>27.78</v>
      </c>
      <c r="F282" s="3055">
        <v>12.72</v>
      </c>
      <c r="G282" s="3055">
        <v>15.06</v>
      </c>
      <c r="H282" s="3055">
        <v>4945.93</v>
      </c>
      <c r="I282" s="3055">
        <v>137398</v>
      </c>
      <c r="J282" s="3055" t="s">
        <v>3407</v>
      </c>
      <c r="K282" s="3055" t="s">
        <v>3408</v>
      </c>
    </row>
    <row r="283" spans="1:11">
      <c r="A283" s="3055" t="s">
        <v>3404</v>
      </c>
      <c r="B283" s="3055" t="s">
        <v>3405</v>
      </c>
      <c r="C283" s="3055">
        <v>278</v>
      </c>
      <c r="D283" s="3055" t="s">
        <v>3406</v>
      </c>
      <c r="E283" s="3055">
        <v>27.78</v>
      </c>
      <c r="F283" s="3055">
        <v>12.72</v>
      </c>
      <c r="G283" s="3055">
        <v>15.06</v>
      </c>
      <c r="H283" s="3055">
        <v>4945.93</v>
      </c>
      <c r="I283" s="3055">
        <v>137398</v>
      </c>
      <c r="J283" s="3055" t="s">
        <v>3407</v>
      </c>
      <c r="K283" s="3055" t="s">
        <v>3408</v>
      </c>
    </row>
    <row r="284" spans="1:11">
      <c r="A284" s="3055" t="s">
        <v>3404</v>
      </c>
      <c r="B284" s="3055" t="s">
        <v>3405</v>
      </c>
      <c r="C284" s="3055">
        <v>279</v>
      </c>
      <c r="D284" s="3055" t="s">
        <v>3406</v>
      </c>
      <c r="E284" s="3055">
        <v>27.78</v>
      </c>
      <c r="F284" s="3055">
        <v>12.72</v>
      </c>
      <c r="G284" s="3055">
        <v>15.06</v>
      </c>
      <c r="H284" s="3055">
        <v>4945.93</v>
      </c>
      <c r="I284" s="3055">
        <v>137398</v>
      </c>
      <c r="J284" s="3055" t="s">
        <v>3407</v>
      </c>
      <c r="K284" s="3055" t="s">
        <v>3408</v>
      </c>
    </row>
    <row r="285" spans="1:11">
      <c r="A285" s="3055" t="s">
        <v>3404</v>
      </c>
      <c r="B285" s="3055" t="s">
        <v>3405</v>
      </c>
      <c r="C285" s="3055">
        <v>280</v>
      </c>
      <c r="D285" s="3055" t="s">
        <v>3406</v>
      </c>
      <c r="E285" s="3055">
        <v>27.78</v>
      </c>
      <c r="F285" s="3055">
        <v>12.72</v>
      </c>
      <c r="G285" s="3055">
        <v>15.06</v>
      </c>
      <c r="H285" s="3055">
        <v>4945.93</v>
      </c>
      <c r="I285" s="3055">
        <v>137398</v>
      </c>
      <c r="J285" s="3055" t="s">
        <v>3407</v>
      </c>
      <c r="K285" s="3055" t="s">
        <v>3408</v>
      </c>
    </row>
    <row r="286" spans="1:11">
      <c r="A286" s="3055" t="s">
        <v>3404</v>
      </c>
      <c r="B286" s="3055" t="s">
        <v>3405</v>
      </c>
      <c r="C286" s="3055">
        <v>281</v>
      </c>
      <c r="D286" s="3055" t="s">
        <v>3406</v>
      </c>
      <c r="E286" s="3055">
        <v>27.78</v>
      </c>
      <c r="F286" s="3055">
        <v>12.72</v>
      </c>
      <c r="G286" s="3055">
        <v>15.06</v>
      </c>
      <c r="H286" s="3055">
        <v>4945.93</v>
      </c>
      <c r="I286" s="3055">
        <v>137398</v>
      </c>
      <c r="J286" s="3055" t="s">
        <v>3407</v>
      </c>
      <c r="K286" s="3055" t="s">
        <v>3408</v>
      </c>
    </row>
    <row r="287" spans="1:11">
      <c r="A287" s="3055" t="s">
        <v>3404</v>
      </c>
      <c r="B287" s="3055" t="s">
        <v>3405</v>
      </c>
      <c r="C287" s="3055">
        <v>282</v>
      </c>
      <c r="D287" s="3055" t="s">
        <v>3406</v>
      </c>
      <c r="E287" s="3055">
        <v>27.78</v>
      </c>
      <c r="F287" s="3055">
        <v>12.72</v>
      </c>
      <c r="G287" s="3055">
        <v>15.06</v>
      </c>
      <c r="H287" s="3055">
        <v>4945.93</v>
      </c>
      <c r="I287" s="3055">
        <v>137398</v>
      </c>
      <c r="J287" s="3055" t="s">
        <v>3407</v>
      </c>
      <c r="K287" s="3055" t="s">
        <v>3408</v>
      </c>
    </row>
    <row r="288" spans="1:11">
      <c r="A288" s="3055" t="s">
        <v>3404</v>
      </c>
      <c r="B288" s="3055" t="s">
        <v>3405</v>
      </c>
      <c r="C288" s="3055">
        <v>283</v>
      </c>
      <c r="D288" s="3055" t="s">
        <v>3406</v>
      </c>
      <c r="E288" s="3055">
        <v>27.78</v>
      </c>
      <c r="F288" s="3055">
        <v>12.72</v>
      </c>
      <c r="G288" s="3055">
        <v>15.06</v>
      </c>
      <c r="H288" s="3055">
        <v>4945.93</v>
      </c>
      <c r="I288" s="3055">
        <v>137398</v>
      </c>
      <c r="J288" s="3055" t="s">
        <v>3407</v>
      </c>
      <c r="K288" s="3055" t="s">
        <v>3408</v>
      </c>
    </row>
    <row r="289" spans="1:11">
      <c r="A289" s="3055" t="s">
        <v>3404</v>
      </c>
      <c r="B289" s="3055" t="s">
        <v>3405</v>
      </c>
      <c r="C289" s="3055">
        <v>284</v>
      </c>
      <c r="D289" s="3055" t="s">
        <v>3406</v>
      </c>
      <c r="E289" s="3055">
        <v>27.78</v>
      </c>
      <c r="F289" s="3055">
        <v>12.72</v>
      </c>
      <c r="G289" s="3055">
        <v>15.06</v>
      </c>
      <c r="H289" s="3055">
        <v>4945.93</v>
      </c>
      <c r="I289" s="3055">
        <v>137398</v>
      </c>
      <c r="J289" s="3055" t="s">
        <v>3407</v>
      </c>
      <c r="K289" s="3055" t="s">
        <v>3408</v>
      </c>
    </row>
    <row r="290" spans="1:11">
      <c r="A290" s="3055" t="s">
        <v>3404</v>
      </c>
      <c r="B290" s="3055" t="s">
        <v>3405</v>
      </c>
      <c r="C290" s="3055">
        <v>285</v>
      </c>
      <c r="D290" s="3055" t="s">
        <v>3406</v>
      </c>
      <c r="E290" s="3055">
        <v>55.55</v>
      </c>
      <c r="F290" s="3055">
        <v>25.44</v>
      </c>
      <c r="G290" s="3055">
        <v>30.11</v>
      </c>
      <c r="H290" s="3055">
        <v>3913.56</v>
      </c>
      <c r="I290" s="3055">
        <v>217398</v>
      </c>
      <c r="J290" s="3055" t="s">
        <v>3407</v>
      </c>
      <c r="K290" s="3055" t="s">
        <v>3408</v>
      </c>
    </row>
    <row r="291" spans="1:11">
      <c r="A291" s="3055" t="s">
        <v>3404</v>
      </c>
      <c r="B291" s="3055" t="s">
        <v>3405</v>
      </c>
      <c r="C291" s="3055">
        <v>286</v>
      </c>
      <c r="D291" s="3055" t="s">
        <v>3406</v>
      </c>
      <c r="E291" s="3055">
        <v>27.78</v>
      </c>
      <c r="F291" s="3055">
        <v>12.72</v>
      </c>
      <c r="G291" s="3055">
        <v>15.06</v>
      </c>
      <c r="H291" s="3055">
        <v>4585.96</v>
      </c>
      <c r="I291" s="3055">
        <v>127398</v>
      </c>
      <c r="J291" s="3055" t="s">
        <v>3407</v>
      </c>
      <c r="K291" s="3055" t="s">
        <v>3408</v>
      </c>
    </row>
    <row r="292" spans="1:11">
      <c r="A292" s="3055" t="s">
        <v>3404</v>
      </c>
      <c r="B292" s="3055" t="s">
        <v>3405</v>
      </c>
      <c r="C292" s="3055">
        <v>287</v>
      </c>
      <c r="D292" s="3055" t="s">
        <v>3406</v>
      </c>
      <c r="E292" s="3055">
        <v>27.78</v>
      </c>
      <c r="F292" s="3055">
        <v>12.72</v>
      </c>
      <c r="G292" s="3055">
        <v>15.06</v>
      </c>
      <c r="H292" s="3055">
        <v>4585.96</v>
      </c>
      <c r="I292" s="3055">
        <v>127398</v>
      </c>
      <c r="J292" s="3055" t="s">
        <v>3407</v>
      </c>
      <c r="K292" s="3055" t="s">
        <v>3408</v>
      </c>
    </row>
    <row r="293" spans="1:11">
      <c r="A293" s="3055" t="s">
        <v>3404</v>
      </c>
      <c r="B293" s="3055" t="s">
        <v>3405</v>
      </c>
      <c r="C293" s="3055">
        <v>288</v>
      </c>
      <c r="D293" s="3055" t="s">
        <v>3406</v>
      </c>
      <c r="E293" s="3055">
        <v>27.78</v>
      </c>
      <c r="F293" s="3055">
        <v>12.72</v>
      </c>
      <c r="G293" s="3055">
        <v>15.06</v>
      </c>
      <c r="H293" s="3055">
        <v>4585.96</v>
      </c>
      <c r="I293" s="3055">
        <v>127398</v>
      </c>
      <c r="J293" s="3055" t="s">
        <v>3407</v>
      </c>
      <c r="K293" s="3055" t="s">
        <v>3408</v>
      </c>
    </row>
    <row r="294" spans="1:11">
      <c r="A294" s="3055" t="s">
        <v>3404</v>
      </c>
      <c r="B294" s="3055" t="s">
        <v>3405</v>
      </c>
      <c r="C294" s="3055">
        <v>289</v>
      </c>
      <c r="D294" s="3055" t="s">
        <v>3406</v>
      </c>
      <c r="E294" s="3055">
        <v>27.78</v>
      </c>
      <c r="F294" s="3055">
        <v>12.72</v>
      </c>
      <c r="G294" s="3055">
        <v>15.06</v>
      </c>
      <c r="H294" s="3055">
        <v>4945.93</v>
      </c>
      <c r="I294" s="3055">
        <v>137398</v>
      </c>
      <c r="J294" s="3055" t="s">
        <v>3407</v>
      </c>
      <c r="K294" s="3055" t="s">
        <v>3408</v>
      </c>
    </row>
    <row r="295" spans="1:11">
      <c r="A295" s="3055" t="s">
        <v>3404</v>
      </c>
      <c r="B295" s="3055" t="s">
        <v>3405</v>
      </c>
      <c r="C295" s="3055">
        <v>290</v>
      </c>
      <c r="D295" s="3055" t="s">
        <v>3406</v>
      </c>
      <c r="E295" s="3055">
        <v>27.78</v>
      </c>
      <c r="F295" s="3055">
        <v>12.72</v>
      </c>
      <c r="G295" s="3055">
        <v>15.06</v>
      </c>
      <c r="H295" s="3055">
        <v>4945.93</v>
      </c>
      <c r="I295" s="3055">
        <v>137398</v>
      </c>
      <c r="J295" s="3055" t="s">
        <v>3407</v>
      </c>
      <c r="K295" s="3055" t="s">
        <v>3408</v>
      </c>
    </row>
    <row r="296" spans="1:11">
      <c r="A296" s="3055" t="s">
        <v>3404</v>
      </c>
      <c r="B296" s="3055" t="s">
        <v>3405</v>
      </c>
      <c r="C296" s="3055">
        <v>291</v>
      </c>
      <c r="D296" s="3055" t="s">
        <v>3409</v>
      </c>
      <c r="E296" s="3055">
        <v>19.22</v>
      </c>
      <c r="F296" s="3055">
        <v>8.8000000000000007</v>
      </c>
      <c r="G296" s="3055">
        <v>10.42</v>
      </c>
      <c r="H296" s="3055">
        <v>4547.24</v>
      </c>
      <c r="I296" s="3055">
        <v>87398</v>
      </c>
      <c r="J296" s="3055" t="s">
        <v>3407</v>
      </c>
      <c r="K296" s="3055" t="s">
        <v>3408</v>
      </c>
    </row>
    <row r="297" spans="1:11">
      <c r="A297" s="3055" t="s">
        <v>3404</v>
      </c>
      <c r="B297" s="3055" t="s">
        <v>3405</v>
      </c>
      <c r="C297" s="3055">
        <v>292</v>
      </c>
      <c r="D297" s="3055" t="s">
        <v>3406</v>
      </c>
      <c r="E297" s="3055">
        <v>27.78</v>
      </c>
      <c r="F297" s="3055">
        <v>12.72</v>
      </c>
      <c r="G297" s="3055">
        <v>15.06</v>
      </c>
      <c r="H297" s="3055">
        <v>4945.93</v>
      </c>
      <c r="I297" s="3055">
        <v>137398</v>
      </c>
      <c r="J297" s="3055" t="s">
        <v>3407</v>
      </c>
      <c r="K297" s="3055" t="s">
        <v>3408</v>
      </c>
    </row>
    <row r="298" spans="1:11">
      <c r="A298" s="3055" t="s">
        <v>3404</v>
      </c>
      <c r="B298" s="3055" t="s">
        <v>3405</v>
      </c>
      <c r="C298" s="3055">
        <v>293</v>
      </c>
      <c r="D298" s="3055" t="s">
        <v>3406</v>
      </c>
      <c r="E298" s="3055">
        <v>27.78</v>
      </c>
      <c r="F298" s="3055">
        <v>12.72</v>
      </c>
      <c r="G298" s="3055">
        <v>15.06</v>
      </c>
      <c r="H298" s="3055">
        <v>4585.96</v>
      </c>
      <c r="I298" s="3055">
        <v>127398</v>
      </c>
      <c r="J298" s="3055" t="s">
        <v>3407</v>
      </c>
      <c r="K298" s="3055" t="s">
        <v>3408</v>
      </c>
    </row>
    <row r="299" spans="1:11">
      <c r="A299" s="3055" t="s">
        <v>3404</v>
      </c>
      <c r="B299" s="3055" t="s">
        <v>3405</v>
      </c>
      <c r="C299" s="3055">
        <v>294</v>
      </c>
      <c r="D299" s="3055" t="s">
        <v>3406</v>
      </c>
      <c r="E299" s="3055">
        <v>27.78</v>
      </c>
      <c r="F299" s="3055">
        <v>12.72</v>
      </c>
      <c r="G299" s="3055">
        <v>15.06</v>
      </c>
      <c r="H299" s="3055">
        <v>4945.93</v>
      </c>
      <c r="I299" s="3055">
        <v>137398</v>
      </c>
      <c r="J299" s="3055" t="s">
        <v>3407</v>
      </c>
      <c r="K299" s="3055" t="s">
        <v>3408</v>
      </c>
    </row>
    <row r="300" spans="1:11">
      <c r="A300" s="3055" t="s">
        <v>3404</v>
      </c>
      <c r="B300" s="3055" t="s">
        <v>3405</v>
      </c>
      <c r="C300" s="3055">
        <v>295</v>
      </c>
      <c r="D300" s="3055" t="s">
        <v>3409</v>
      </c>
      <c r="E300" s="3055">
        <v>19.22</v>
      </c>
      <c r="F300" s="3055">
        <v>8.8000000000000007</v>
      </c>
      <c r="G300" s="3055">
        <v>10.42</v>
      </c>
      <c r="H300" s="3055">
        <v>4287.1000000000004</v>
      </c>
      <c r="I300" s="3055">
        <v>82398</v>
      </c>
      <c r="J300" s="3055" t="s">
        <v>3407</v>
      </c>
      <c r="K300" s="3055" t="s">
        <v>3408</v>
      </c>
    </row>
    <row r="301" spans="1:11">
      <c r="A301" s="3055" t="s">
        <v>3404</v>
      </c>
      <c r="B301" s="3055" t="s">
        <v>3405</v>
      </c>
      <c r="C301" s="3055">
        <v>296</v>
      </c>
      <c r="D301" s="3055" t="s">
        <v>3406</v>
      </c>
      <c r="E301" s="3055">
        <v>27.78</v>
      </c>
      <c r="F301" s="3055">
        <v>12.72</v>
      </c>
      <c r="G301" s="3055">
        <v>15.06</v>
      </c>
      <c r="H301" s="3055">
        <v>4945.93</v>
      </c>
      <c r="I301" s="3055">
        <v>137398</v>
      </c>
      <c r="J301" s="3055" t="s">
        <v>3407</v>
      </c>
      <c r="K301" s="3055" t="s">
        <v>3408</v>
      </c>
    </row>
    <row r="302" spans="1:11">
      <c r="A302" s="3055" t="s">
        <v>3404</v>
      </c>
      <c r="B302" s="3055" t="s">
        <v>3405</v>
      </c>
      <c r="C302" s="3055">
        <v>297</v>
      </c>
      <c r="D302" s="3055" t="s">
        <v>3406</v>
      </c>
      <c r="E302" s="3055">
        <v>27.78</v>
      </c>
      <c r="F302" s="3055">
        <v>12.72</v>
      </c>
      <c r="G302" s="3055">
        <v>15.06</v>
      </c>
      <c r="H302" s="3055">
        <v>4945.93</v>
      </c>
      <c r="I302" s="3055">
        <v>137398</v>
      </c>
      <c r="J302" s="3055" t="s">
        <v>3407</v>
      </c>
      <c r="K302" s="3055" t="s">
        <v>3408</v>
      </c>
    </row>
    <row r="303" spans="1:11">
      <c r="A303" s="3055" t="s">
        <v>3404</v>
      </c>
      <c r="B303" s="3055" t="s">
        <v>3405</v>
      </c>
      <c r="C303" s="3055">
        <v>298</v>
      </c>
      <c r="D303" s="3055" t="s">
        <v>3406</v>
      </c>
      <c r="E303" s="3055">
        <v>27.78</v>
      </c>
      <c r="F303" s="3055">
        <v>12.72</v>
      </c>
      <c r="G303" s="3055">
        <v>15.06</v>
      </c>
      <c r="H303" s="3055">
        <v>4945.93</v>
      </c>
      <c r="I303" s="3055">
        <v>137398</v>
      </c>
      <c r="J303" s="3055" t="s">
        <v>3407</v>
      </c>
      <c r="K303" s="3055" t="s">
        <v>3408</v>
      </c>
    </row>
    <row r="304" spans="1:11">
      <c r="A304" s="3055" t="s">
        <v>3404</v>
      </c>
      <c r="B304" s="3055" t="s">
        <v>3405</v>
      </c>
      <c r="C304" s="3055">
        <v>299</v>
      </c>
      <c r="D304" s="3055" t="s">
        <v>3406</v>
      </c>
      <c r="E304" s="3055">
        <v>27.78</v>
      </c>
      <c r="F304" s="3055">
        <v>12.72</v>
      </c>
      <c r="G304" s="3055">
        <v>15.06</v>
      </c>
      <c r="H304" s="3055">
        <v>4585.96</v>
      </c>
      <c r="I304" s="3055">
        <v>127398</v>
      </c>
      <c r="J304" s="3055" t="s">
        <v>3407</v>
      </c>
      <c r="K304" s="3055" t="s">
        <v>3408</v>
      </c>
    </row>
    <row r="305" spans="1:11">
      <c r="A305" s="3055" t="s">
        <v>3404</v>
      </c>
      <c r="B305" s="3055" t="s">
        <v>3405</v>
      </c>
      <c r="C305" s="3055">
        <v>300</v>
      </c>
      <c r="D305" s="3055" t="s">
        <v>3406</v>
      </c>
      <c r="E305" s="3055">
        <v>27.78</v>
      </c>
      <c r="F305" s="3055">
        <v>12.72</v>
      </c>
      <c r="G305" s="3055">
        <v>15.06</v>
      </c>
      <c r="H305" s="3055">
        <v>4945.93</v>
      </c>
      <c r="I305" s="3055">
        <v>137398</v>
      </c>
      <c r="J305" s="3055" t="s">
        <v>3407</v>
      </c>
      <c r="K305" s="3055" t="s">
        <v>3408</v>
      </c>
    </row>
    <row r="306" spans="1:11">
      <c r="A306" s="3055" t="s">
        <v>3404</v>
      </c>
      <c r="B306" s="3055" t="s">
        <v>3405</v>
      </c>
      <c r="C306" s="3055">
        <v>301</v>
      </c>
      <c r="D306" s="3055" t="s">
        <v>3406</v>
      </c>
      <c r="E306" s="3055">
        <v>27.78</v>
      </c>
      <c r="F306" s="3055">
        <v>12.72</v>
      </c>
      <c r="G306" s="3055">
        <v>15.06</v>
      </c>
      <c r="H306" s="3055">
        <v>4945.93</v>
      </c>
      <c r="I306" s="3055">
        <v>137398</v>
      </c>
      <c r="J306" s="3055" t="s">
        <v>3407</v>
      </c>
      <c r="K306" s="3055" t="s">
        <v>3408</v>
      </c>
    </row>
    <row r="307" spans="1:11">
      <c r="A307" s="3055" t="s">
        <v>3404</v>
      </c>
      <c r="B307" s="3055" t="s">
        <v>3405</v>
      </c>
      <c r="C307" s="3055">
        <v>302</v>
      </c>
      <c r="D307" s="3055" t="s">
        <v>3406</v>
      </c>
      <c r="E307" s="3055">
        <v>27.78</v>
      </c>
      <c r="F307" s="3055">
        <v>12.72</v>
      </c>
      <c r="G307" s="3055">
        <v>15.06</v>
      </c>
      <c r="H307" s="3055">
        <v>4945.93</v>
      </c>
      <c r="I307" s="3055">
        <v>137398</v>
      </c>
      <c r="J307" s="3055" t="s">
        <v>3407</v>
      </c>
      <c r="K307" s="3055" t="s">
        <v>3408</v>
      </c>
    </row>
    <row r="308" spans="1:11">
      <c r="A308" s="3055" t="s">
        <v>3404</v>
      </c>
      <c r="B308" s="3055" t="s">
        <v>3405</v>
      </c>
      <c r="C308" s="3055">
        <v>303</v>
      </c>
      <c r="D308" s="3055" t="s">
        <v>3406</v>
      </c>
      <c r="E308" s="3055">
        <v>27.78</v>
      </c>
      <c r="F308" s="3055">
        <v>12.72</v>
      </c>
      <c r="G308" s="3055">
        <v>15.06</v>
      </c>
      <c r="H308" s="3055">
        <v>4945.93</v>
      </c>
      <c r="I308" s="3055">
        <v>137398</v>
      </c>
      <c r="J308" s="3055" t="s">
        <v>3407</v>
      </c>
      <c r="K308" s="3055" t="s">
        <v>3408</v>
      </c>
    </row>
    <row r="309" spans="1:11">
      <c r="A309" s="3055" t="s">
        <v>3404</v>
      </c>
      <c r="B309" s="3055" t="s">
        <v>3405</v>
      </c>
      <c r="C309" s="3055">
        <v>304</v>
      </c>
      <c r="D309" s="3055" t="s">
        <v>3406</v>
      </c>
      <c r="E309" s="3055">
        <v>27.78</v>
      </c>
      <c r="F309" s="3055">
        <v>12.72</v>
      </c>
      <c r="G309" s="3055">
        <v>15.06</v>
      </c>
      <c r="H309" s="3055">
        <v>4945.93</v>
      </c>
      <c r="I309" s="3055">
        <v>137398</v>
      </c>
      <c r="J309" s="3055" t="s">
        <v>3407</v>
      </c>
      <c r="K309" s="3055" t="s">
        <v>3408</v>
      </c>
    </row>
    <row r="310" spans="1:11">
      <c r="A310" s="3055" t="s">
        <v>3404</v>
      </c>
      <c r="B310" s="3055" t="s">
        <v>3405</v>
      </c>
      <c r="C310" s="3055">
        <v>305</v>
      </c>
      <c r="D310" s="3055" t="s">
        <v>3409</v>
      </c>
      <c r="E310" s="3055">
        <v>19.22</v>
      </c>
      <c r="F310" s="3055">
        <v>8.8000000000000007</v>
      </c>
      <c r="G310" s="3055">
        <v>10.42</v>
      </c>
      <c r="H310" s="3055">
        <v>4547.24</v>
      </c>
      <c r="I310" s="3055">
        <v>87398</v>
      </c>
      <c r="J310" s="3055" t="s">
        <v>3407</v>
      </c>
      <c r="K310" s="3055" t="s">
        <v>3408</v>
      </c>
    </row>
    <row r="311" spans="1:11">
      <c r="A311" s="3055" t="s">
        <v>3404</v>
      </c>
      <c r="B311" s="3055" t="s">
        <v>3405</v>
      </c>
      <c r="C311" s="3055">
        <v>306</v>
      </c>
      <c r="D311" s="3055" t="s">
        <v>3406</v>
      </c>
      <c r="E311" s="3055">
        <v>27.78</v>
      </c>
      <c r="F311" s="3055">
        <v>12.72</v>
      </c>
      <c r="G311" s="3055">
        <v>15.06</v>
      </c>
      <c r="H311" s="3055">
        <v>4945.93</v>
      </c>
      <c r="I311" s="3055">
        <v>137398</v>
      </c>
      <c r="J311" s="3055" t="s">
        <v>3407</v>
      </c>
      <c r="K311" s="3055" t="s">
        <v>3408</v>
      </c>
    </row>
    <row r="312" spans="1:11">
      <c r="A312" s="3055" t="s">
        <v>3404</v>
      </c>
      <c r="B312" s="3055" t="s">
        <v>3405</v>
      </c>
      <c r="C312" s="3055">
        <v>307</v>
      </c>
      <c r="D312" s="3055" t="s">
        <v>3406</v>
      </c>
      <c r="E312" s="3055">
        <v>27.78</v>
      </c>
      <c r="F312" s="3055">
        <v>12.72</v>
      </c>
      <c r="G312" s="3055">
        <v>15.06</v>
      </c>
      <c r="H312" s="3055">
        <v>4945.93</v>
      </c>
      <c r="I312" s="3055">
        <v>137398</v>
      </c>
      <c r="J312" s="3055" t="s">
        <v>3407</v>
      </c>
      <c r="K312" s="3055" t="s">
        <v>3408</v>
      </c>
    </row>
    <row r="313" spans="1:11">
      <c r="A313" s="3055" t="s">
        <v>3404</v>
      </c>
      <c r="B313" s="3055" t="s">
        <v>3405</v>
      </c>
      <c r="C313" s="3055">
        <v>308</v>
      </c>
      <c r="D313" s="3055" t="s">
        <v>3406</v>
      </c>
      <c r="E313" s="3055">
        <v>27.78</v>
      </c>
      <c r="F313" s="3055">
        <v>12.72</v>
      </c>
      <c r="G313" s="3055">
        <v>15.06</v>
      </c>
      <c r="H313" s="3055">
        <v>4945.93</v>
      </c>
      <c r="I313" s="3055">
        <v>137398</v>
      </c>
      <c r="J313" s="3055" t="s">
        <v>3407</v>
      </c>
      <c r="K313" s="3055" t="s">
        <v>3408</v>
      </c>
    </row>
    <row r="314" spans="1:11">
      <c r="A314" s="3055" t="s">
        <v>3404</v>
      </c>
      <c r="B314" s="3055" t="s">
        <v>3405</v>
      </c>
      <c r="C314" s="3055">
        <v>309</v>
      </c>
      <c r="D314" s="3055" t="s">
        <v>3406</v>
      </c>
      <c r="E314" s="3055">
        <v>27.78</v>
      </c>
      <c r="F314" s="3055">
        <v>12.72</v>
      </c>
      <c r="G314" s="3055">
        <v>15.06</v>
      </c>
      <c r="H314" s="3055">
        <v>4945.93</v>
      </c>
      <c r="I314" s="3055">
        <v>137398</v>
      </c>
      <c r="J314" s="3055" t="s">
        <v>3407</v>
      </c>
      <c r="K314" s="3055" t="s">
        <v>3408</v>
      </c>
    </row>
    <row r="315" spans="1:11">
      <c r="A315" s="3055" t="s">
        <v>3404</v>
      </c>
      <c r="B315" s="3055" t="s">
        <v>3405</v>
      </c>
      <c r="C315" s="3055">
        <v>310</v>
      </c>
      <c r="D315" s="3055" t="s">
        <v>3406</v>
      </c>
      <c r="E315" s="3055">
        <v>27.78</v>
      </c>
      <c r="F315" s="3055">
        <v>12.72</v>
      </c>
      <c r="G315" s="3055">
        <v>15.06</v>
      </c>
      <c r="H315" s="3055">
        <v>4945.93</v>
      </c>
      <c r="I315" s="3055">
        <v>137398</v>
      </c>
      <c r="J315" s="3055" t="s">
        <v>3407</v>
      </c>
      <c r="K315" s="3055" t="s">
        <v>3408</v>
      </c>
    </row>
    <row r="316" spans="1:11">
      <c r="A316" s="3055" t="s">
        <v>3404</v>
      </c>
      <c r="B316" s="3055" t="s">
        <v>3405</v>
      </c>
      <c r="C316" s="3055">
        <v>311</v>
      </c>
      <c r="D316" s="3055" t="s">
        <v>3406</v>
      </c>
      <c r="E316" s="3055">
        <v>27.78</v>
      </c>
      <c r="F316" s="3055">
        <v>12.72</v>
      </c>
      <c r="G316" s="3055">
        <v>15.06</v>
      </c>
      <c r="H316" s="3055">
        <v>4945.93</v>
      </c>
      <c r="I316" s="3055">
        <v>137398</v>
      </c>
      <c r="J316" s="3055" t="s">
        <v>3407</v>
      </c>
      <c r="K316" s="3055" t="s">
        <v>3408</v>
      </c>
    </row>
    <row r="317" spans="1:11">
      <c r="A317" s="3055" t="s">
        <v>3404</v>
      </c>
      <c r="B317" s="3055" t="s">
        <v>3405</v>
      </c>
      <c r="C317" s="3055">
        <v>312</v>
      </c>
      <c r="D317" s="3055" t="s">
        <v>3406</v>
      </c>
      <c r="E317" s="3055">
        <v>27.78</v>
      </c>
      <c r="F317" s="3055">
        <v>12.72</v>
      </c>
      <c r="G317" s="3055">
        <v>15.06</v>
      </c>
      <c r="H317" s="3055">
        <v>4945.93</v>
      </c>
      <c r="I317" s="3055">
        <v>137398</v>
      </c>
      <c r="J317" s="3055" t="s">
        <v>3407</v>
      </c>
      <c r="K317" s="3055" t="s">
        <v>3408</v>
      </c>
    </row>
    <row r="318" spans="1:11">
      <c r="A318" s="3055" t="s">
        <v>3404</v>
      </c>
      <c r="B318" s="3055" t="s">
        <v>3405</v>
      </c>
      <c r="C318" s="3055">
        <v>313</v>
      </c>
      <c r="D318" s="3055" t="s">
        <v>3406</v>
      </c>
      <c r="E318" s="3055">
        <v>27.78</v>
      </c>
      <c r="F318" s="3055">
        <v>12.72</v>
      </c>
      <c r="G318" s="3055">
        <v>15.06</v>
      </c>
      <c r="H318" s="3055">
        <v>4945.93</v>
      </c>
      <c r="I318" s="3055">
        <v>137398</v>
      </c>
      <c r="J318" s="3055" t="s">
        <v>3407</v>
      </c>
      <c r="K318" s="3055" t="s">
        <v>3408</v>
      </c>
    </row>
    <row r="319" spans="1:11">
      <c r="A319" s="3055" t="s">
        <v>3404</v>
      </c>
      <c r="B319" s="3055" t="s">
        <v>3405</v>
      </c>
      <c r="C319" s="3055">
        <v>314</v>
      </c>
      <c r="D319" s="3055" t="s">
        <v>3406</v>
      </c>
      <c r="E319" s="3055">
        <v>27.78</v>
      </c>
      <c r="F319" s="3055">
        <v>12.72</v>
      </c>
      <c r="G319" s="3055">
        <v>15.06</v>
      </c>
      <c r="H319" s="3055">
        <v>4945.93</v>
      </c>
      <c r="I319" s="3055">
        <v>137398</v>
      </c>
      <c r="J319" s="3055" t="s">
        <v>3407</v>
      </c>
      <c r="K319" s="3055" t="s">
        <v>3408</v>
      </c>
    </row>
    <row r="320" spans="1:11">
      <c r="A320" s="3055" t="s">
        <v>3404</v>
      </c>
      <c r="B320" s="3055" t="s">
        <v>3405</v>
      </c>
      <c r="C320" s="3055">
        <v>315</v>
      </c>
      <c r="D320" s="3055" t="s">
        <v>3406</v>
      </c>
      <c r="E320" s="3055">
        <v>27.78</v>
      </c>
      <c r="F320" s="3055">
        <v>12.72</v>
      </c>
      <c r="G320" s="3055">
        <v>15.06</v>
      </c>
      <c r="H320" s="3055">
        <v>4945.93</v>
      </c>
      <c r="I320" s="3055">
        <v>137398</v>
      </c>
      <c r="J320" s="3055" t="s">
        <v>3407</v>
      </c>
      <c r="K320" s="3055" t="s">
        <v>3408</v>
      </c>
    </row>
    <row r="321" spans="1:11">
      <c r="A321" s="3055" t="s">
        <v>3404</v>
      </c>
      <c r="B321" s="3055" t="s">
        <v>3405</v>
      </c>
      <c r="C321" s="3055">
        <v>316</v>
      </c>
      <c r="D321" s="3055" t="s">
        <v>3406</v>
      </c>
      <c r="E321" s="3055">
        <v>27.78</v>
      </c>
      <c r="F321" s="3055">
        <v>12.72</v>
      </c>
      <c r="G321" s="3055">
        <v>15.06</v>
      </c>
      <c r="H321" s="3055">
        <v>4945.93</v>
      </c>
      <c r="I321" s="3055">
        <v>137398</v>
      </c>
      <c r="J321" s="3055" t="s">
        <v>3407</v>
      </c>
      <c r="K321" s="3055" t="s">
        <v>3408</v>
      </c>
    </row>
    <row r="322" spans="1:11">
      <c r="A322" s="3055" t="s">
        <v>3404</v>
      </c>
      <c r="B322" s="3055" t="s">
        <v>3405</v>
      </c>
      <c r="C322" s="3055">
        <v>317</v>
      </c>
      <c r="D322" s="3055" t="s">
        <v>3406</v>
      </c>
      <c r="E322" s="3055">
        <v>27.78</v>
      </c>
      <c r="F322" s="3055">
        <v>12.72</v>
      </c>
      <c r="G322" s="3055">
        <v>15.06</v>
      </c>
      <c r="H322" s="3055">
        <v>4945.93</v>
      </c>
      <c r="I322" s="3055">
        <v>137398</v>
      </c>
      <c r="J322" s="3055" t="s">
        <v>3407</v>
      </c>
      <c r="K322" s="3055" t="s">
        <v>3408</v>
      </c>
    </row>
    <row r="323" spans="1:11">
      <c r="A323" s="3055" t="s">
        <v>3404</v>
      </c>
      <c r="B323" s="3055" t="s">
        <v>3405</v>
      </c>
      <c r="C323" s="3055">
        <v>318</v>
      </c>
      <c r="D323" s="3055" t="s">
        <v>3409</v>
      </c>
      <c r="E323" s="3055">
        <v>19.22</v>
      </c>
      <c r="F323" s="3055">
        <v>8.8000000000000007</v>
      </c>
      <c r="G323" s="3055">
        <v>10.42</v>
      </c>
      <c r="H323" s="3055">
        <v>4547.24</v>
      </c>
      <c r="I323" s="3055">
        <v>87398</v>
      </c>
      <c r="J323" s="3055" t="s">
        <v>3407</v>
      </c>
      <c r="K323" s="3055" t="s">
        <v>3408</v>
      </c>
    </row>
    <row r="324" spans="1:11">
      <c r="A324" s="3055" t="s">
        <v>3404</v>
      </c>
      <c r="B324" s="3055" t="s">
        <v>3405</v>
      </c>
      <c r="C324" s="3055">
        <v>319</v>
      </c>
      <c r="D324" s="3055" t="s">
        <v>3406</v>
      </c>
      <c r="E324" s="3055">
        <v>27.78</v>
      </c>
      <c r="F324" s="3055">
        <v>12.72</v>
      </c>
      <c r="G324" s="3055">
        <v>15.06</v>
      </c>
      <c r="H324" s="3055">
        <v>4945.93</v>
      </c>
      <c r="I324" s="3055">
        <v>137398</v>
      </c>
      <c r="J324" s="3055" t="s">
        <v>3407</v>
      </c>
      <c r="K324" s="3055" t="s">
        <v>3408</v>
      </c>
    </row>
    <row r="325" spans="1:11">
      <c r="A325" s="3055" t="s">
        <v>3404</v>
      </c>
      <c r="B325" s="3055" t="s">
        <v>3405</v>
      </c>
      <c r="C325" s="3055">
        <v>320</v>
      </c>
      <c r="D325" s="3055" t="s">
        <v>3406</v>
      </c>
      <c r="E325" s="3055">
        <v>27.78</v>
      </c>
      <c r="F325" s="3055">
        <v>12.72</v>
      </c>
      <c r="G325" s="3055">
        <v>15.06</v>
      </c>
      <c r="H325" s="3055">
        <v>4945.93</v>
      </c>
      <c r="I325" s="3055">
        <v>137398</v>
      </c>
      <c r="J325" s="3055" t="s">
        <v>3407</v>
      </c>
      <c r="K325" s="3055" t="s">
        <v>3408</v>
      </c>
    </row>
    <row r="326" spans="1:11">
      <c r="A326" s="3055" t="s">
        <v>3404</v>
      </c>
      <c r="B326" s="3055" t="s">
        <v>3405</v>
      </c>
      <c r="C326" s="3055">
        <v>321</v>
      </c>
      <c r="D326" s="3055" t="s">
        <v>3406</v>
      </c>
      <c r="E326" s="3055">
        <v>52.41</v>
      </c>
      <c r="F326" s="3055">
        <v>24</v>
      </c>
      <c r="G326" s="3055">
        <v>28.41</v>
      </c>
      <c r="H326" s="3055">
        <v>4148.03</v>
      </c>
      <c r="I326" s="3055">
        <v>217398</v>
      </c>
      <c r="J326" s="3055" t="s">
        <v>3407</v>
      </c>
      <c r="K326" s="3055" t="s">
        <v>3408</v>
      </c>
    </row>
    <row r="327" spans="1:11">
      <c r="A327" s="3055" t="s">
        <v>3404</v>
      </c>
      <c r="B327" s="3055" t="s">
        <v>3405</v>
      </c>
      <c r="C327" s="3055">
        <v>322</v>
      </c>
      <c r="D327" s="3055" t="s">
        <v>3406</v>
      </c>
      <c r="E327" s="3055">
        <v>52.41</v>
      </c>
      <c r="F327" s="3055">
        <v>24</v>
      </c>
      <c r="G327" s="3055">
        <v>28.41</v>
      </c>
      <c r="H327" s="3055">
        <v>4148.03</v>
      </c>
      <c r="I327" s="3055">
        <v>217398</v>
      </c>
      <c r="J327" s="3055" t="s">
        <v>3407</v>
      </c>
      <c r="K327" s="3055" t="s">
        <v>3408</v>
      </c>
    </row>
    <row r="328" spans="1:11">
      <c r="A328" s="3055" t="s">
        <v>3404</v>
      </c>
      <c r="B328" s="3055" t="s">
        <v>3405</v>
      </c>
      <c r="C328" s="3055">
        <v>323</v>
      </c>
      <c r="D328" s="3055" t="s">
        <v>3406</v>
      </c>
      <c r="E328" s="3055">
        <v>27.78</v>
      </c>
      <c r="F328" s="3055">
        <v>12.72</v>
      </c>
      <c r="G328" s="3055">
        <v>15.06</v>
      </c>
      <c r="H328" s="3055">
        <v>4585.96</v>
      </c>
      <c r="I328" s="3055">
        <v>127398</v>
      </c>
      <c r="J328" s="3055" t="s">
        <v>3407</v>
      </c>
      <c r="K328" s="3055" t="s">
        <v>3408</v>
      </c>
    </row>
    <row r="329" spans="1:11">
      <c r="A329" s="3055" t="s">
        <v>3404</v>
      </c>
      <c r="B329" s="3055" t="s">
        <v>3405</v>
      </c>
      <c r="C329" s="3055">
        <v>324</v>
      </c>
      <c r="D329" s="3055" t="s">
        <v>3406</v>
      </c>
      <c r="E329" s="3055">
        <v>27.78</v>
      </c>
      <c r="F329" s="3055">
        <v>12.72</v>
      </c>
      <c r="G329" s="3055">
        <v>15.06</v>
      </c>
      <c r="H329" s="3055">
        <v>4585.96</v>
      </c>
      <c r="I329" s="3055">
        <v>127398</v>
      </c>
      <c r="J329" s="3055" t="s">
        <v>3407</v>
      </c>
      <c r="K329" s="3055" t="s">
        <v>3408</v>
      </c>
    </row>
    <row r="330" spans="1:11">
      <c r="A330" s="3055" t="s">
        <v>3404</v>
      </c>
      <c r="B330" s="3055" t="s">
        <v>3405</v>
      </c>
      <c r="C330" s="3055">
        <v>325</v>
      </c>
      <c r="D330" s="3055" t="s">
        <v>3406</v>
      </c>
      <c r="E330" s="3055">
        <v>27.78</v>
      </c>
      <c r="F330" s="3055">
        <v>12.72</v>
      </c>
      <c r="G330" s="3055">
        <v>15.06</v>
      </c>
      <c r="H330" s="3055">
        <v>4945.93</v>
      </c>
      <c r="I330" s="3055">
        <v>137398</v>
      </c>
      <c r="J330" s="3055" t="s">
        <v>3407</v>
      </c>
      <c r="K330" s="3055" t="s">
        <v>3408</v>
      </c>
    </row>
    <row r="331" spans="1:11">
      <c r="A331" s="3055" t="s">
        <v>3404</v>
      </c>
      <c r="B331" s="3055" t="s">
        <v>3405</v>
      </c>
      <c r="C331" s="3055">
        <v>326</v>
      </c>
      <c r="D331" s="3055" t="s">
        <v>3406</v>
      </c>
      <c r="E331" s="3055">
        <v>27.78</v>
      </c>
      <c r="F331" s="3055">
        <v>12.72</v>
      </c>
      <c r="G331" s="3055">
        <v>15.06</v>
      </c>
      <c r="H331" s="3055">
        <v>4945.93</v>
      </c>
      <c r="I331" s="3055">
        <v>137398</v>
      </c>
      <c r="J331" s="3055" t="s">
        <v>3407</v>
      </c>
      <c r="K331" s="3055" t="s">
        <v>3408</v>
      </c>
    </row>
    <row r="332" spans="1:11">
      <c r="A332" s="3055" t="s">
        <v>3404</v>
      </c>
      <c r="B332" s="3055" t="s">
        <v>3405</v>
      </c>
      <c r="C332" s="3055">
        <v>327</v>
      </c>
      <c r="D332" s="3055" t="s">
        <v>3406</v>
      </c>
      <c r="E332" s="3055">
        <v>27.78</v>
      </c>
      <c r="F332" s="3055">
        <v>12.72</v>
      </c>
      <c r="G332" s="3055">
        <v>15.06</v>
      </c>
      <c r="H332" s="3055">
        <v>4945.93</v>
      </c>
      <c r="I332" s="3055">
        <v>137398</v>
      </c>
      <c r="J332" s="3055" t="s">
        <v>3407</v>
      </c>
      <c r="K332" s="3055" t="s">
        <v>3408</v>
      </c>
    </row>
    <row r="333" spans="1:11">
      <c r="A333" s="3055" t="s">
        <v>3404</v>
      </c>
      <c r="B333" s="3055" t="s">
        <v>3405</v>
      </c>
      <c r="C333" s="3055">
        <v>328</v>
      </c>
      <c r="D333" s="3055" t="s">
        <v>3406</v>
      </c>
      <c r="E333" s="3055">
        <v>27.78</v>
      </c>
      <c r="F333" s="3055">
        <v>12.72</v>
      </c>
      <c r="G333" s="3055">
        <v>15.06</v>
      </c>
      <c r="H333" s="3055">
        <v>4945.93</v>
      </c>
      <c r="I333" s="3055">
        <v>137398</v>
      </c>
      <c r="J333" s="3055" t="s">
        <v>3407</v>
      </c>
      <c r="K333" s="3055" t="s">
        <v>3408</v>
      </c>
    </row>
    <row r="334" spans="1:11">
      <c r="A334" s="3055" t="s">
        <v>3404</v>
      </c>
      <c r="B334" s="3055" t="s">
        <v>3405</v>
      </c>
      <c r="C334" s="3055">
        <v>329</v>
      </c>
      <c r="D334" s="3055" t="s">
        <v>3406</v>
      </c>
      <c r="E334" s="3055">
        <v>27.78</v>
      </c>
      <c r="F334" s="3055">
        <v>12.72</v>
      </c>
      <c r="G334" s="3055">
        <v>15.06</v>
      </c>
      <c r="H334" s="3055">
        <v>4585.96</v>
      </c>
      <c r="I334" s="3055">
        <v>127398</v>
      </c>
      <c r="J334" s="3055" t="s">
        <v>3407</v>
      </c>
      <c r="K334" s="3055" t="s">
        <v>3408</v>
      </c>
    </row>
    <row r="335" spans="1:11">
      <c r="A335" s="3055" t="s">
        <v>3404</v>
      </c>
      <c r="B335" s="3055" t="s">
        <v>3405</v>
      </c>
      <c r="C335" s="3055">
        <v>330</v>
      </c>
      <c r="D335" s="3055" t="s">
        <v>3406</v>
      </c>
      <c r="E335" s="3055">
        <v>27.78</v>
      </c>
      <c r="F335" s="3055">
        <v>12.72</v>
      </c>
      <c r="G335" s="3055">
        <v>15.06</v>
      </c>
      <c r="H335" s="3055">
        <v>4585.96</v>
      </c>
      <c r="I335" s="3055">
        <v>127398</v>
      </c>
      <c r="J335" s="3055" t="s">
        <v>3407</v>
      </c>
      <c r="K335" s="3055" t="s">
        <v>3408</v>
      </c>
    </row>
    <row r="336" spans="1:11">
      <c r="A336" s="3055" t="s">
        <v>3404</v>
      </c>
      <c r="B336" s="3055" t="s">
        <v>3405</v>
      </c>
      <c r="C336" s="3055">
        <v>331</v>
      </c>
      <c r="D336" s="3055" t="s">
        <v>3406</v>
      </c>
      <c r="E336" s="3055">
        <v>27.78</v>
      </c>
      <c r="F336" s="3055">
        <v>12.72</v>
      </c>
      <c r="G336" s="3055">
        <v>15.06</v>
      </c>
      <c r="H336" s="3055">
        <v>4945.93</v>
      </c>
      <c r="I336" s="3055">
        <v>137398</v>
      </c>
      <c r="J336" s="3055" t="s">
        <v>3407</v>
      </c>
      <c r="K336" s="3055" t="s">
        <v>3408</v>
      </c>
    </row>
    <row r="337" spans="1:11">
      <c r="A337" s="3055" t="s">
        <v>3404</v>
      </c>
      <c r="B337" s="3055" t="s">
        <v>3405</v>
      </c>
      <c r="C337" s="3055">
        <v>332</v>
      </c>
      <c r="D337" s="3055" t="s">
        <v>3406</v>
      </c>
      <c r="E337" s="3055">
        <v>27.78</v>
      </c>
      <c r="F337" s="3055">
        <v>12.72</v>
      </c>
      <c r="G337" s="3055">
        <v>15.06</v>
      </c>
      <c r="H337" s="3055">
        <v>4945.93</v>
      </c>
      <c r="I337" s="3055">
        <v>137398</v>
      </c>
      <c r="J337" s="3055" t="s">
        <v>3407</v>
      </c>
      <c r="K337" s="3055" t="s">
        <v>3408</v>
      </c>
    </row>
    <row r="338" spans="1:11">
      <c r="A338" s="3055" t="s">
        <v>3404</v>
      </c>
      <c r="B338" s="3055" t="s">
        <v>3405</v>
      </c>
      <c r="C338" s="3055">
        <v>333</v>
      </c>
      <c r="D338" s="3055" t="s">
        <v>3406</v>
      </c>
      <c r="E338" s="3055">
        <v>27.78</v>
      </c>
      <c r="F338" s="3055">
        <v>12.72</v>
      </c>
      <c r="G338" s="3055">
        <v>15.06</v>
      </c>
      <c r="H338" s="3055">
        <v>4945.93</v>
      </c>
      <c r="I338" s="3055">
        <v>137398</v>
      </c>
      <c r="J338" s="3055" t="s">
        <v>3407</v>
      </c>
      <c r="K338" s="3055" t="s">
        <v>3408</v>
      </c>
    </row>
    <row r="339" spans="1:11">
      <c r="A339" s="3055" t="s">
        <v>3404</v>
      </c>
      <c r="B339" s="3055" t="s">
        <v>3405</v>
      </c>
      <c r="C339" s="3055">
        <v>334</v>
      </c>
      <c r="D339" s="3055" t="s">
        <v>3406</v>
      </c>
      <c r="E339" s="3055">
        <v>27.78</v>
      </c>
      <c r="F339" s="3055">
        <v>12.72</v>
      </c>
      <c r="G339" s="3055">
        <v>15.06</v>
      </c>
      <c r="H339" s="3055">
        <v>4945.93</v>
      </c>
      <c r="I339" s="3055">
        <v>137398</v>
      </c>
      <c r="J339" s="3055" t="s">
        <v>3407</v>
      </c>
      <c r="K339" s="3055" t="s">
        <v>3408</v>
      </c>
    </row>
    <row r="340" spans="1:11">
      <c r="A340" s="3055" t="s">
        <v>3404</v>
      </c>
      <c r="B340" s="3055" t="s">
        <v>3405</v>
      </c>
      <c r="C340" s="3055">
        <v>335</v>
      </c>
      <c r="D340" s="3055" t="s">
        <v>3406</v>
      </c>
      <c r="E340" s="3055">
        <v>27.78</v>
      </c>
      <c r="F340" s="3055">
        <v>12.72</v>
      </c>
      <c r="G340" s="3055">
        <v>15.06</v>
      </c>
      <c r="H340" s="3055">
        <v>4945.93</v>
      </c>
      <c r="I340" s="3055">
        <v>137398</v>
      </c>
      <c r="J340" s="3055" t="s">
        <v>3407</v>
      </c>
      <c r="K340" s="3055" t="s">
        <v>3408</v>
      </c>
    </row>
    <row r="341" spans="1:11">
      <c r="A341" s="3055" t="s">
        <v>3404</v>
      </c>
      <c r="B341" s="3055" t="s">
        <v>3405</v>
      </c>
      <c r="C341" s="3055">
        <v>336</v>
      </c>
      <c r="D341" s="3055" t="s">
        <v>3406</v>
      </c>
      <c r="E341" s="3055">
        <v>27.78</v>
      </c>
      <c r="F341" s="3055">
        <v>12.72</v>
      </c>
      <c r="G341" s="3055">
        <v>15.06</v>
      </c>
      <c r="H341" s="3055">
        <v>4945.93</v>
      </c>
      <c r="I341" s="3055">
        <v>137398</v>
      </c>
      <c r="J341" s="3055" t="s">
        <v>3407</v>
      </c>
      <c r="K341" s="3055" t="s">
        <v>3408</v>
      </c>
    </row>
    <row r="342" spans="1:11">
      <c r="A342" s="3055" t="s">
        <v>3404</v>
      </c>
      <c r="B342" s="3055" t="s">
        <v>3405</v>
      </c>
      <c r="C342" s="3055">
        <v>337</v>
      </c>
      <c r="D342" s="3055" t="s">
        <v>3406</v>
      </c>
      <c r="E342" s="3055">
        <v>27.78</v>
      </c>
      <c r="F342" s="3055">
        <v>12.72</v>
      </c>
      <c r="G342" s="3055">
        <v>15.06</v>
      </c>
      <c r="H342" s="3055">
        <v>4945.93</v>
      </c>
      <c r="I342" s="3055">
        <v>137398</v>
      </c>
      <c r="J342" s="3055" t="s">
        <v>3407</v>
      </c>
      <c r="K342" s="3055" t="s">
        <v>3408</v>
      </c>
    </row>
    <row r="343" spans="1:11">
      <c r="A343" s="3055" t="s">
        <v>3404</v>
      </c>
      <c r="B343" s="3055" t="s">
        <v>3405</v>
      </c>
      <c r="C343" s="3055">
        <v>338</v>
      </c>
      <c r="D343" s="3055" t="s">
        <v>3406</v>
      </c>
      <c r="E343" s="3055">
        <v>27.78</v>
      </c>
      <c r="F343" s="3055">
        <v>12.72</v>
      </c>
      <c r="G343" s="3055">
        <v>15.06</v>
      </c>
      <c r="H343" s="3055">
        <v>4585.96</v>
      </c>
      <c r="I343" s="3055">
        <v>127398</v>
      </c>
      <c r="J343" s="3055" t="s">
        <v>3407</v>
      </c>
      <c r="K343" s="3055" t="s">
        <v>3408</v>
      </c>
    </row>
    <row r="344" spans="1:11">
      <c r="A344" s="3055" t="s">
        <v>3404</v>
      </c>
      <c r="B344" s="3055" t="s">
        <v>3405</v>
      </c>
      <c r="C344" s="3055">
        <v>339</v>
      </c>
      <c r="D344" s="3055" t="s">
        <v>3406</v>
      </c>
      <c r="E344" s="3055">
        <v>27.78</v>
      </c>
      <c r="F344" s="3055">
        <v>12.72</v>
      </c>
      <c r="G344" s="3055">
        <v>15.06</v>
      </c>
      <c r="H344" s="3055">
        <v>4945.93</v>
      </c>
      <c r="I344" s="3055">
        <v>137398</v>
      </c>
      <c r="J344" s="3055" t="s">
        <v>3407</v>
      </c>
      <c r="K344" s="3055" t="s">
        <v>3408</v>
      </c>
    </row>
    <row r="345" spans="1:11">
      <c r="A345" s="3055" t="s">
        <v>3404</v>
      </c>
      <c r="B345" s="3055" t="s">
        <v>3405</v>
      </c>
      <c r="C345" s="3055">
        <v>340</v>
      </c>
      <c r="D345" s="3055" t="s">
        <v>3406</v>
      </c>
      <c r="E345" s="3055">
        <v>27.78</v>
      </c>
      <c r="F345" s="3055">
        <v>12.72</v>
      </c>
      <c r="G345" s="3055">
        <v>15.06</v>
      </c>
      <c r="H345" s="3055">
        <v>4585.96</v>
      </c>
      <c r="I345" s="3055">
        <v>127398</v>
      </c>
      <c r="J345" s="3055" t="s">
        <v>3407</v>
      </c>
      <c r="K345" s="3055" t="s">
        <v>3408</v>
      </c>
    </row>
    <row r="346" spans="1:11">
      <c r="A346" s="3055" t="s">
        <v>3404</v>
      </c>
      <c r="B346" s="3055" t="s">
        <v>3405</v>
      </c>
      <c r="C346" s="3055">
        <v>341</v>
      </c>
      <c r="D346" s="3055" t="s">
        <v>3406</v>
      </c>
      <c r="E346" s="3055">
        <v>27.78</v>
      </c>
      <c r="F346" s="3055">
        <v>12.72</v>
      </c>
      <c r="G346" s="3055">
        <v>15.06</v>
      </c>
      <c r="H346" s="3055">
        <v>4585.96</v>
      </c>
      <c r="I346" s="3055">
        <v>127398</v>
      </c>
      <c r="J346" s="3055" t="s">
        <v>3407</v>
      </c>
      <c r="K346" s="3055" t="s">
        <v>3408</v>
      </c>
    </row>
    <row r="347" spans="1:11">
      <c r="A347" s="3055" t="s">
        <v>3404</v>
      </c>
      <c r="B347" s="3055" t="s">
        <v>3405</v>
      </c>
      <c r="C347" s="3055">
        <v>342</v>
      </c>
      <c r="D347" s="3055" t="s">
        <v>3406</v>
      </c>
      <c r="E347" s="3055">
        <v>27.78</v>
      </c>
      <c r="F347" s="3055">
        <v>12.72</v>
      </c>
      <c r="G347" s="3055">
        <v>15.06</v>
      </c>
      <c r="H347" s="3055">
        <v>4945.93</v>
      </c>
      <c r="I347" s="3055">
        <v>137398</v>
      </c>
      <c r="J347" s="3055" t="s">
        <v>3407</v>
      </c>
      <c r="K347" s="3055" t="s">
        <v>3408</v>
      </c>
    </row>
    <row r="348" spans="1:11">
      <c r="A348" s="3055" t="s">
        <v>3404</v>
      </c>
      <c r="B348" s="3055" t="s">
        <v>3405</v>
      </c>
      <c r="C348" s="3055">
        <v>343</v>
      </c>
      <c r="D348" s="3055" t="s">
        <v>3406</v>
      </c>
      <c r="E348" s="3055">
        <v>27.78</v>
      </c>
      <c r="F348" s="3055">
        <v>12.72</v>
      </c>
      <c r="G348" s="3055">
        <v>15.06</v>
      </c>
      <c r="H348" s="3055">
        <v>4585.96</v>
      </c>
      <c r="I348" s="3055">
        <v>127398</v>
      </c>
      <c r="J348" s="3055" t="s">
        <v>3407</v>
      </c>
      <c r="K348" s="3055" t="s">
        <v>3408</v>
      </c>
    </row>
    <row r="349" spans="1:11">
      <c r="A349" s="3055" t="s">
        <v>3404</v>
      </c>
      <c r="B349" s="3055" t="s">
        <v>3405</v>
      </c>
      <c r="C349" s="3055">
        <v>344</v>
      </c>
      <c r="D349" s="3055" t="s">
        <v>3406</v>
      </c>
      <c r="E349" s="3055">
        <v>27.78</v>
      </c>
      <c r="F349" s="3055">
        <v>12.72</v>
      </c>
      <c r="G349" s="3055">
        <v>15.06</v>
      </c>
      <c r="H349" s="3055">
        <v>4945.93</v>
      </c>
      <c r="I349" s="3055">
        <v>137398</v>
      </c>
      <c r="J349" s="3055" t="s">
        <v>3407</v>
      </c>
      <c r="K349" s="3055" t="s">
        <v>3408</v>
      </c>
    </row>
    <row r="350" spans="1:11">
      <c r="A350" s="3055" t="s">
        <v>3404</v>
      </c>
      <c r="B350" s="3055" t="s">
        <v>3405</v>
      </c>
      <c r="C350" s="3055">
        <v>345</v>
      </c>
      <c r="D350" s="3055" t="s">
        <v>3406</v>
      </c>
      <c r="E350" s="3055">
        <v>27.78</v>
      </c>
      <c r="F350" s="3055">
        <v>12.72</v>
      </c>
      <c r="G350" s="3055">
        <v>15.06</v>
      </c>
      <c r="H350" s="3055">
        <v>4945.93</v>
      </c>
      <c r="I350" s="3055">
        <v>137398</v>
      </c>
      <c r="J350" s="3055" t="s">
        <v>3407</v>
      </c>
      <c r="K350" s="3055" t="s">
        <v>3408</v>
      </c>
    </row>
    <row r="351" spans="1:11">
      <c r="A351" s="3055" t="s">
        <v>3404</v>
      </c>
      <c r="B351" s="3055" t="s">
        <v>3405</v>
      </c>
      <c r="C351" s="3055">
        <v>346</v>
      </c>
      <c r="D351" s="3055" t="s">
        <v>3406</v>
      </c>
      <c r="E351" s="3055">
        <v>27.78</v>
      </c>
      <c r="F351" s="3055">
        <v>12.72</v>
      </c>
      <c r="G351" s="3055">
        <v>15.06</v>
      </c>
      <c r="H351" s="3055">
        <v>4945.93</v>
      </c>
      <c r="I351" s="3055">
        <v>137398</v>
      </c>
      <c r="J351" s="3055" t="s">
        <v>3407</v>
      </c>
      <c r="K351" s="3055" t="s">
        <v>3408</v>
      </c>
    </row>
    <row r="352" spans="1:11">
      <c r="A352" s="3055" t="s">
        <v>3404</v>
      </c>
      <c r="B352" s="3055" t="s">
        <v>3405</v>
      </c>
      <c r="C352" s="3055">
        <v>347</v>
      </c>
      <c r="D352" s="3055" t="s">
        <v>3406</v>
      </c>
      <c r="E352" s="3055">
        <v>27.78</v>
      </c>
      <c r="F352" s="3055">
        <v>12.72</v>
      </c>
      <c r="G352" s="3055">
        <v>15.06</v>
      </c>
      <c r="H352" s="3055">
        <v>4945.93</v>
      </c>
      <c r="I352" s="3055">
        <v>137398</v>
      </c>
      <c r="J352" s="3055" t="s">
        <v>3407</v>
      </c>
      <c r="K352" s="3055" t="s">
        <v>3408</v>
      </c>
    </row>
    <row r="353" spans="1:11">
      <c r="A353" s="3055" t="s">
        <v>3404</v>
      </c>
      <c r="B353" s="3055" t="s">
        <v>3405</v>
      </c>
      <c r="C353" s="3055">
        <v>348</v>
      </c>
      <c r="D353" s="3055" t="s">
        <v>3406</v>
      </c>
      <c r="E353" s="3055">
        <v>27.78</v>
      </c>
      <c r="F353" s="3055">
        <v>12.72</v>
      </c>
      <c r="G353" s="3055">
        <v>15.06</v>
      </c>
      <c r="H353" s="3055">
        <v>4945.93</v>
      </c>
      <c r="I353" s="3055">
        <v>137398</v>
      </c>
      <c r="J353" s="3055" t="s">
        <v>3407</v>
      </c>
      <c r="K353" s="3055" t="s">
        <v>3408</v>
      </c>
    </row>
    <row r="354" spans="1:11">
      <c r="A354" s="3055" t="s">
        <v>3404</v>
      </c>
      <c r="B354" s="3055" t="s">
        <v>3405</v>
      </c>
      <c r="C354" s="3055">
        <v>349</v>
      </c>
      <c r="D354" s="3055" t="s">
        <v>3406</v>
      </c>
      <c r="E354" s="3055">
        <v>27.78</v>
      </c>
      <c r="F354" s="3055">
        <v>12.72</v>
      </c>
      <c r="G354" s="3055">
        <v>15.06</v>
      </c>
      <c r="H354" s="3055">
        <v>4945.93</v>
      </c>
      <c r="I354" s="3055">
        <v>137398</v>
      </c>
      <c r="J354" s="3055" t="s">
        <v>3407</v>
      </c>
      <c r="K354" s="3055" t="s">
        <v>3408</v>
      </c>
    </row>
    <row r="355" spans="1:11">
      <c r="A355" s="3055" t="s">
        <v>3404</v>
      </c>
      <c r="B355" s="3055" t="s">
        <v>3405</v>
      </c>
      <c r="C355" s="3055">
        <v>350</v>
      </c>
      <c r="D355" s="3055" t="s">
        <v>3406</v>
      </c>
      <c r="E355" s="3055">
        <v>27.78</v>
      </c>
      <c r="F355" s="3055">
        <v>12.72</v>
      </c>
      <c r="G355" s="3055">
        <v>15.06</v>
      </c>
      <c r="H355" s="3055">
        <v>4945.93</v>
      </c>
      <c r="I355" s="3055">
        <v>137398</v>
      </c>
      <c r="J355" s="3055" t="s">
        <v>3407</v>
      </c>
      <c r="K355" s="3055" t="s">
        <v>3408</v>
      </c>
    </row>
    <row r="356" spans="1:11">
      <c r="A356" s="3055" t="s">
        <v>3404</v>
      </c>
      <c r="B356" s="3055" t="s">
        <v>3405</v>
      </c>
      <c r="C356" s="3055">
        <v>351</v>
      </c>
      <c r="D356" s="3055" t="s">
        <v>3406</v>
      </c>
      <c r="E356" s="3055">
        <v>27.78</v>
      </c>
      <c r="F356" s="3055">
        <v>12.72</v>
      </c>
      <c r="G356" s="3055">
        <v>15.06</v>
      </c>
      <c r="H356" s="3055">
        <v>4945.93</v>
      </c>
      <c r="I356" s="3055">
        <v>137398</v>
      </c>
      <c r="J356" s="3055" t="s">
        <v>3407</v>
      </c>
      <c r="K356" s="3055" t="s">
        <v>3408</v>
      </c>
    </row>
    <row r="357" spans="1:11">
      <c r="A357" s="3055" t="s">
        <v>3404</v>
      </c>
      <c r="B357" s="3055" t="s">
        <v>3405</v>
      </c>
      <c r="C357" s="3055">
        <v>352</v>
      </c>
      <c r="D357" s="3055" t="s">
        <v>3406</v>
      </c>
      <c r="E357" s="3055">
        <v>27.78</v>
      </c>
      <c r="F357" s="3055">
        <v>12.72</v>
      </c>
      <c r="G357" s="3055">
        <v>15.06</v>
      </c>
      <c r="H357" s="3055">
        <v>4945.93</v>
      </c>
      <c r="I357" s="3055">
        <v>137398</v>
      </c>
      <c r="J357" s="3055" t="s">
        <v>3407</v>
      </c>
      <c r="K357" s="3055" t="s">
        <v>3408</v>
      </c>
    </row>
    <row r="358" spans="1:11">
      <c r="A358" s="3055" t="s">
        <v>3404</v>
      </c>
      <c r="B358" s="3055" t="s">
        <v>3405</v>
      </c>
      <c r="C358" s="3055">
        <v>353</v>
      </c>
      <c r="D358" s="3055" t="s">
        <v>3406</v>
      </c>
      <c r="E358" s="3055">
        <v>27.78</v>
      </c>
      <c r="F358" s="3055">
        <v>12.72</v>
      </c>
      <c r="G358" s="3055">
        <v>15.06</v>
      </c>
      <c r="H358" s="3055">
        <v>4945.93</v>
      </c>
      <c r="I358" s="3055">
        <v>137398</v>
      </c>
      <c r="J358" s="3055" t="s">
        <v>3407</v>
      </c>
      <c r="K358" s="3055" t="s">
        <v>3408</v>
      </c>
    </row>
    <row r="359" spans="1:11">
      <c r="A359" s="3055" t="s">
        <v>3404</v>
      </c>
      <c r="B359" s="3055" t="s">
        <v>3405</v>
      </c>
      <c r="C359" s="3055">
        <v>354</v>
      </c>
      <c r="D359" s="3055" t="s">
        <v>3406</v>
      </c>
      <c r="E359" s="3055">
        <v>27.78</v>
      </c>
      <c r="F359" s="3055">
        <v>12.72</v>
      </c>
      <c r="G359" s="3055">
        <v>15.06</v>
      </c>
      <c r="H359" s="3055">
        <v>4945.93</v>
      </c>
      <c r="I359" s="3055">
        <v>137398</v>
      </c>
      <c r="J359" s="3055" t="s">
        <v>3407</v>
      </c>
      <c r="K359" s="3055" t="s">
        <v>3408</v>
      </c>
    </row>
    <row r="360" spans="1:11">
      <c r="A360" s="3055" t="s">
        <v>3404</v>
      </c>
      <c r="B360" s="3055" t="s">
        <v>3405</v>
      </c>
      <c r="C360" s="3055">
        <v>355</v>
      </c>
      <c r="D360" s="3055" t="s">
        <v>3406</v>
      </c>
      <c r="E360" s="3055">
        <v>27.78</v>
      </c>
      <c r="F360" s="3055">
        <v>12.72</v>
      </c>
      <c r="G360" s="3055">
        <v>15.06</v>
      </c>
      <c r="H360" s="3055">
        <v>4225.99</v>
      </c>
      <c r="I360" s="3055">
        <v>117398</v>
      </c>
      <c r="J360" s="3055" t="s">
        <v>3407</v>
      </c>
      <c r="K360" s="3055" t="s">
        <v>3408</v>
      </c>
    </row>
    <row r="361" spans="1:11">
      <c r="A361" s="3055" t="s">
        <v>3404</v>
      </c>
      <c r="B361" s="3055" t="s">
        <v>3405</v>
      </c>
      <c r="C361" s="3055">
        <v>356</v>
      </c>
      <c r="D361" s="3055" t="s">
        <v>3406</v>
      </c>
      <c r="E361" s="3055">
        <v>27.78</v>
      </c>
      <c r="F361" s="3055">
        <v>12.72</v>
      </c>
      <c r="G361" s="3055">
        <v>15.06</v>
      </c>
      <c r="H361" s="3055">
        <v>4585.96</v>
      </c>
      <c r="I361" s="3055">
        <v>127398</v>
      </c>
      <c r="J361" s="3055" t="s">
        <v>3407</v>
      </c>
      <c r="K361" s="3055" t="s">
        <v>3408</v>
      </c>
    </row>
    <row r="362" spans="1:11">
      <c r="A362" s="3055" t="s">
        <v>3404</v>
      </c>
      <c r="B362" s="3055" t="s">
        <v>3405</v>
      </c>
      <c r="C362" s="3055">
        <v>357</v>
      </c>
      <c r="D362" s="3055" t="s">
        <v>3406</v>
      </c>
      <c r="E362" s="3055">
        <v>27.78</v>
      </c>
      <c r="F362" s="3055">
        <v>12.72</v>
      </c>
      <c r="G362" s="3055">
        <v>15.06</v>
      </c>
      <c r="H362" s="3055">
        <v>4225.99</v>
      </c>
      <c r="I362" s="3055">
        <v>117398</v>
      </c>
      <c r="J362" s="3055" t="s">
        <v>3407</v>
      </c>
      <c r="K362" s="3055" t="s">
        <v>3408</v>
      </c>
    </row>
    <row r="363" spans="1:11">
      <c r="A363" s="3055" t="s">
        <v>3404</v>
      </c>
      <c r="B363" s="3055" t="s">
        <v>3405</v>
      </c>
      <c r="C363" s="3055">
        <v>358</v>
      </c>
      <c r="D363" s="3055" t="s">
        <v>3406</v>
      </c>
      <c r="E363" s="3055">
        <v>27.78</v>
      </c>
      <c r="F363" s="3055">
        <v>12.72</v>
      </c>
      <c r="G363" s="3055">
        <v>15.06</v>
      </c>
      <c r="H363" s="3055">
        <v>4585.96</v>
      </c>
      <c r="I363" s="3055">
        <v>127398</v>
      </c>
      <c r="J363" s="3055" t="s">
        <v>3407</v>
      </c>
      <c r="K363" s="3055" t="s">
        <v>3408</v>
      </c>
    </row>
    <row r="364" spans="1:11">
      <c r="A364" s="3055" t="s">
        <v>3404</v>
      </c>
      <c r="B364" s="3055" t="s">
        <v>3405</v>
      </c>
      <c r="C364" s="3055">
        <v>359</v>
      </c>
      <c r="D364" s="3055" t="s">
        <v>3406</v>
      </c>
      <c r="E364" s="3055">
        <v>27.78</v>
      </c>
      <c r="F364" s="3055">
        <v>12.72</v>
      </c>
      <c r="G364" s="3055">
        <v>15.06</v>
      </c>
      <c r="H364" s="3055">
        <v>4585.96</v>
      </c>
      <c r="I364" s="3055">
        <v>127398</v>
      </c>
      <c r="J364" s="3055" t="s">
        <v>3407</v>
      </c>
      <c r="K364" s="3055" t="s">
        <v>3408</v>
      </c>
    </row>
    <row r="365" spans="1:11">
      <c r="A365" s="3055" t="s">
        <v>3404</v>
      </c>
      <c r="B365" s="3055" t="s">
        <v>3405</v>
      </c>
      <c r="C365" s="3055">
        <v>360</v>
      </c>
      <c r="D365" s="3055" t="s">
        <v>3406</v>
      </c>
      <c r="E365" s="3055">
        <v>27.78</v>
      </c>
      <c r="F365" s="3055">
        <v>12.72</v>
      </c>
      <c r="G365" s="3055">
        <v>15.06</v>
      </c>
      <c r="H365" s="3055">
        <v>4585.96</v>
      </c>
      <c r="I365" s="3055">
        <v>127398</v>
      </c>
      <c r="J365" s="3055" t="s">
        <v>3407</v>
      </c>
      <c r="K365" s="3055" t="s">
        <v>3408</v>
      </c>
    </row>
    <row r="366" spans="1:11">
      <c r="A366" s="3055" t="s">
        <v>3404</v>
      </c>
      <c r="B366" s="3055" t="s">
        <v>3405</v>
      </c>
      <c r="C366" s="3055">
        <v>361</v>
      </c>
      <c r="D366" s="3055" t="s">
        <v>3406</v>
      </c>
      <c r="E366" s="3055">
        <v>27.78</v>
      </c>
      <c r="F366" s="3055">
        <v>12.72</v>
      </c>
      <c r="G366" s="3055">
        <v>15.06</v>
      </c>
      <c r="H366" s="3055">
        <v>4585.96</v>
      </c>
      <c r="I366" s="3055">
        <v>127398</v>
      </c>
      <c r="J366" s="3055" t="s">
        <v>3407</v>
      </c>
      <c r="K366" s="3055" t="s">
        <v>3408</v>
      </c>
    </row>
    <row r="367" spans="1:11">
      <c r="A367" s="3055" t="s">
        <v>3404</v>
      </c>
      <c r="B367" s="3055" t="s">
        <v>3405</v>
      </c>
      <c r="C367" s="3055">
        <v>362</v>
      </c>
      <c r="D367" s="3055" t="s">
        <v>3406</v>
      </c>
      <c r="E367" s="3055">
        <v>27.78</v>
      </c>
      <c r="F367" s="3055">
        <v>12.72</v>
      </c>
      <c r="G367" s="3055">
        <v>15.06</v>
      </c>
      <c r="H367" s="3055">
        <v>4585.96</v>
      </c>
      <c r="I367" s="3055">
        <v>127398</v>
      </c>
      <c r="J367" s="3055" t="s">
        <v>3407</v>
      </c>
      <c r="K367" s="3055" t="s">
        <v>3408</v>
      </c>
    </row>
    <row r="368" spans="1:11">
      <c r="A368" s="3055" t="s">
        <v>3404</v>
      </c>
      <c r="B368" s="3055" t="s">
        <v>3405</v>
      </c>
      <c r="C368" s="3055">
        <v>363</v>
      </c>
      <c r="D368" s="3055" t="s">
        <v>3406</v>
      </c>
      <c r="E368" s="3055">
        <v>27.78</v>
      </c>
      <c r="F368" s="3055">
        <v>12.72</v>
      </c>
      <c r="G368" s="3055">
        <v>15.06</v>
      </c>
      <c r="H368" s="3055">
        <v>4225.99</v>
      </c>
      <c r="I368" s="3055">
        <v>117398</v>
      </c>
      <c r="J368" s="3055" t="s">
        <v>3407</v>
      </c>
      <c r="K368" s="3055" t="s">
        <v>3408</v>
      </c>
    </row>
    <row r="369" spans="1:11">
      <c r="A369" s="3055" t="s">
        <v>3404</v>
      </c>
      <c r="B369" s="3055" t="s">
        <v>3405</v>
      </c>
      <c r="C369" s="3055">
        <v>364</v>
      </c>
      <c r="D369" s="3055" t="s">
        <v>3406</v>
      </c>
      <c r="E369" s="3055">
        <v>27.78</v>
      </c>
      <c r="F369" s="3055">
        <v>12.72</v>
      </c>
      <c r="G369" s="3055">
        <v>15.06</v>
      </c>
      <c r="H369" s="3055">
        <v>4585.96</v>
      </c>
      <c r="I369" s="3055">
        <v>127398</v>
      </c>
      <c r="J369" s="3055" t="s">
        <v>3407</v>
      </c>
      <c r="K369" s="3055" t="s">
        <v>3408</v>
      </c>
    </row>
    <row r="370" spans="1:11">
      <c r="A370" s="3055" t="s">
        <v>3404</v>
      </c>
      <c r="B370" s="3055" t="s">
        <v>3405</v>
      </c>
      <c r="C370" s="3055">
        <v>365</v>
      </c>
      <c r="D370" s="3055" t="s">
        <v>3406</v>
      </c>
      <c r="E370" s="3055">
        <v>27.78</v>
      </c>
      <c r="F370" s="3055">
        <v>12.72</v>
      </c>
      <c r="G370" s="3055">
        <v>15.06</v>
      </c>
      <c r="H370" s="3055">
        <v>4225.99</v>
      </c>
      <c r="I370" s="3055">
        <v>117398</v>
      </c>
      <c r="J370" s="3055" t="s">
        <v>3407</v>
      </c>
      <c r="K370" s="3055" t="s">
        <v>3408</v>
      </c>
    </row>
    <row r="371" spans="1:11">
      <c r="A371" s="3055" t="s">
        <v>3404</v>
      </c>
      <c r="B371" s="3055" t="s">
        <v>3405</v>
      </c>
      <c r="C371" s="3055">
        <v>366</v>
      </c>
      <c r="D371" s="3055" t="s">
        <v>3406</v>
      </c>
      <c r="E371" s="3055">
        <v>27.78</v>
      </c>
      <c r="F371" s="3055">
        <v>12.72</v>
      </c>
      <c r="G371" s="3055">
        <v>15.06</v>
      </c>
      <c r="H371" s="3055">
        <v>4585.96</v>
      </c>
      <c r="I371" s="3055">
        <v>127398</v>
      </c>
      <c r="J371" s="3055" t="s">
        <v>3407</v>
      </c>
      <c r="K371" s="3055" t="s">
        <v>3408</v>
      </c>
    </row>
    <row r="372" spans="1:11">
      <c r="A372" s="3055" t="s">
        <v>3404</v>
      </c>
      <c r="B372" s="3055" t="s">
        <v>3405</v>
      </c>
      <c r="C372" s="3055">
        <v>367</v>
      </c>
      <c r="D372" s="3055" t="s">
        <v>3406</v>
      </c>
      <c r="E372" s="3055">
        <v>27.78</v>
      </c>
      <c r="F372" s="3055">
        <v>12.72</v>
      </c>
      <c r="G372" s="3055">
        <v>15.06</v>
      </c>
      <c r="H372" s="3055">
        <v>4585.96</v>
      </c>
      <c r="I372" s="3055">
        <v>127398</v>
      </c>
      <c r="J372" s="3055" t="s">
        <v>3407</v>
      </c>
      <c r="K372" s="3055" t="s">
        <v>3408</v>
      </c>
    </row>
    <row r="373" spans="1:11">
      <c r="A373" s="3055" t="s">
        <v>3404</v>
      </c>
      <c r="B373" s="3055" t="s">
        <v>3405</v>
      </c>
      <c r="C373" s="3055">
        <v>368</v>
      </c>
      <c r="D373" s="3055" t="s">
        <v>3406</v>
      </c>
      <c r="E373" s="3055">
        <v>27.78</v>
      </c>
      <c r="F373" s="3055">
        <v>12.72</v>
      </c>
      <c r="G373" s="3055">
        <v>15.06</v>
      </c>
      <c r="H373" s="3055">
        <v>4585.96</v>
      </c>
      <c r="I373" s="3055">
        <v>127398</v>
      </c>
      <c r="J373" s="3055" t="s">
        <v>3407</v>
      </c>
      <c r="K373" s="3055" t="s">
        <v>3408</v>
      </c>
    </row>
    <row r="374" spans="1:11">
      <c r="A374" s="3055" t="s">
        <v>3404</v>
      </c>
      <c r="B374" s="3055" t="s">
        <v>3405</v>
      </c>
      <c r="C374" s="3055">
        <v>369</v>
      </c>
      <c r="D374" s="3055" t="s">
        <v>3406</v>
      </c>
      <c r="E374" s="3055">
        <v>27.78</v>
      </c>
      <c r="F374" s="3055">
        <v>12.72</v>
      </c>
      <c r="G374" s="3055">
        <v>15.06</v>
      </c>
      <c r="H374" s="3055">
        <v>4225.99</v>
      </c>
      <c r="I374" s="3055">
        <v>117398</v>
      </c>
      <c r="J374" s="3055" t="s">
        <v>3407</v>
      </c>
      <c r="K374" s="3055" t="s">
        <v>3408</v>
      </c>
    </row>
    <row r="375" spans="1:11">
      <c r="A375" s="3055" t="s">
        <v>3404</v>
      </c>
      <c r="B375" s="3055" t="s">
        <v>3405</v>
      </c>
      <c r="C375" s="3055">
        <v>370</v>
      </c>
      <c r="D375" s="3055" t="s">
        <v>3406</v>
      </c>
      <c r="E375" s="3055">
        <v>27.78</v>
      </c>
      <c r="F375" s="3055">
        <v>12.72</v>
      </c>
      <c r="G375" s="3055">
        <v>15.06</v>
      </c>
      <c r="H375" s="3055">
        <v>4585.96</v>
      </c>
      <c r="I375" s="3055">
        <v>127398</v>
      </c>
      <c r="J375" s="3055" t="s">
        <v>3407</v>
      </c>
      <c r="K375" s="3055" t="s">
        <v>3408</v>
      </c>
    </row>
    <row r="376" spans="1:11">
      <c r="A376" s="3055" t="s">
        <v>3404</v>
      </c>
      <c r="B376" s="3055" t="s">
        <v>3405</v>
      </c>
      <c r="C376" s="3055">
        <v>371</v>
      </c>
      <c r="D376" s="3055" t="s">
        <v>3406</v>
      </c>
      <c r="E376" s="3055">
        <v>27.78</v>
      </c>
      <c r="F376" s="3055">
        <v>12.72</v>
      </c>
      <c r="G376" s="3055">
        <v>15.06</v>
      </c>
      <c r="H376" s="3055">
        <v>4585.96</v>
      </c>
      <c r="I376" s="3055">
        <v>127398</v>
      </c>
      <c r="J376" s="3055" t="s">
        <v>3407</v>
      </c>
      <c r="K376" s="3055" t="s">
        <v>3408</v>
      </c>
    </row>
    <row r="377" spans="1:11">
      <c r="A377" s="3055" t="s">
        <v>3404</v>
      </c>
      <c r="B377" s="3055" t="s">
        <v>3405</v>
      </c>
      <c r="C377" s="3055">
        <v>372</v>
      </c>
      <c r="D377" s="3055" t="s">
        <v>3406</v>
      </c>
      <c r="E377" s="3055">
        <v>27.78</v>
      </c>
      <c r="F377" s="3055">
        <v>12.72</v>
      </c>
      <c r="G377" s="3055">
        <v>15.06</v>
      </c>
      <c r="H377" s="3055">
        <v>4585.96</v>
      </c>
      <c r="I377" s="3055">
        <v>127398</v>
      </c>
      <c r="J377" s="3055" t="s">
        <v>3407</v>
      </c>
      <c r="K377" s="3055" t="s">
        <v>3408</v>
      </c>
    </row>
    <row r="378" spans="1:11">
      <c r="A378" s="3055" t="s">
        <v>3404</v>
      </c>
      <c r="B378" s="3055" t="s">
        <v>3405</v>
      </c>
      <c r="C378" s="3055">
        <v>373</v>
      </c>
      <c r="D378" s="3055" t="s">
        <v>3406</v>
      </c>
      <c r="E378" s="3055">
        <v>27.78</v>
      </c>
      <c r="F378" s="3055">
        <v>12.72</v>
      </c>
      <c r="G378" s="3055">
        <v>15.06</v>
      </c>
      <c r="H378" s="3055">
        <v>4585.96</v>
      </c>
      <c r="I378" s="3055">
        <v>127398</v>
      </c>
      <c r="J378" s="3055" t="s">
        <v>3407</v>
      </c>
      <c r="K378" s="3055" t="s">
        <v>3408</v>
      </c>
    </row>
    <row r="379" spans="1:11">
      <c r="A379" s="3055" t="s">
        <v>3404</v>
      </c>
      <c r="B379" s="3055" t="s">
        <v>3405</v>
      </c>
      <c r="C379" s="3055">
        <v>374</v>
      </c>
      <c r="D379" s="3055" t="s">
        <v>3406</v>
      </c>
      <c r="E379" s="3055">
        <v>27.78</v>
      </c>
      <c r="F379" s="3055">
        <v>12.72</v>
      </c>
      <c r="G379" s="3055">
        <v>15.06</v>
      </c>
      <c r="H379" s="3055">
        <v>4585.96</v>
      </c>
      <c r="I379" s="3055">
        <v>127398</v>
      </c>
      <c r="J379" s="3055" t="s">
        <v>3407</v>
      </c>
      <c r="K379" s="3055" t="s">
        <v>3408</v>
      </c>
    </row>
    <row r="380" spans="1:11">
      <c r="A380" s="3055" t="s">
        <v>3404</v>
      </c>
      <c r="B380" s="3055" t="s">
        <v>3405</v>
      </c>
      <c r="C380" s="3055">
        <v>375</v>
      </c>
      <c r="D380" s="3055" t="s">
        <v>3406</v>
      </c>
      <c r="E380" s="3055">
        <v>27.78</v>
      </c>
      <c r="F380" s="3055">
        <v>12.72</v>
      </c>
      <c r="G380" s="3055">
        <v>15.06</v>
      </c>
      <c r="H380" s="3055">
        <v>4585.96</v>
      </c>
      <c r="I380" s="3055">
        <v>127398</v>
      </c>
      <c r="J380" s="3055" t="s">
        <v>3407</v>
      </c>
      <c r="K380" s="3055" t="s">
        <v>3408</v>
      </c>
    </row>
    <row r="381" spans="1:11">
      <c r="A381" s="3055" t="s">
        <v>3404</v>
      </c>
      <c r="B381" s="3055" t="s">
        <v>3405</v>
      </c>
      <c r="C381" s="3055">
        <v>376</v>
      </c>
      <c r="D381" s="3055" t="s">
        <v>3406</v>
      </c>
      <c r="E381" s="3055">
        <v>27.78</v>
      </c>
      <c r="F381" s="3055">
        <v>12.72</v>
      </c>
      <c r="G381" s="3055">
        <v>15.06</v>
      </c>
      <c r="H381" s="3055">
        <v>4585.96</v>
      </c>
      <c r="I381" s="3055">
        <v>127398</v>
      </c>
      <c r="J381" s="3055" t="s">
        <v>3407</v>
      </c>
      <c r="K381" s="3055" t="s">
        <v>3408</v>
      </c>
    </row>
    <row r="382" spans="1:11">
      <c r="A382" s="3055" t="s">
        <v>3404</v>
      </c>
      <c r="B382" s="3055" t="s">
        <v>3405</v>
      </c>
      <c r="C382" s="3055">
        <v>377</v>
      </c>
      <c r="D382" s="3055" t="s">
        <v>3406</v>
      </c>
      <c r="E382" s="3055">
        <v>27.78</v>
      </c>
      <c r="F382" s="3055">
        <v>12.72</v>
      </c>
      <c r="G382" s="3055">
        <v>15.06</v>
      </c>
      <c r="H382" s="3055">
        <v>4225.99</v>
      </c>
      <c r="I382" s="3055">
        <v>117398</v>
      </c>
      <c r="J382" s="3055" t="s">
        <v>3407</v>
      </c>
      <c r="K382" s="3055" t="s">
        <v>3408</v>
      </c>
    </row>
    <row r="383" spans="1:11">
      <c r="A383" s="3055" t="s">
        <v>3404</v>
      </c>
      <c r="B383" s="3055" t="s">
        <v>3405</v>
      </c>
      <c r="C383" s="3055">
        <v>378</v>
      </c>
      <c r="D383" s="3055" t="s">
        <v>3406</v>
      </c>
      <c r="E383" s="3055">
        <v>27.78</v>
      </c>
      <c r="F383" s="3055">
        <v>12.72</v>
      </c>
      <c r="G383" s="3055">
        <v>15.06</v>
      </c>
      <c r="H383" s="3055">
        <v>4225.99</v>
      </c>
      <c r="I383" s="3055">
        <v>117398</v>
      </c>
      <c r="J383" s="3055" t="s">
        <v>3407</v>
      </c>
      <c r="K383" s="3055" t="s">
        <v>3408</v>
      </c>
    </row>
    <row r="384" spans="1:11">
      <c r="A384" s="3055" t="s">
        <v>3404</v>
      </c>
      <c r="B384" s="3055" t="s">
        <v>3405</v>
      </c>
      <c r="C384" s="3055">
        <v>379</v>
      </c>
      <c r="D384" s="3055" t="s">
        <v>3406</v>
      </c>
      <c r="E384" s="3055">
        <v>27.78</v>
      </c>
      <c r="F384" s="3055">
        <v>12.72</v>
      </c>
      <c r="G384" s="3055">
        <v>15.06</v>
      </c>
      <c r="H384" s="3055">
        <v>4585.96</v>
      </c>
      <c r="I384" s="3055">
        <v>127398</v>
      </c>
      <c r="J384" s="3055" t="s">
        <v>3407</v>
      </c>
      <c r="K384" s="3055" t="s">
        <v>3408</v>
      </c>
    </row>
    <row r="385" spans="1:11">
      <c r="A385" s="3055" t="s">
        <v>3404</v>
      </c>
      <c r="B385" s="3055" t="s">
        <v>3405</v>
      </c>
      <c r="C385" s="3055">
        <v>380</v>
      </c>
      <c r="D385" s="3055" t="s">
        <v>3406</v>
      </c>
      <c r="E385" s="3055">
        <v>27.78</v>
      </c>
      <c r="F385" s="3055">
        <v>12.72</v>
      </c>
      <c r="G385" s="3055">
        <v>15.06</v>
      </c>
      <c r="H385" s="3055">
        <v>4585.96</v>
      </c>
      <c r="I385" s="3055">
        <v>127398</v>
      </c>
      <c r="J385" s="3055" t="s">
        <v>3407</v>
      </c>
      <c r="K385" s="3055" t="s">
        <v>3408</v>
      </c>
    </row>
    <row r="386" spans="1:11">
      <c r="A386" s="3055" t="s">
        <v>3404</v>
      </c>
      <c r="B386" s="3055" t="s">
        <v>3405</v>
      </c>
      <c r="C386" s="3055">
        <v>381</v>
      </c>
      <c r="D386" s="3055" t="s">
        <v>3406</v>
      </c>
      <c r="E386" s="3055">
        <v>27.78</v>
      </c>
      <c r="F386" s="3055">
        <v>12.72</v>
      </c>
      <c r="G386" s="3055">
        <v>15.06</v>
      </c>
      <c r="H386" s="3055">
        <v>4585.96</v>
      </c>
      <c r="I386" s="3055">
        <v>127398</v>
      </c>
      <c r="J386" s="3055" t="s">
        <v>3407</v>
      </c>
      <c r="K386" s="3055" t="s">
        <v>3408</v>
      </c>
    </row>
    <row r="387" spans="1:11">
      <c r="A387" s="3055" t="s">
        <v>3404</v>
      </c>
      <c r="B387" s="3055" t="s">
        <v>3405</v>
      </c>
      <c r="C387" s="3055">
        <v>382</v>
      </c>
      <c r="D387" s="3055" t="s">
        <v>3406</v>
      </c>
      <c r="E387" s="3055">
        <v>27.78</v>
      </c>
      <c r="F387" s="3055">
        <v>12.72</v>
      </c>
      <c r="G387" s="3055">
        <v>15.06</v>
      </c>
      <c r="H387" s="3055">
        <v>4585.96</v>
      </c>
      <c r="I387" s="3055">
        <v>127398</v>
      </c>
      <c r="J387" s="3055" t="s">
        <v>3407</v>
      </c>
      <c r="K387" s="3055" t="s">
        <v>3408</v>
      </c>
    </row>
    <row r="388" spans="1:11">
      <c r="A388" s="3055" t="s">
        <v>3404</v>
      </c>
      <c r="B388" s="3055" t="s">
        <v>3405</v>
      </c>
      <c r="C388" s="3055">
        <v>383</v>
      </c>
      <c r="D388" s="3055" t="s">
        <v>3406</v>
      </c>
      <c r="E388" s="3055">
        <v>27.78</v>
      </c>
      <c r="F388" s="3055">
        <v>12.72</v>
      </c>
      <c r="G388" s="3055">
        <v>15.06</v>
      </c>
      <c r="H388" s="3055">
        <v>4585.96</v>
      </c>
      <c r="I388" s="3055">
        <v>127398</v>
      </c>
      <c r="J388" s="3055" t="s">
        <v>3407</v>
      </c>
      <c r="K388" s="3055" t="s">
        <v>3408</v>
      </c>
    </row>
    <row r="389" spans="1:11">
      <c r="A389" s="3055" t="s">
        <v>3404</v>
      </c>
      <c r="B389" s="3055" t="s">
        <v>3405</v>
      </c>
      <c r="C389" s="3055">
        <v>384</v>
      </c>
      <c r="D389" s="3055" t="s">
        <v>3409</v>
      </c>
      <c r="E389" s="3055">
        <v>19.22</v>
      </c>
      <c r="F389" s="3055">
        <v>8.8000000000000007</v>
      </c>
      <c r="G389" s="3055">
        <v>10.42</v>
      </c>
      <c r="H389" s="3055">
        <v>4547.24</v>
      </c>
      <c r="I389" s="3055">
        <v>87398</v>
      </c>
      <c r="J389" s="3055" t="s">
        <v>3407</v>
      </c>
      <c r="K389" s="3055" t="s">
        <v>3408</v>
      </c>
    </row>
    <row r="390" spans="1:11">
      <c r="A390" s="3055" t="s">
        <v>3404</v>
      </c>
      <c r="B390" s="3055" t="s">
        <v>3405</v>
      </c>
      <c r="C390" s="3055">
        <v>385</v>
      </c>
      <c r="D390" s="3055" t="s">
        <v>3406</v>
      </c>
      <c r="E390" s="3055">
        <v>27.78</v>
      </c>
      <c r="F390" s="3055">
        <v>12.72</v>
      </c>
      <c r="G390" s="3055">
        <v>15.06</v>
      </c>
      <c r="H390" s="3055">
        <v>4225.99</v>
      </c>
      <c r="I390" s="3055">
        <v>117398</v>
      </c>
      <c r="J390" s="3055" t="s">
        <v>3407</v>
      </c>
      <c r="K390" s="3055" t="s">
        <v>3408</v>
      </c>
    </row>
    <row r="391" spans="1:11">
      <c r="A391" s="3055" t="s">
        <v>3404</v>
      </c>
      <c r="B391" s="3055" t="s">
        <v>3405</v>
      </c>
      <c r="C391" s="3055">
        <v>386</v>
      </c>
      <c r="D391" s="3055" t="s">
        <v>3406</v>
      </c>
      <c r="E391" s="3055">
        <v>27.78</v>
      </c>
      <c r="F391" s="3055">
        <v>12.72</v>
      </c>
      <c r="G391" s="3055">
        <v>15.06</v>
      </c>
      <c r="H391" s="3055">
        <v>4585.96</v>
      </c>
      <c r="I391" s="3055">
        <v>127398</v>
      </c>
      <c r="J391" s="3055" t="s">
        <v>3407</v>
      </c>
      <c r="K391" s="3055" t="s">
        <v>3408</v>
      </c>
    </row>
    <row r="392" spans="1:11">
      <c r="A392" s="3055" t="s">
        <v>3404</v>
      </c>
      <c r="B392" s="3055" t="s">
        <v>3405</v>
      </c>
      <c r="C392" s="3055">
        <v>387</v>
      </c>
      <c r="D392" s="3055" t="s">
        <v>3406</v>
      </c>
      <c r="E392" s="3055">
        <v>27.78</v>
      </c>
      <c r="F392" s="3055">
        <v>12.72</v>
      </c>
      <c r="G392" s="3055">
        <v>15.06</v>
      </c>
      <c r="H392" s="3055">
        <v>4585.96</v>
      </c>
      <c r="I392" s="3055">
        <v>127398</v>
      </c>
      <c r="J392" s="3055" t="s">
        <v>3407</v>
      </c>
      <c r="K392" s="3055" t="s">
        <v>3408</v>
      </c>
    </row>
    <row r="393" spans="1:11">
      <c r="A393" s="3055" t="s">
        <v>3404</v>
      </c>
      <c r="B393" s="3055" t="s">
        <v>3405</v>
      </c>
      <c r="C393" s="3055">
        <v>388</v>
      </c>
      <c r="D393" s="3055" t="s">
        <v>3406</v>
      </c>
      <c r="E393" s="3055">
        <v>27.78</v>
      </c>
      <c r="F393" s="3055">
        <v>12.72</v>
      </c>
      <c r="G393" s="3055">
        <v>15.06</v>
      </c>
      <c r="H393" s="3055">
        <v>4585.96</v>
      </c>
      <c r="I393" s="3055">
        <v>127398</v>
      </c>
      <c r="J393" s="3055" t="s">
        <v>3407</v>
      </c>
      <c r="K393" s="3055" t="s">
        <v>3408</v>
      </c>
    </row>
    <row r="394" spans="1:11">
      <c r="A394" s="3055" t="s">
        <v>3404</v>
      </c>
      <c r="B394" s="3055" t="s">
        <v>3405</v>
      </c>
      <c r="C394" s="3055">
        <v>389</v>
      </c>
      <c r="D394" s="3055" t="s">
        <v>3406</v>
      </c>
      <c r="E394" s="3055">
        <v>27.78</v>
      </c>
      <c r="F394" s="3055">
        <v>12.72</v>
      </c>
      <c r="G394" s="3055">
        <v>15.06</v>
      </c>
      <c r="H394" s="3055">
        <v>4585.96</v>
      </c>
      <c r="I394" s="3055">
        <v>127398</v>
      </c>
      <c r="J394" s="3055" t="s">
        <v>3407</v>
      </c>
      <c r="K394" s="3055" t="s">
        <v>3408</v>
      </c>
    </row>
    <row r="395" spans="1:11">
      <c r="A395" s="3055" t="s">
        <v>3404</v>
      </c>
      <c r="B395" s="3055" t="s">
        <v>3405</v>
      </c>
      <c r="C395" s="3055">
        <v>390</v>
      </c>
      <c r="D395" s="3055" t="s">
        <v>3406</v>
      </c>
      <c r="E395" s="3055">
        <v>27.78</v>
      </c>
      <c r="F395" s="3055">
        <v>12.72</v>
      </c>
      <c r="G395" s="3055">
        <v>15.06</v>
      </c>
      <c r="H395" s="3055">
        <v>4585.96</v>
      </c>
      <c r="I395" s="3055">
        <v>127398</v>
      </c>
      <c r="J395" s="3055" t="s">
        <v>3407</v>
      </c>
      <c r="K395" s="3055" t="s">
        <v>3408</v>
      </c>
    </row>
    <row r="396" spans="1:11">
      <c r="A396" s="3055" t="s">
        <v>3404</v>
      </c>
      <c r="B396" s="3055" t="s">
        <v>3405</v>
      </c>
      <c r="C396" s="3055">
        <v>391</v>
      </c>
      <c r="D396" s="3055" t="s">
        <v>3406</v>
      </c>
      <c r="E396" s="3055">
        <v>27.78</v>
      </c>
      <c r="F396" s="3055">
        <v>12.72</v>
      </c>
      <c r="G396" s="3055">
        <v>15.06</v>
      </c>
      <c r="H396" s="3055">
        <v>4585.96</v>
      </c>
      <c r="I396" s="3055">
        <v>127398</v>
      </c>
      <c r="J396" s="3055" t="s">
        <v>3407</v>
      </c>
      <c r="K396" s="3055" t="s">
        <v>3408</v>
      </c>
    </row>
    <row r="397" spans="1:11">
      <c r="A397" s="3055" t="s">
        <v>3404</v>
      </c>
      <c r="B397" s="3055" t="s">
        <v>3405</v>
      </c>
      <c r="C397" s="3055">
        <v>392</v>
      </c>
      <c r="D397" s="3055" t="s">
        <v>3406</v>
      </c>
      <c r="E397" s="3055">
        <v>27.78</v>
      </c>
      <c r="F397" s="3055">
        <v>12.72</v>
      </c>
      <c r="G397" s="3055">
        <v>15.06</v>
      </c>
      <c r="H397" s="3055">
        <v>4585.96</v>
      </c>
      <c r="I397" s="3055">
        <v>127398</v>
      </c>
      <c r="J397" s="3055" t="s">
        <v>3407</v>
      </c>
      <c r="K397" s="3055" t="s">
        <v>3408</v>
      </c>
    </row>
    <row r="398" spans="1:11">
      <c r="A398" s="3055" t="s">
        <v>3404</v>
      </c>
      <c r="B398" s="3055" t="s">
        <v>3405</v>
      </c>
      <c r="C398" s="3055">
        <v>393</v>
      </c>
      <c r="D398" s="3055" t="s">
        <v>3406</v>
      </c>
      <c r="E398" s="3055">
        <v>27.78</v>
      </c>
      <c r="F398" s="3055">
        <v>12.72</v>
      </c>
      <c r="G398" s="3055">
        <v>15.06</v>
      </c>
      <c r="H398" s="3055">
        <v>4585.96</v>
      </c>
      <c r="I398" s="3055">
        <v>127398</v>
      </c>
      <c r="J398" s="3055" t="s">
        <v>3407</v>
      </c>
      <c r="K398" s="3055" t="s">
        <v>3408</v>
      </c>
    </row>
    <row r="399" spans="1:11">
      <c r="A399" s="3055" t="s">
        <v>3404</v>
      </c>
      <c r="B399" s="3055" t="s">
        <v>3405</v>
      </c>
      <c r="C399" s="3055">
        <v>394</v>
      </c>
      <c r="D399" s="3055" t="s">
        <v>3406</v>
      </c>
      <c r="E399" s="3055">
        <v>27.78</v>
      </c>
      <c r="F399" s="3055">
        <v>12.72</v>
      </c>
      <c r="G399" s="3055">
        <v>15.06</v>
      </c>
      <c r="H399" s="3055">
        <v>4585.96</v>
      </c>
      <c r="I399" s="3055">
        <v>127398</v>
      </c>
      <c r="J399" s="3055" t="s">
        <v>3407</v>
      </c>
      <c r="K399" s="3055" t="s">
        <v>3408</v>
      </c>
    </row>
    <row r="400" spans="1:11">
      <c r="A400" s="3055" t="s">
        <v>3404</v>
      </c>
      <c r="B400" s="3055" t="s">
        <v>3405</v>
      </c>
      <c r="C400" s="3055">
        <v>395</v>
      </c>
      <c r="D400" s="3055" t="s">
        <v>3406</v>
      </c>
      <c r="E400" s="3055">
        <v>27.78</v>
      </c>
      <c r="F400" s="3055">
        <v>12.72</v>
      </c>
      <c r="G400" s="3055">
        <v>15.06</v>
      </c>
      <c r="H400" s="3055">
        <v>4585.96</v>
      </c>
      <c r="I400" s="3055">
        <v>127398</v>
      </c>
      <c r="J400" s="3055" t="s">
        <v>3407</v>
      </c>
      <c r="K400" s="3055" t="s">
        <v>3408</v>
      </c>
    </row>
    <row r="401" spans="1:11">
      <c r="A401" s="3055" t="s">
        <v>3404</v>
      </c>
      <c r="B401" s="3055" t="s">
        <v>3405</v>
      </c>
      <c r="C401" s="3055">
        <v>396</v>
      </c>
      <c r="D401" s="3055" t="s">
        <v>3406</v>
      </c>
      <c r="E401" s="3055">
        <v>27.78</v>
      </c>
      <c r="F401" s="3055">
        <v>12.72</v>
      </c>
      <c r="G401" s="3055">
        <v>15.06</v>
      </c>
      <c r="H401" s="3055">
        <v>4585.96</v>
      </c>
      <c r="I401" s="3055">
        <v>127398</v>
      </c>
      <c r="J401" s="3055" t="s">
        <v>3407</v>
      </c>
      <c r="K401" s="3055" t="s">
        <v>3408</v>
      </c>
    </row>
    <row r="402" spans="1:11">
      <c r="A402" s="3055" t="s">
        <v>3404</v>
      </c>
      <c r="B402" s="3055" t="s">
        <v>3405</v>
      </c>
      <c r="C402" s="3055">
        <v>397</v>
      </c>
      <c r="D402" s="3055" t="s">
        <v>3406</v>
      </c>
      <c r="E402" s="3055">
        <v>27.78</v>
      </c>
      <c r="F402" s="3055">
        <v>12.72</v>
      </c>
      <c r="G402" s="3055">
        <v>15.06</v>
      </c>
      <c r="H402" s="3055">
        <v>4585.96</v>
      </c>
      <c r="I402" s="3055">
        <v>127398</v>
      </c>
      <c r="J402" s="3055" t="s">
        <v>3407</v>
      </c>
      <c r="K402" s="3055" t="s">
        <v>3408</v>
      </c>
    </row>
    <row r="403" spans="1:11">
      <c r="A403" s="3055" t="s">
        <v>3404</v>
      </c>
      <c r="B403" s="3055" t="s">
        <v>3405</v>
      </c>
      <c r="C403" s="3055">
        <v>398</v>
      </c>
      <c r="D403" s="3055" t="s">
        <v>3406</v>
      </c>
      <c r="E403" s="3055">
        <v>27.78</v>
      </c>
      <c r="F403" s="3055">
        <v>12.72</v>
      </c>
      <c r="G403" s="3055">
        <v>15.06</v>
      </c>
      <c r="H403" s="3055">
        <v>4585.96</v>
      </c>
      <c r="I403" s="3055">
        <v>127398</v>
      </c>
      <c r="J403" s="3055" t="s">
        <v>3407</v>
      </c>
      <c r="K403" s="3055" t="s">
        <v>3408</v>
      </c>
    </row>
    <row r="404" spans="1:11">
      <c r="A404" s="3055" t="s">
        <v>3404</v>
      </c>
      <c r="B404" s="3055" t="s">
        <v>3405</v>
      </c>
      <c r="C404" s="3055">
        <v>399</v>
      </c>
      <c r="D404" s="3055" t="s">
        <v>3406</v>
      </c>
      <c r="E404" s="3055">
        <v>27.78</v>
      </c>
      <c r="F404" s="3055">
        <v>12.72</v>
      </c>
      <c r="G404" s="3055">
        <v>15.06</v>
      </c>
      <c r="H404" s="3055">
        <v>4585.96</v>
      </c>
      <c r="I404" s="3055">
        <v>127398</v>
      </c>
      <c r="J404" s="3055" t="s">
        <v>3407</v>
      </c>
      <c r="K404" s="3055" t="s">
        <v>3408</v>
      </c>
    </row>
    <row r="405" spans="1:11">
      <c r="A405" s="3055" t="s">
        <v>3404</v>
      </c>
      <c r="B405" s="3055" t="s">
        <v>3405</v>
      </c>
      <c r="C405" s="3055">
        <v>400</v>
      </c>
      <c r="D405" s="3055" t="s">
        <v>3406</v>
      </c>
      <c r="E405" s="3055">
        <v>27.78</v>
      </c>
      <c r="F405" s="3055">
        <v>12.72</v>
      </c>
      <c r="G405" s="3055">
        <v>15.06</v>
      </c>
      <c r="H405" s="3055">
        <v>4585.96</v>
      </c>
      <c r="I405" s="3055">
        <v>127398</v>
      </c>
      <c r="J405" s="3055" t="s">
        <v>3407</v>
      </c>
      <c r="K405" s="3055" t="s">
        <v>3408</v>
      </c>
    </row>
    <row r="406" spans="1:11">
      <c r="A406" s="3055" t="s">
        <v>3404</v>
      </c>
      <c r="B406" s="3055" t="s">
        <v>3405</v>
      </c>
      <c r="C406" s="3055">
        <v>401</v>
      </c>
      <c r="D406" s="3055" t="s">
        <v>3406</v>
      </c>
      <c r="E406" s="3055">
        <v>27.78</v>
      </c>
      <c r="F406" s="3055">
        <v>12.72</v>
      </c>
      <c r="G406" s="3055">
        <v>15.06</v>
      </c>
      <c r="H406" s="3055">
        <v>4585.96</v>
      </c>
      <c r="I406" s="3055">
        <v>127398</v>
      </c>
      <c r="J406" s="3055" t="s">
        <v>3407</v>
      </c>
      <c r="K406" s="3055" t="s">
        <v>3408</v>
      </c>
    </row>
    <row r="407" spans="1:11">
      <c r="A407" s="3055" t="s">
        <v>3404</v>
      </c>
      <c r="B407" s="3055" t="s">
        <v>3405</v>
      </c>
      <c r="C407" s="3055">
        <v>402</v>
      </c>
      <c r="D407" s="3055" t="s">
        <v>3406</v>
      </c>
      <c r="E407" s="3055">
        <v>27.78</v>
      </c>
      <c r="F407" s="3055">
        <v>12.72</v>
      </c>
      <c r="G407" s="3055">
        <v>15.06</v>
      </c>
      <c r="H407" s="3055">
        <v>4585.96</v>
      </c>
      <c r="I407" s="3055">
        <v>127398</v>
      </c>
      <c r="J407" s="3055" t="s">
        <v>3407</v>
      </c>
      <c r="K407" s="3055" t="s">
        <v>3408</v>
      </c>
    </row>
    <row r="408" spans="1:11">
      <c r="A408" s="3055" t="s">
        <v>3404</v>
      </c>
      <c r="B408" s="3055" t="s">
        <v>3405</v>
      </c>
      <c r="C408" s="3055">
        <v>403</v>
      </c>
      <c r="D408" s="3055" t="s">
        <v>3406</v>
      </c>
      <c r="E408" s="3055">
        <v>27.78</v>
      </c>
      <c r="F408" s="3055">
        <v>12.72</v>
      </c>
      <c r="G408" s="3055">
        <v>15.06</v>
      </c>
      <c r="H408" s="3055">
        <v>4585.96</v>
      </c>
      <c r="I408" s="3055">
        <v>127398</v>
      </c>
      <c r="J408" s="3055" t="s">
        <v>3407</v>
      </c>
      <c r="K408" s="3055" t="s">
        <v>3408</v>
      </c>
    </row>
    <row r="409" spans="1:11">
      <c r="A409" s="3055" t="s">
        <v>3404</v>
      </c>
      <c r="B409" s="3055" t="s">
        <v>3405</v>
      </c>
      <c r="C409" s="3055">
        <v>404</v>
      </c>
      <c r="D409" s="3055" t="s">
        <v>3406</v>
      </c>
      <c r="E409" s="3055">
        <v>27.78</v>
      </c>
      <c r="F409" s="3055">
        <v>12.72</v>
      </c>
      <c r="G409" s="3055">
        <v>15.06</v>
      </c>
      <c r="H409" s="3055">
        <v>4585.96</v>
      </c>
      <c r="I409" s="3055">
        <v>127398</v>
      </c>
      <c r="J409" s="3055" t="s">
        <v>3407</v>
      </c>
      <c r="K409" s="3055" t="s">
        <v>3408</v>
      </c>
    </row>
    <row r="410" spans="1:11">
      <c r="A410" s="3055" t="s">
        <v>3404</v>
      </c>
      <c r="B410" s="3055" t="s">
        <v>3405</v>
      </c>
      <c r="C410" s="3055">
        <v>405</v>
      </c>
      <c r="D410" s="3055" t="s">
        <v>3406</v>
      </c>
      <c r="E410" s="3055">
        <v>27.78</v>
      </c>
      <c r="F410" s="3055">
        <v>12.72</v>
      </c>
      <c r="G410" s="3055">
        <v>15.06</v>
      </c>
      <c r="H410" s="3055">
        <v>4585.96</v>
      </c>
      <c r="I410" s="3055">
        <v>127398</v>
      </c>
      <c r="J410" s="3055" t="s">
        <v>3407</v>
      </c>
      <c r="K410" s="3055" t="s">
        <v>3408</v>
      </c>
    </row>
    <row r="411" spans="1:11">
      <c r="A411" s="3055" t="s">
        <v>3404</v>
      </c>
      <c r="B411" s="3055" t="s">
        <v>3405</v>
      </c>
      <c r="C411" s="3055">
        <v>406</v>
      </c>
      <c r="D411" s="3055" t="s">
        <v>3406</v>
      </c>
      <c r="E411" s="3055">
        <v>27.78</v>
      </c>
      <c r="F411" s="3055">
        <v>12.72</v>
      </c>
      <c r="G411" s="3055">
        <v>15.06</v>
      </c>
      <c r="H411" s="3055">
        <v>4585.96</v>
      </c>
      <c r="I411" s="3055">
        <v>127398</v>
      </c>
      <c r="J411" s="3055" t="s">
        <v>3407</v>
      </c>
      <c r="K411" s="3055" t="s">
        <v>3408</v>
      </c>
    </row>
    <row r="412" spans="1:11">
      <c r="A412" s="3055" t="s">
        <v>3404</v>
      </c>
      <c r="B412" s="3055" t="s">
        <v>3405</v>
      </c>
      <c r="C412" s="3055">
        <v>407</v>
      </c>
      <c r="D412" s="3055" t="s">
        <v>3406</v>
      </c>
      <c r="E412" s="3055">
        <v>27.78</v>
      </c>
      <c r="F412" s="3055">
        <v>12.72</v>
      </c>
      <c r="G412" s="3055">
        <v>15.06</v>
      </c>
      <c r="H412" s="3055">
        <v>4585.96</v>
      </c>
      <c r="I412" s="3055">
        <v>127398</v>
      </c>
      <c r="J412" s="3055" t="s">
        <v>3407</v>
      </c>
      <c r="K412" s="3055" t="s">
        <v>3408</v>
      </c>
    </row>
    <row r="413" spans="1:11">
      <c r="A413" s="3055" t="s">
        <v>3404</v>
      </c>
      <c r="B413" s="3055" t="s">
        <v>3405</v>
      </c>
      <c r="C413" s="3055">
        <v>408</v>
      </c>
      <c r="D413" s="3055" t="s">
        <v>3406</v>
      </c>
      <c r="E413" s="3055">
        <v>27.78</v>
      </c>
      <c r="F413" s="3055">
        <v>12.72</v>
      </c>
      <c r="G413" s="3055">
        <v>15.06</v>
      </c>
      <c r="H413" s="3055">
        <v>4585.96</v>
      </c>
      <c r="I413" s="3055">
        <v>127398</v>
      </c>
      <c r="J413" s="3055" t="s">
        <v>3407</v>
      </c>
      <c r="K413" s="3055" t="s">
        <v>3408</v>
      </c>
    </row>
    <row r="414" spans="1:11">
      <c r="A414" s="3055" t="s">
        <v>3404</v>
      </c>
      <c r="B414" s="3055" t="s">
        <v>3405</v>
      </c>
      <c r="C414" s="3055">
        <v>409</v>
      </c>
      <c r="D414" s="3055" t="s">
        <v>3406</v>
      </c>
      <c r="E414" s="3055">
        <v>27.78</v>
      </c>
      <c r="F414" s="3055">
        <v>12.72</v>
      </c>
      <c r="G414" s="3055">
        <v>15.06</v>
      </c>
      <c r="H414" s="3055">
        <v>4585.96</v>
      </c>
      <c r="I414" s="3055">
        <v>127398</v>
      </c>
      <c r="J414" s="3055" t="s">
        <v>3407</v>
      </c>
      <c r="K414" s="3055" t="s">
        <v>3408</v>
      </c>
    </row>
    <row r="415" spans="1:11">
      <c r="A415" s="3055" t="s">
        <v>3404</v>
      </c>
      <c r="B415" s="3055" t="s">
        <v>3405</v>
      </c>
      <c r="C415" s="3055">
        <v>410</v>
      </c>
      <c r="D415" s="3055" t="s">
        <v>3406</v>
      </c>
      <c r="E415" s="3055">
        <v>27.78</v>
      </c>
      <c r="F415" s="3055">
        <v>12.72</v>
      </c>
      <c r="G415" s="3055">
        <v>15.06</v>
      </c>
      <c r="H415" s="3055">
        <v>4585.96</v>
      </c>
      <c r="I415" s="3055">
        <v>127398</v>
      </c>
      <c r="J415" s="3055" t="s">
        <v>3407</v>
      </c>
      <c r="K415" s="3055" t="s">
        <v>3408</v>
      </c>
    </row>
    <row r="416" spans="1:11">
      <c r="A416" s="3055" t="s">
        <v>3404</v>
      </c>
      <c r="B416" s="3055" t="s">
        <v>3405</v>
      </c>
      <c r="C416" s="3055">
        <v>411</v>
      </c>
      <c r="D416" s="3055" t="s">
        <v>3406</v>
      </c>
      <c r="E416" s="3055">
        <v>27.78</v>
      </c>
      <c r="F416" s="3055">
        <v>12.72</v>
      </c>
      <c r="G416" s="3055">
        <v>15.06</v>
      </c>
      <c r="H416" s="3055">
        <v>4585.96</v>
      </c>
      <c r="I416" s="3055">
        <v>127398</v>
      </c>
      <c r="J416" s="3055" t="s">
        <v>3407</v>
      </c>
      <c r="K416" s="3055" t="s">
        <v>3408</v>
      </c>
    </row>
    <row r="417" spans="1:11">
      <c r="A417" s="3055" t="s">
        <v>3404</v>
      </c>
      <c r="B417" s="3055" t="s">
        <v>3405</v>
      </c>
      <c r="C417" s="3055">
        <v>412</v>
      </c>
      <c r="D417" s="3055" t="s">
        <v>3406</v>
      </c>
      <c r="E417" s="3055">
        <v>27.78</v>
      </c>
      <c r="F417" s="3055">
        <v>12.72</v>
      </c>
      <c r="G417" s="3055">
        <v>15.06</v>
      </c>
      <c r="H417" s="3055">
        <v>4585.96</v>
      </c>
      <c r="I417" s="3055">
        <v>127398</v>
      </c>
      <c r="J417" s="3055" t="s">
        <v>3407</v>
      </c>
      <c r="K417" s="3055" t="s">
        <v>3408</v>
      </c>
    </row>
    <row r="418" spans="1:11">
      <c r="A418" s="3055" t="s">
        <v>3404</v>
      </c>
      <c r="B418" s="3055" t="s">
        <v>3405</v>
      </c>
      <c r="C418" s="3055">
        <v>413</v>
      </c>
      <c r="D418" s="3055" t="s">
        <v>3406</v>
      </c>
      <c r="E418" s="3055">
        <v>27.78</v>
      </c>
      <c r="F418" s="3055">
        <v>12.72</v>
      </c>
      <c r="G418" s="3055">
        <v>15.06</v>
      </c>
      <c r="H418" s="3055">
        <v>4585.96</v>
      </c>
      <c r="I418" s="3055">
        <v>127398</v>
      </c>
      <c r="J418" s="3055" t="s">
        <v>3407</v>
      </c>
      <c r="K418" s="3055" t="s">
        <v>3408</v>
      </c>
    </row>
    <row r="419" spans="1:11">
      <c r="A419" s="3055" t="s">
        <v>3404</v>
      </c>
      <c r="B419" s="3055" t="s">
        <v>3405</v>
      </c>
      <c r="C419" s="3055">
        <v>414</v>
      </c>
      <c r="D419" s="3055" t="s">
        <v>3406</v>
      </c>
      <c r="E419" s="3055">
        <v>27.78</v>
      </c>
      <c r="F419" s="3055">
        <v>12.72</v>
      </c>
      <c r="G419" s="3055">
        <v>15.06</v>
      </c>
      <c r="H419" s="3055">
        <v>4585.96</v>
      </c>
      <c r="I419" s="3055">
        <v>127398</v>
      </c>
      <c r="J419" s="3055" t="s">
        <v>3407</v>
      </c>
      <c r="K419" s="3055" t="s">
        <v>3408</v>
      </c>
    </row>
    <row r="420" spans="1:11">
      <c r="A420" s="3055" t="s">
        <v>3404</v>
      </c>
      <c r="B420" s="3055" t="s">
        <v>3405</v>
      </c>
      <c r="C420" s="3055">
        <v>415</v>
      </c>
      <c r="D420" s="3055" t="s">
        <v>3406</v>
      </c>
      <c r="E420" s="3055">
        <v>27.78</v>
      </c>
      <c r="F420" s="3055">
        <v>12.72</v>
      </c>
      <c r="G420" s="3055">
        <v>15.06</v>
      </c>
      <c r="H420" s="3055">
        <v>4585.96</v>
      </c>
      <c r="I420" s="3055">
        <v>127398</v>
      </c>
      <c r="J420" s="3055" t="s">
        <v>3407</v>
      </c>
      <c r="K420" s="3055" t="s">
        <v>3408</v>
      </c>
    </row>
    <row r="421" spans="1:11">
      <c r="A421" s="3055" t="s">
        <v>3404</v>
      </c>
      <c r="B421" s="3055" t="s">
        <v>3405</v>
      </c>
      <c r="C421" s="3055">
        <v>416</v>
      </c>
      <c r="D421" s="3055" t="s">
        <v>3406</v>
      </c>
      <c r="E421" s="3055">
        <v>27.78</v>
      </c>
      <c r="F421" s="3055">
        <v>12.72</v>
      </c>
      <c r="G421" s="3055">
        <v>15.06</v>
      </c>
      <c r="H421" s="3055">
        <v>4585.96</v>
      </c>
      <c r="I421" s="3055">
        <v>127398</v>
      </c>
      <c r="J421" s="3055" t="s">
        <v>3407</v>
      </c>
      <c r="K421" s="3055" t="s">
        <v>3408</v>
      </c>
    </row>
    <row r="422" spans="1:11">
      <c r="A422" s="3055" t="s">
        <v>3404</v>
      </c>
      <c r="B422" s="3055" t="s">
        <v>3405</v>
      </c>
      <c r="C422" s="3055">
        <v>417</v>
      </c>
      <c r="D422" s="3055" t="s">
        <v>3406</v>
      </c>
      <c r="E422" s="3055">
        <v>27.78</v>
      </c>
      <c r="F422" s="3055">
        <v>12.72</v>
      </c>
      <c r="G422" s="3055">
        <v>15.06</v>
      </c>
      <c r="H422" s="3055">
        <v>4585.96</v>
      </c>
      <c r="I422" s="3055">
        <v>127398</v>
      </c>
      <c r="J422" s="3055" t="s">
        <v>3407</v>
      </c>
      <c r="K422" s="3055" t="s">
        <v>3408</v>
      </c>
    </row>
    <row r="423" spans="1:11">
      <c r="A423" s="3055" t="s">
        <v>3404</v>
      </c>
      <c r="B423" s="3055" t="s">
        <v>3405</v>
      </c>
      <c r="C423" s="3055">
        <v>418</v>
      </c>
      <c r="D423" s="3055" t="s">
        <v>3406</v>
      </c>
      <c r="E423" s="3055">
        <v>27.78</v>
      </c>
      <c r="F423" s="3055">
        <v>12.72</v>
      </c>
      <c r="G423" s="3055">
        <v>15.06</v>
      </c>
      <c r="H423" s="3055">
        <v>4585.96</v>
      </c>
      <c r="I423" s="3055">
        <v>127398</v>
      </c>
      <c r="J423" s="3055" t="s">
        <v>3407</v>
      </c>
      <c r="K423" s="3055" t="s">
        <v>3408</v>
      </c>
    </row>
    <row r="424" spans="1:11">
      <c r="A424" s="3055" t="s">
        <v>3404</v>
      </c>
      <c r="B424" s="3055" t="s">
        <v>3405</v>
      </c>
      <c r="C424" s="3055">
        <v>419</v>
      </c>
      <c r="D424" s="3055" t="s">
        <v>3406</v>
      </c>
      <c r="E424" s="3055">
        <v>27.78</v>
      </c>
      <c r="F424" s="3055">
        <v>12.72</v>
      </c>
      <c r="G424" s="3055">
        <v>15.06</v>
      </c>
      <c r="H424" s="3055">
        <v>4585.96</v>
      </c>
      <c r="I424" s="3055">
        <v>127398</v>
      </c>
      <c r="J424" s="3055" t="s">
        <v>3407</v>
      </c>
      <c r="K424" s="3055" t="s">
        <v>3408</v>
      </c>
    </row>
    <row r="425" spans="1:11">
      <c r="A425" s="3055" t="s">
        <v>3404</v>
      </c>
      <c r="B425" s="3055" t="s">
        <v>3405</v>
      </c>
      <c r="C425" s="3055">
        <v>420</v>
      </c>
      <c r="D425" s="3055" t="s">
        <v>3406</v>
      </c>
      <c r="E425" s="3055">
        <v>27.78</v>
      </c>
      <c r="F425" s="3055">
        <v>12.72</v>
      </c>
      <c r="G425" s="3055">
        <v>15.06</v>
      </c>
      <c r="H425" s="3055">
        <v>4585.96</v>
      </c>
      <c r="I425" s="3055">
        <v>127398</v>
      </c>
      <c r="J425" s="3055" t="s">
        <v>3407</v>
      </c>
      <c r="K425" s="3055" t="s">
        <v>3408</v>
      </c>
    </row>
    <row r="426" spans="1:11">
      <c r="A426" s="3055" t="s">
        <v>3404</v>
      </c>
      <c r="B426" s="3055" t="s">
        <v>3405</v>
      </c>
      <c r="C426" s="3055">
        <v>421</v>
      </c>
      <c r="D426" s="3055" t="s">
        <v>3406</v>
      </c>
      <c r="E426" s="3055">
        <v>27.78</v>
      </c>
      <c r="F426" s="3055">
        <v>12.72</v>
      </c>
      <c r="G426" s="3055">
        <v>15.06</v>
      </c>
      <c r="H426" s="3055">
        <v>4585.96</v>
      </c>
      <c r="I426" s="3055">
        <v>127398</v>
      </c>
      <c r="J426" s="3055" t="s">
        <v>3407</v>
      </c>
      <c r="K426" s="3055" t="s">
        <v>3408</v>
      </c>
    </row>
    <row r="427" spans="1:11">
      <c r="A427" s="3055" t="s">
        <v>3404</v>
      </c>
      <c r="B427" s="3055" t="s">
        <v>3405</v>
      </c>
      <c r="C427" s="3055">
        <v>422</v>
      </c>
      <c r="D427" s="3055" t="s">
        <v>3406</v>
      </c>
      <c r="E427" s="3055">
        <v>27.78</v>
      </c>
      <c r="F427" s="3055">
        <v>12.72</v>
      </c>
      <c r="G427" s="3055">
        <v>15.06</v>
      </c>
      <c r="H427" s="3055">
        <v>4585.96</v>
      </c>
      <c r="I427" s="3055">
        <v>127398</v>
      </c>
      <c r="J427" s="3055" t="s">
        <v>3407</v>
      </c>
      <c r="K427" s="3055" t="s">
        <v>3408</v>
      </c>
    </row>
    <row r="428" spans="1:11">
      <c r="A428" s="3055" t="s">
        <v>3404</v>
      </c>
      <c r="B428" s="3055" t="s">
        <v>3405</v>
      </c>
      <c r="C428" s="3055">
        <v>423</v>
      </c>
      <c r="D428" s="3055" t="s">
        <v>3406</v>
      </c>
      <c r="E428" s="3055">
        <v>27.78</v>
      </c>
      <c r="F428" s="3055">
        <v>12.72</v>
      </c>
      <c r="G428" s="3055">
        <v>15.06</v>
      </c>
      <c r="H428" s="3055">
        <v>4585.96</v>
      </c>
      <c r="I428" s="3055">
        <v>127398</v>
      </c>
      <c r="J428" s="3055" t="s">
        <v>3407</v>
      </c>
      <c r="K428" s="3055" t="s">
        <v>3408</v>
      </c>
    </row>
    <row r="429" spans="1:11">
      <c r="A429" s="3055" t="s">
        <v>3404</v>
      </c>
      <c r="B429" s="3055" t="s">
        <v>3405</v>
      </c>
      <c r="C429" s="3055">
        <v>424</v>
      </c>
      <c r="D429" s="3055" t="s">
        <v>3406</v>
      </c>
      <c r="E429" s="3055">
        <v>27.78</v>
      </c>
      <c r="F429" s="3055">
        <v>12.72</v>
      </c>
      <c r="G429" s="3055">
        <v>15.06</v>
      </c>
      <c r="H429" s="3055">
        <v>4585.96</v>
      </c>
      <c r="I429" s="3055">
        <v>127398</v>
      </c>
      <c r="J429" s="3055" t="s">
        <v>3407</v>
      </c>
      <c r="K429" s="3055" t="s">
        <v>3408</v>
      </c>
    </row>
    <row r="430" spans="1:11">
      <c r="A430" s="3055" t="s">
        <v>3404</v>
      </c>
      <c r="B430" s="3055" t="s">
        <v>3405</v>
      </c>
      <c r="C430" s="3055">
        <v>425</v>
      </c>
      <c r="D430" s="3055" t="s">
        <v>3406</v>
      </c>
      <c r="E430" s="3055">
        <v>27.78</v>
      </c>
      <c r="F430" s="3055">
        <v>12.72</v>
      </c>
      <c r="G430" s="3055">
        <v>15.06</v>
      </c>
      <c r="H430" s="3055">
        <v>4585.96</v>
      </c>
      <c r="I430" s="3055">
        <v>127398</v>
      </c>
      <c r="J430" s="3055" t="s">
        <v>3407</v>
      </c>
      <c r="K430" s="3055" t="s">
        <v>3408</v>
      </c>
    </row>
    <row r="431" spans="1:11">
      <c r="A431" s="3055" t="s">
        <v>3404</v>
      </c>
      <c r="B431" s="3055" t="s">
        <v>3405</v>
      </c>
      <c r="C431" s="3055">
        <v>426</v>
      </c>
      <c r="D431" s="3055" t="s">
        <v>3406</v>
      </c>
      <c r="E431" s="3055">
        <v>27.78</v>
      </c>
      <c r="F431" s="3055">
        <v>12.72</v>
      </c>
      <c r="G431" s="3055">
        <v>15.06</v>
      </c>
      <c r="H431" s="3055">
        <v>4585.96</v>
      </c>
      <c r="I431" s="3055">
        <v>127398</v>
      </c>
      <c r="J431" s="3055" t="s">
        <v>3407</v>
      </c>
      <c r="K431" s="3055" t="s">
        <v>3408</v>
      </c>
    </row>
    <row r="432" spans="1:11">
      <c r="A432" s="3055" t="s">
        <v>3404</v>
      </c>
      <c r="B432" s="3055" t="s">
        <v>3405</v>
      </c>
      <c r="C432" s="3055">
        <v>427</v>
      </c>
      <c r="D432" s="3055" t="s">
        <v>3406</v>
      </c>
      <c r="E432" s="3055">
        <v>27.78</v>
      </c>
      <c r="F432" s="3055">
        <v>12.72</v>
      </c>
      <c r="G432" s="3055">
        <v>15.06</v>
      </c>
      <c r="H432" s="3055">
        <v>4585.96</v>
      </c>
      <c r="I432" s="3055">
        <v>127398</v>
      </c>
      <c r="J432" s="3055" t="s">
        <v>3407</v>
      </c>
      <c r="K432" s="3055" t="s">
        <v>3408</v>
      </c>
    </row>
    <row r="433" spans="1:11">
      <c r="A433" s="3055" t="s">
        <v>3404</v>
      </c>
      <c r="B433" s="3055" t="s">
        <v>3405</v>
      </c>
      <c r="C433" s="3055">
        <v>428</v>
      </c>
      <c r="D433" s="3055" t="s">
        <v>3406</v>
      </c>
      <c r="E433" s="3055">
        <v>27.78</v>
      </c>
      <c r="F433" s="3055">
        <v>12.72</v>
      </c>
      <c r="G433" s="3055">
        <v>15.06</v>
      </c>
      <c r="H433" s="3055">
        <v>4585.96</v>
      </c>
      <c r="I433" s="3055">
        <v>127398</v>
      </c>
      <c r="J433" s="3055" t="s">
        <v>3407</v>
      </c>
      <c r="K433" s="3055" t="s">
        <v>3408</v>
      </c>
    </row>
    <row r="434" spans="1:11">
      <c r="A434" s="3055" t="s">
        <v>3404</v>
      </c>
      <c r="B434" s="3055" t="s">
        <v>3405</v>
      </c>
      <c r="C434" s="3055">
        <v>429</v>
      </c>
      <c r="D434" s="3055" t="s">
        <v>3406</v>
      </c>
      <c r="E434" s="3055">
        <v>27.78</v>
      </c>
      <c r="F434" s="3055">
        <v>12.72</v>
      </c>
      <c r="G434" s="3055">
        <v>15.06</v>
      </c>
      <c r="H434" s="3055">
        <v>4585.96</v>
      </c>
      <c r="I434" s="3055">
        <v>127398</v>
      </c>
      <c r="J434" s="3055" t="s">
        <v>3407</v>
      </c>
      <c r="K434" s="3055" t="s">
        <v>3408</v>
      </c>
    </row>
    <row r="435" spans="1:11">
      <c r="A435" s="3055" t="s">
        <v>3404</v>
      </c>
      <c r="B435" s="3055" t="s">
        <v>3405</v>
      </c>
      <c r="C435" s="3055">
        <v>430</v>
      </c>
      <c r="D435" s="3055" t="s">
        <v>3406</v>
      </c>
      <c r="E435" s="3055">
        <v>27.78</v>
      </c>
      <c r="F435" s="3055">
        <v>12.72</v>
      </c>
      <c r="G435" s="3055">
        <v>15.06</v>
      </c>
      <c r="H435" s="3055">
        <v>4585.96</v>
      </c>
      <c r="I435" s="3055">
        <v>127398</v>
      </c>
      <c r="J435" s="3055" t="s">
        <v>3407</v>
      </c>
      <c r="K435" s="3055" t="s">
        <v>3408</v>
      </c>
    </row>
    <row r="436" spans="1:11">
      <c r="A436" s="3055" t="s">
        <v>3404</v>
      </c>
      <c r="B436" s="3055" t="s">
        <v>3405</v>
      </c>
      <c r="C436" s="3055">
        <v>431</v>
      </c>
      <c r="D436" s="3055" t="s">
        <v>3406</v>
      </c>
      <c r="E436" s="3055">
        <v>27.78</v>
      </c>
      <c r="F436" s="3055">
        <v>12.72</v>
      </c>
      <c r="G436" s="3055">
        <v>15.06</v>
      </c>
      <c r="H436" s="3055">
        <v>4585.96</v>
      </c>
      <c r="I436" s="3055">
        <v>127398</v>
      </c>
      <c r="J436" s="3055" t="s">
        <v>3407</v>
      </c>
      <c r="K436" s="3055" t="s">
        <v>3408</v>
      </c>
    </row>
    <row r="437" spans="1:11">
      <c r="A437" s="3055" t="s">
        <v>3404</v>
      </c>
      <c r="B437" s="3055" t="s">
        <v>3405</v>
      </c>
      <c r="C437" s="3055">
        <v>432</v>
      </c>
      <c r="D437" s="3055" t="s">
        <v>3406</v>
      </c>
      <c r="E437" s="3055">
        <v>27.78</v>
      </c>
      <c r="F437" s="3055">
        <v>12.72</v>
      </c>
      <c r="G437" s="3055">
        <v>15.06</v>
      </c>
      <c r="H437" s="3055">
        <v>4585.96</v>
      </c>
      <c r="I437" s="3055">
        <v>127398</v>
      </c>
      <c r="J437" s="3055" t="s">
        <v>3407</v>
      </c>
      <c r="K437" s="3055" t="s">
        <v>3408</v>
      </c>
    </row>
    <row r="438" spans="1:11">
      <c r="A438" s="3055" t="s">
        <v>3404</v>
      </c>
      <c r="B438" s="3055" t="s">
        <v>3405</v>
      </c>
      <c r="C438" s="3055">
        <v>433</v>
      </c>
      <c r="D438" s="3055" t="s">
        <v>3406</v>
      </c>
      <c r="E438" s="3055">
        <v>27.78</v>
      </c>
      <c r="F438" s="3055">
        <v>12.72</v>
      </c>
      <c r="G438" s="3055">
        <v>15.06</v>
      </c>
      <c r="H438" s="3055">
        <v>4585.96</v>
      </c>
      <c r="I438" s="3055">
        <v>127398</v>
      </c>
      <c r="J438" s="3055" t="s">
        <v>3407</v>
      </c>
      <c r="K438" s="3055" t="s">
        <v>3408</v>
      </c>
    </row>
    <row r="439" spans="1:11">
      <c r="A439" s="3055" t="s">
        <v>3404</v>
      </c>
      <c r="B439" s="3055" t="s">
        <v>3405</v>
      </c>
      <c r="C439" s="3055">
        <v>434</v>
      </c>
      <c r="D439" s="3055" t="s">
        <v>3406</v>
      </c>
      <c r="E439" s="3055">
        <v>27.78</v>
      </c>
      <c r="F439" s="3055">
        <v>12.72</v>
      </c>
      <c r="G439" s="3055">
        <v>15.06</v>
      </c>
      <c r="H439" s="3055">
        <v>4585.96</v>
      </c>
      <c r="I439" s="3055">
        <v>127398</v>
      </c>
      <c r="J439" s="3055" t="s">
        <v>3407</v>
      </c>
      <c r="K439" s="3055" t="s">
        <v>3408</v>
      </c>
    </row>
    <row r="440" spans="1:11">
      <c r="A440" s="3055" t="s">
        <v>3404</v>
      </c>
      <c r="B440" s="3055" t="s">
        <v>3405</v>
      </c>
      <c r="C440" s="3055">
        <v>435</v>
      </c>
      <c r="D440" s="3055" t="s">
        <v>3406</v>
      </c>
      <c r="E440" s="3055">
        <v>27.78</v>
      </c>
      <c r="F440" s="3055">
        <v>12.72</v>
      </c>
      <c r="G440" s="3055">
        <v>15.06</v>
      </c>
      <c r="H440" s="3055">
        <v>4585.96</v>
      </c>
      <c r="I440" s="3055">
        <v>127398</v>
      </c>
      <c r="J440" s="3055" t="s">
        <v>3407</v>
      </c>
      <c r="K440" s="3055" t="s">
        <v>3408</v>
      </c>
    </row>
    <row r="441" spans="1:11">
      <c r="A441" s="3055" t="s">
        <v>3404</v>
      </c>
      <c r="B441" s="3055" t="s">
        <v>3405</v>
      </c>
      <c r="C441" s="3055">
        <v>436</v>
      </c>
      <c r="D441" s="3055" t="s">
        <v>3406</v>
      </c>
      <c r="E441" s="3055">
        <v>27.78</v>
      </c>
      <c r="F441" s="3055">
        <v>12.72</v>
      </c>
      <c r="G441" s="3055">
        <v>15.06</v>
      </c>
      <c r="H441" s="3055">
        <v>4585.96</v>
      </c>
      <c r="I441" s="3055">
        <v>127398</v>
      </c>
      <c r="J441" s="3055" t="s">
        <v>3407</v>
      </c>
      <c r="K441" s="3055" t="s">
        <v>3408</v>
      </c>
    </row>
    <row r="442" spans="1:11">
      <c r="A442" s="3055" t="s">
        <v>3404</v>
      </c>
      <c r="B442" s="3055" t="s">
        <v>3405</v>
      </c>
      <c r="C442" s="3055">
        <v>437</v>
      </c>
      <c r="D442" s="3055" t="s">
        <v>3406</v>
      </c>
      <c r="E442" s="3055">
        <v>27.78</v>
      </c>
      <c r="F442" s="3055">
        <v>12.72</v>
      </c>
      <c r="G442" s="3055">
        <v>15.06</v>
      </c>
      <c r="H442" s="3055">
        <v>4585.96</v>
      </c>
      <c r="I442" s="3055">
        <v>127398</v>
      </c>
      <c r="J442" s="3055" t="s">
        <v>3407</v>
      </c>
      <c r="K442" s="3055" t="s">
        <v>3408</v>
      </c>
    </row>
    <row r="443" spans="1:11">
      <c r="A443" s="3055" t="s">
        <v>3404</v>
      </c>
      <c r="B443" s="3055" t="s">
        <v>3405</v>
      </c>
      <c r="C443" s="3055">
        <v>438</v>
      </c>
      <c r="D443" s="3055" t="s">
        <v>3406</v>
      </c>
      <c r="E443" s="3055">
        <v>27.78</v>
      </c>
      <c r="F443" s="3055">
        <v>12.72</v>
      </c>
      <c r="G443" s="3055">
        <v>15.06</v>
      </c>
      <c r="H443" s="3055">
        <v>4585.96</v>
      </c>
      <c r="I443" s="3055">
        <v>127398</v>
      </c>
      <c r="J443" s="3055" t="s">
        <v>3407</v>
      </c>
      <c r="K443" s="3055" t="s">
        <v>3408</v>
      </c>
    </row>
    <row r="444" spans="1:11">
      <c r="A444" s="3055" t="s">
        <v>3404</v>
      </c>
      <c r="B444" s="3055" t="s">
        <v>3405</v>
      </c>
      <c r="C444" s="3055">
        <v>439</v>
      </c>
      <c r="D444" s="3055" t="s">
        <v>3406</v>
      </c>
      <c r="E444" s="3055">
        <v>27.78</v>
      </c>
      <c r="F444" s="3055">
        <v>12.72</v>
      </c>
      <c r="G444" s="3055">
        <v>15.06</v>
      </c>
      <c r="H444" s="3055">
        <v>4585.96</v>
      </c>
      <c r="I444" s="3055">
        <v>127398</v>
      </c>
      <c r="J444" s="3055" t="s">
        <v>3407</v>
      </c>
      <c r="K444" s="3055" t="s">
        <v>3408</v>
      </c>
    </row>
    <row r="445" spans="1:11">
      <c r="A445" s="3055" t="s">
        <v>3404</v>
      </c>
      <c r="B445" s="3055" t="s">
        <v>3405</v>
      </c>
      <c r="C445" s="3055">
        <v>440</v>
      </c>
      <c r="D445" s="3055" t="s">
        <v>3406</v>
      </c>
      <c r="E445" s="3055">
        <v>27.78</v>
      </c>
      <c r="F445" s="3055">
        <v>12.72</v>
      </c>
      <c r="G445" s="3055">
        <v>15.06</v>
      </c>
      <c r="H445" s="3055">
        <v>4585.96</v>
      </c>
      <c r="I445" s="3055">
        <v>127398</v>
      </c>
      <c r="J445" s="3055" t="s">
        <v>3407</v>
      </c>
      <c r="K445" s="3055" t="s">
        <v>3408</v>
      </c>
    </row>
    <row r="446" spans="1:11">
      <c r="A446" s="3055" t="s">
        <v>3404</v>
      </c>
      <c r="B446" s="3055" t="s">
        <v>3405</v>
      </c>
      <c r="C446" s="3055">
        <v>441</v>
      </c>
      <c r="D446" s="3055" t="s">
        <v>3406</v>
      </c>
      <c r="E446" s="3055">
        <v>27.78</v>
      </c>
      <c r="F446" s="3055">
        <v>12.72</v>
      </c>
      <c r="G446" s="3055">
        <v>15.06</v>
      </c>
      <c r="H446" s="3055">
        <v>4585.96</v>
      </c>
      <c r="I446" s="3055">
        <v>127398</v>
      </c>
      <c r="J446" s="3055" t="s">
        <v>3407</v>
      </c>
      <c r="K446" s="3055" t="s">
        <v>3408</v>
      </c>
    </row>
    <row r="447" spans="1:11">
      <c r="A447" s="3055" t="s">
        <v>3404</v>
      </c>
      <c r="B447" s="3055" t="s">
        <v>3405</v>
      </c>
      <c r="C447" s="3055">
        <v>442</v>
      </c>
      <c r="D447" s="3055" t="s">
        <v>3406</v>
      </c>
      <c r="E447" s="3055">
        <v>27.78</v>
      </c>
      <c r="F447" s="3055">
        <v>12.72</v>
      </c>
      <c r="G447" s="3055">
        <v>15.06</v>
      </c>
      <c r="H447" s="3055">
        <v>4585.96</v>
      </c>
      <c r="I447" s="3055">
        <v>127398</v>
      </c>
      <c r="J447" s="3055" t="s">
        <v>3407</v>
      </c>
      <c r="K447" s="3055" t="s">
        <v>3408</v>
      </c>
    </row>
    <row r="448" spans="1:11">
      <c r="A448" s="3055" t="s">
        <v>3404</v>
      </c>
      <c r="B448" s="3055" t="s">
        <v>3405</v>
      </c>
      <c r="C448" s="3055">
        <v>443</v>
      </c>
      <c r="D448" s="3055" t="s">
        <v>3406</v>
      </c>
      <c r="E448" s="3055">
        <v>27.78</v>
      </c>
      <c r="F448" s="3055">
        <v>12.72</v>
      </c>
      <c r="G448" s="3055">
        <v>15.06</v>
      </c>
      <c r="H448" s="3055">
        <v>4585.96</v>
      </c>
      <c r="I448" s="3055">
        <v>127398</v>
      </c>
      <c r="J448" s="3055" t="s">
        <v>3407</v>
      </c>
      <c r="K448" s="3055" t="s">
        <v>3408</v>
      </c>
    </row>
    <row r="449" spans="1:11">
      <c r="A449" s="3055" t="s">
        <v>3404</v>
      </c>
      <c r="B449" s="3055" t="s">
        <v>3405</v>
      </c>
      <c r="C449" s="3055">
        <v>444</v>
      </c>
      <c r="D449" s="3055" t="s">
        <v>3406</v>
      </c>
      <c r="E449" s="3055">
        <v>27.78</v>
      </c>
      <c r="F449" s="3055">
        <v>12.72</v>
      </c>
      <c r="G449" s="3055">
        <v>15.06</v>
      </c>
      <c r="H449" s="3055">
        <v>4585.96</v>
      </c>
      <c r="I449" s="3055">
        <v>127398</v>
      </c>
      <c r="J449" s="3055" t="s">
        <v>3407</v>
      </c>
      <c r="K449" s="3055" t="s">
        <v>3408</v>
      </c>
    </row>
    <row r="450" spans="1:11">
      <c r="A450" s="3055" t="s">
        <v>3404</v>
      </c>
      <c r="B450" s="3055" t="s">
        <v>3405</v>
      </c>
      <c r="C450" s="3055">
        <v>445</v>
      </c>
      <c r="D450" s="3055" t="s">
        <v>3406</v>
      </c>
      <c r="E450" s="3055">
        <v>27.78</v>
      </c>
      <c r="F450" s="3055">
        <v>12.72</v>
      </c>
      <c r="G450" s="3055">
        <v>15.06</v>
      </c>
      <c r="H450" s="3055">
        <v>4585.96</v>
      </c>
      <c r="I450" s="3055">
        <v>127398</v>
      </c>
      <c r="J450" s="3055" t="s">
        <v>3407</v>
      </c>
      <c r="K450" s="3055" t="s">
        <v>3408</v>
      </c>
    </row>
    <row r="451" spans="1:11">
      <c r="A451" s="3055" t="s">
        <v>3404</v>
      </c>
      <c r="B451" s="3055" t="s">
        <v>3405</v>
      </c>
      <c r="C451" s="3055">
        <v>446</v>
      </c>
      <c r="D451" s="3055" t="s">
        <v>3406</v>
      </c>
      <c r="E451" s="3055">
        <v>27.78</v>
      </c>
      <c r="F451" s="3055">
        <v>12.72</v>
      </c>
      <c r="G451" s="3055">
        <v>15.06</v>
      </c>
      <c r="H451" s="3055">
        <v>4585.96</v>
      </c>
      <c r="I451" s="3055">
        <v>127398</v>
      </c>
      <c r="J451" s="3055" t="s">
        <v>3407</v>
      </c>
      <c r="K451" s="3055" t="s">
        <v>3408</v>
      </c>
    </row>
    <row r="452" spans="1:11">
      <c r="A452" s="3055" t="s">
        <v>3404</v>
      </c>
      <c r="B452" s="3055" t="s">
        <v>3405</v>
      </c>
      <c r="C452" s="3055">
        <v>447</v>
      </c>
      <c r="D452" s="3055" t="s">
        <v>3406</v>
      </c>
      <c r="E452" s="3055">
        <v>27.78</v>
      </c>
      <c r="F452" s="3055">
        <v>12.72</v>
      </c>
      <c r="G452" s="3055">
        <v>15.06</v>
      </c>
      <c r="H452" s="3055">
        <v>4585.96</v>
      </c>
      <c r="I452" s="3055">
        <v>127398</v>
      </c>
      <c r="J452" s="3055" t="s">
        <v>3407</v>
      </c>
      <c r="K452" s="3055" t="s">
        <v>3408</v>
      </c>
    </row>
    <row r="453" spans="1:11">
      <c r="A453" s="3055" t="s">
        <v>3404</v>
      </c>
      <c r="B453" s="3055" t="s">
        <v>3405</v>
      </c>
      <c r="C453" s="3055">
        <v>448</v>
      </c>
      <c r="D453" s="3055" t="s">
        <v>3406</v>
      </c>
      <c r="E453" s="3055">
        <v>27.78</v>
      </c>
      <c r="F453" s="3055">
        <v>12.72</v>
      </c>
      <c r="G453" s="3055">
        <v>15.06</v>
      </c>
      <c r="H453" s="3055">
        <v>4585.96</v>
      </c>
      <c r="I453" s="3055">
        <v>127398</v>
      </c>
      <c r="J453" s="3055" t="s">
        <v>3407</v>
      </c>
      <c r="K453" s="3055" t="s">
        <v>3408</v>
      </c>
    </row>
    <row r="454" spans="1:11">
      <c r="A454" s="3055" t="s">
        <v>3404</v>
      </c>
      <c r="B454" s="3055" t="s">
        <v>3405</v>
      </c>
      <c r="C454" s="3055">
        <v>449</v>
      </c>
      <c r="D454" s="3055" t="s">
        <v>3409</v>
      </c>
      <c r="E454" s="3055">
        <v>19.22</v>
      </c>
      <c r="F454" s="3055">
        <v>8.8000000000000007</v>
      </c>
      <c r="G454" s="3055">
        <v>10.42</v>
      </c>
      <c r="H454" s="3055">
        <v>4287.1000000000004</v>
      </c>
      <c r="I454" s="3055">
        <v>82398</v>
      </c>
      <c r="J454" s="3055" t="s">
        <v>3407</v>
      </c>
      <c r="K454" s="3055" t="s">
        <v>3408</v>
      </c>
    </row>
    <row r="455" spans="1:11" ht="15.6">
      <c r="A455" s="3056"/>
      <c r="B455" s="3057"/>
      <c r="C455" s="3057"/>
      <c r="D455" s="3058"/>
      <c r="E455" s="3058">
        <f>SUM(E6:E454)</f>
        <v>12464.650000000071</v>
      </c>
      <c r="F455" s="3058"/>
      <c r="G455" s="3058"/>
      <c r="H455" s="3059">
        <f>ROUND(I455/E455,2)</f>
        <v>4798.1099999999997</v>
      </c>
      <c r="I455" s="3059">
        <f>SUM(I6:I454)</f>
        <v>59806702</v>
      </c>
      <c r="J455" s="3058"/>
      <c r="K455" s="3060"/>
    </row>
    <row r="456" spans="1:11" ht="15.6">
      <c r="A456" s="3061"/>
      <c r="B456" s="3061"/>
      <c r="C456" s="3062"/>
      <c r="D456" s="3061"/>
      <c r="E456" s="3061"/>
      <c r="F456" s="3061"/>
      <c r="G456" s="3061"/>
      <c r="H456" s="3061"/>
      <c r="I456" s="3063"/>
      <c r="J456" s="3061"/>
      <c r="K456" s="3061"/>
    </row>
    <row r="457" spans="1:11" ht="15.6">
      <c r="A457" s="3435" t="s">
        <v>3410</v>
      </c>
      <c r="B457" s="3435"/>
      <c r="C457" s="3435"/>
      <c r="D457" s="3435"/>
      <c r="E457" s="3435"/>
      <c r="F457" s="3435"/>
      <c r="G457" s="3435"/>
      <c r="H457" s="3435"/>
      <c r="I457" s="3435"/>
      <c r="J457" s="3435"/>
      <c r="K457" s="3435"/>
    </row>
    <row r="458" spans="1:11" ht="15.6">
      <c r="A458" s="3436" t="s">
        <v>3411</v>
      </c>
      <c r="B458" s="3436"/>
      <c r="C458" s="3436"/>
      <c r="D458" s="3436"/>
      <c r="E458" s="3436"/>
      <c r="F458" s="3436"/>
      <c r="G458" s="3436"/>
      <c r="H458" s="3436"/>
      <c r="I458" s="3436"/>
      <c r="J458" s="3436"/>
      <c r="K458" s="3436"/>
    </row>
    <row r="459" spans="1:11" ht="15.6">
      <c r="A459" s="3061"/>
      <c r="B459" s="3061"/>
      <c r="C459" s="3062"/>
      <c r="D459" s="3061"/>
      <c r="E459" s="3061"/>
      <c r="F459" s="3061"/>
      <c r="G459" s="3061"/>
      <c r="H459" s="3061"/>
      <c r="I459" s="3063"/>
      <c r="J459" s="3061"/>
      <c r="K459" s="3061"/>
    </row>
  </sheetData>
  <mergeCells count="15">
    <mergeCell ref="A457:K457"/>
    <mergeCell ref="A458:K458"/>
    <mergeCell ref="A1:K2"/>
    <mergeCell ref="A3:G3"/>
    <mergeCell ref="H3:K3"/>
    <mergeCell ref="A4:A5"/>
    <mergeCell ref="B4:B5"/>
    <mergeCell ref="C4:C5"/>
    <mergeCell ref="D4:D5"/>
    <mergeCell ref="E4:E5"/>
    <mergeCell ref="F4:G4"/>
    <mergeCell ref="H4:H5"/>
    <mergeCell ref="I4:I5"/>
    <mergeCell ref="J4:J5"/>
    <mergeCell ref="K4:K5"/>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29"/>
  <sheetViews>
    <sheetView workbookViewId="0">
      <selection activeCell="H33" sqref="H33"/>
    </sheetView>
  </sheetViews>
  <sheetFormatPr defaultRowHeight="14.4"/>
  <cols>
    <col min="1" max="1" width="9" style="3064" customWidth="1"/>
    <col min="2" max="2" width="9.44140625" style="3064" customWidth="1"/>
    <col min="3" max="3" width="9" style="3078" customWidth="1"/>
    <col min="4" max="4" width="9" style="3064" customWidth="1"/>
    <col min="5" max="5" width="10.77734375" style="3064" customWidth="1"/>
    <col min="6" max="6" width="9" style="3064" customWidth="1"/>
    <col min="7" max="7" width="9" style="3079" customWidth="1"/>
    <col min="8" max="8" width="14.21875" style="3064" customWidth="1"/>
    <col min="9" max="9" width="13.21875" style="3064" customWidth="1"/>
    <col min="10" max="256" width="9" style="3064"/>
    <col min="257" max="257" width="9" style="3064" customWidth="1"/>
    <col min="258" max="258" width="9.44140625" style="3064" customWidth="1"/>
    <col min="259" max="260" width="9" style="3064" customWidth="1"/>
    <col min="261" max="261" width="10.77734375" style="3064" customWidth="1"/>
    <col min="262" max="263" width="9" style="3064" customWidth="1"/>
    <col min="264" max="264" width="14.21875" style="3064" customWidth="1"/>
    <col min="265" max="265" width="13.21875" style="3064" customWidth="1"/>
    <col min="266" max="512" width="9" style="3064"/>
    <col min="513" max="513" width="9" style="3064" customWidth="1"/>
    <col min="514" max="514" width="9.44140625" style="3064" customWidth="1"/>
    <col min="515" max="516" width="9" style="3064" customWidth="1"/>
    <col min="517" max="517" width="10.77734375" style="3064" customWidth="1"/>
    <col min="518" max="519" width="9" style="3064" customWidth="1"/>
    <col min="520" max="520" width="14.21875" style="3064" customWidth="1"/>
    <col min="521" max="521" width="13.21875" style="3064" customWidth="1"/>
    <col min="522" max="768" width="9" style="3064"/>
    <col min="769" max="769" width="9" style="3064" customWidth="1"/>
    <col min="770" max="770" width="9.44140625" style="3064" customWidth="1"/>
    <col min="771" max="772" width="9" style="3064" customWidth="1"/>
    <col min="773" max="773" width="10.77734375" style="3064" customWidth="1"/>
    <col min="774" max="775" width="9" style="3064" customWidth="1"/>
    <col min="776" max="776" width="14.21875" style="3064" customWidth="1"/>
    <col min="777" max="777" width="13.21875" style="3064" customWidth="1"/>
    <col min="778" max="1024" width="9" style="3064"/>
    <col min="1025" max="1025" width="9" style="3064" customWidth="1"/>
    <col min="1026" max="1026" width="9.44140625" style="3064" customWidth="1"/>
    <col min="1027" max="1028" width="9" style="3064" customWidth="1"/>
    <col min="1029" max="1029" width="10.77734375" style="3064" customWidth="1"/>
    <col min="1030" max="1031" width="9" style="3064" customWidth="1"/>
    <col min="1032" max="1032" width="14.21875" style="3064" customWidth="1"/>
    <col min="1033" max="1033" width="13.21875" style="3064" customWidth="1"/>
    <col min="1034" max="1280" width="9" style="3064"/>
    <col min="1281" max="1281" width="9" style="3064" customWidth="1"/>
    <col min="1282" max="1282" width="9.44140625" style="3064" customWidth="1"/>
    <col min="1283" max="1284" width="9" style="3064" customWidth="1"/>
    <col min="1285" max="1285" width="10.77734375" style="3064" customWidth="1"/>
    <col min="1286" max="1287" width="9" style="3064" customWidth="1"/>
    <col min="1288" max="1288" width="14.21875" style="3064" customWidth="1"/>
    <col min="1289" max="1289" width="13.21875" style="3064" customWidth="1"/>
    <col min="1290" max="1536" width="9" style="3064"/>
    <col min="1537" max="1537" width="9" style="3064" customWidth="1"/>
    <col min="1538" max="1538" width="9.44140625" style="3064" customWidth="1"/>
    <col min="1539" max="1540" width="9" style="3064" customWidth="1"/>
    <col min="1541" max="1541" width="10.77734375" style="3064" customWidth="1"/>
    <col min="1542" max="1543" width="9" style="3064" customWidth="1"/>
    <col min="1544" max="1544" width="14.21875" style="3064" customWidth="1"/>
    <col min="1545" max="1545" width="13.21875" style="3064" customWidth="1"/>
    <col min="1546" max="1792" width="9" style="3064"/>
    <col min="1793" max="1793" width="9" style="3064" customWidth="1"/>
    <col min="1794" max="1794" width="9.44140625" style="3064" customWidth="1"/>
    <col min="1795" max="1796" width="9" style="3064" customWidth="1"/>
    <col min="1797" max="1797" width="10.77734375" style="3064" customWidth="1"/>
    <col min="1798" max="1799" width="9" style="3064" customWidth="1"/>
    <col min="1800" max="1800" width="14.21875" style="3064" customWidth="1"/>
    <col min="1801" max="1801" width="13.21875" style="3064" customWidth="1"/>
    <col min="1802" max="2048" width="9" style="3064"/>
    <col min="2049" max="2049" width="9" style="3064" customWidth="1"/>
    <col min="2050" max="2050" width="9.44140625" style="3064" customWidth="1"/>
    <col min="2051" max="2052" width="9" style="3064" customWidth="1"/>
    <col min="2053" max="2053" width="10.77734375" style="3064" customWidth="1"/>
    <col min="2054" max="2055" width="9" style="3064" customWidth="1"/>
    <col min="2056" max="2056" width="14.21875" style="3064" customWidth="1"/>
    <col min="2057" max="2057" width="13.21875" style="3064" customWidth="1"/>
    <col min="2058" max="2304" width="9" style="3064"/>
    <col min="2305" max="2305" width="9" style="3064" customWidth="1"/>
    <col min="2306" max="2306" width="9.44140625" style="3064" customWidth="1"/>
    <col min="2307" max="2308" width="9" style="3064" customWidth="1"/>
    <col min="2309" max="2309" width="10.77734375" style="3064" customWidth="1"/>
    <col min="2310" max="2311" width="9" style="3064" customWidth="1"/>
    <col min="2312" max="2312" width="14.21875" style="3064" customWidth="1"/>
    <col min="2313" max="2313" width="13.21875" style="3064" customWidth="1"/>
    <col min="2314" max="2560" width="9" style="3064"/>
    <col min="2561" max="2561" width="9" style="3064" customWidth="1"/>
    <col min="2562" max="2562" width="9.44140625" style="3064" customWidth="1"/>
    <col min="2563" max="2564" width="9" style="3064" customWidth="1"/>
    <col min="2565" max="2565" width="10.77734375" style="3064" customWidth="1"/>
    <col min="2566" max="2567" width="9" style="3064" customWidth="1"/>
    <col min="2568" max="2568" width="14.21875" style="3064" customWidth="1"/>
    <col min="2569" max="2569" width="13.21875" style="3064" customWidth="1"/>
    <col min="2570" max="2816" width="9" style="3064"/>
    <col min="2817" max="2817" width="9" style="3064" customWidth="1"/>
    <col min="2818" max="2818" width="9.44140625" style="3064" customWidth="1"/>
    <col min="2819" max="2820" width="9" style="3064" customWidth="1"/>
    <col min="2821" max="2821" width="10.77734375" style="3064" customWidth="1"/>
    <col min="2822" max="2823" width="9" style="3064" customWidth="1"/>
    <col min="2824" max="2824" width="14.21875" style="3064" customWidth="1"/>
    <col min="2825" max="2825" width="13.21875" style="3064" customWidth="1"/>
    <col min="2826" max="3072" width="9" style="3064"/>
    <col min="3073" max="3073" width="9" style="3064" customWidth="1"/>
    <col min="3074" max="3074" width="9.44140625" style="3064" customWidth="1"/>
    <col min="3075" max="3076" width="9" style="3064" customWidth="1"/>
    <col min="3077" max="3077" width="10.77734375" style="3064" customWidth="1"/>
    <col min="3078" max="3079" width="9" style="3064" customWidth="1"/>
    <col min="3080" max="3080" width="14.21875" style="3064" customWidth="1"/>
    <col min="3081" max="3081" width="13.21875" style="3064" customWidth="1"/>
    <col min="3082" max="3328" width="9" style="3064"/>
    <col min="3329" max="3329" width="9" style="3064" customWidth="1"/>
    <col min="3330" max="3330" width="9.44140625" style="3064" customWidth="1"/>
    <col min="3331" max="3332" width="9" style="3064" customWidth="1"/>
    <col min="3333" max="3333" width="10.77734375" style="3064" customWidth="1"/>
    <col min="3334" max="3335" width="9" style="3064" customWidth="1"/>
    <col min="3336" max="3336" width="14.21875" style="3064" customWidth="1"/>
    <col min="3337" max="3337" width="13.21875" style="3064" customWidth="1"/>
    <col min="3338" max="3584" width="9" style="3064"/>
    <col min="3585" max="3585" width="9" style="3064" customWidth="1"/>
    <col min="3586" max="3586" width="9.44140625" style="3064" customWidth="1"/>
    <col min="3587" max="3588" width="9" style="3064" customWidth="1"/>
    <col min="3589" max="3589" width="10.77734375" style="3064" customWidth="1"/>
    <col min="3590" max="3591" width="9" style="3064" customWidth="1"/>
    <col min="3592" max="3592" width="14.21875" style="3064" customWidth="1"/>
    <col min="3593" max="3593" width="13.21875" style="3064" customWidth="1"/>
    <col min="3594" max="3840" width="9" style="3064"/>
    <col min="3841" max="3841" width="9" style="3064" customWidth="1"/>
    <col min="3842" max="3842" width="9.44140625" style="3064" customWidth="1"/>
    <col min="3843" max="3844" width="9" style="3064" customWidth="1"/>
    <col min="3845" max="3845" width="10.77734375" style="3064" customWidth="1"/>
    <col min="3846" max="3847" width="9" style="3064" customWidth="1"/>
    <col min="3848" max="3848" width="14.21875" style="3064" customWidth="1"/>
    <col min="3849" max="3849" width="13.21875" style="3064" customWidth="1"/>
    <col min="3850" max="4096" width="9" style="3064"/>
    <col min="4097" max="4097" width="9" style="3064" customWidth="1"/>
    <col min="4098" max="4098" width="9.44140625" style="3064" customWidth="1"/>
    <col min="4099" max="4100" width="9" style="3064" customWidth="1"/>
    <col min="4101" max="4101" width="10.77734375" style="3064" customWidth="1"/>
    <col min="4102" max="4103" width="9" style="3064" customWidth="1"/>
    <col min="4104" max="4104" width="14.21875" style="3064" customWidth="1"/>
    <col min="4105" max="4105" width="13.21875" style="3064" customWidth="1"/>
    <col min="4106" max="4352" width="9" style="3064"/>
    <col min="4353" max="4353" width="9" style="3064" customWidth="1"/>
    <col min="4354" max="4354" width="9.44140625" style="3064" customWidth="1"/>
    <col min="4355" max="4356" width="9" style="3064" customWidth="1"/>
    <col min="4357" max="4357" width="10.77734375" style="3064" customWidth="1"/>
    <col min="4358" max="4359" width="9" style="3064" customWidth="1"/>
    <col min="4360" max="4360" width="14.21875" style="3064" customWidth="1"/>
    <col min="4361" max="4361" width="13.21875" style="3064" customWidth="1"/>
    <col min="4362" max="4608" width="9" style="3064"/>
    <col min="4609" max="4609" width="9" style="3064" customWidth="1"/>
    <col min="4610" max="4610" width="9.44140625" style="3064" customWidth="1"/>
    <col min="4611" max="4612" width="9" style="3064" customWidth="1"/>
    <col min="4613" max="4613" width="10.77734375" style="3064" customWidth="1"/>
    <col min="4614" max="4615" width="9" style="3064" customWidth="1"/>
    <col min="4616" max="4616" width="14.21875" style="3064" customWidth="1"/>
    <col min="4617" max="4617" width="13.21875" style="3064" customWidth="1"/>
    <col min="4618" max="4864" width="9" style="3064"/>
    <col min="4865" max="4865" width="9" style="3064" customWidth="1"/>
    <col min="4866" max="4866" width="9.44140625" style="3064" customWidth="1"/>
    <col min="4867" max="4868" width="9" style="3064" customWidth="1"/>
    <col min="4869" max="4869" width="10.77734375" style="3064" customWidth="1"/>
    <col min="4870" max="4871" width="9" style="3064" customWidth="1"/>
    <col min="4872" max="4872" width="14.21875" style="3064" customWidth="1"/>
    <col min="4873" max="4873" width="13.21875" style="3064" customWidth="1"/>
    <col min="4874" max="5120" width="9" style="3064"/>
    <col min="5121" max="5121" width="9" style="3064" customWidth="1"/>
    <col min="5122" max="5122" width="9.44140625" style="3064" customWidth="1"/>
    <col min="5123" max="5124" width="9" style="3064" customWidth="1"/>
    <col min="5125" max="5125" width="10.77734375" style="3064" customWidth="1"/>
    <col min="5126" max="5127" width="9" style="3064" customWidth="1"/>
    <col min="5128" max="5128" width="14.21875" style="3064" customWidth="1"/>
    <col min="5129" max="5129" width="13.21875" style="3064" customWidth="1"/>
    <col min="5130" max="5376" width="9" style="3064"/>
    <col min="5377" max="5377" width="9" style="3064" customWidth="1"/>
    <col min="5378" max="5378" width="9.44140625" style="3064" customWidth="1"/>
    <col min="5379" max="5380" width="9" style="3064" customWidth="1"/>
    <col min="5381" max="5381" width="10.77734375" style="3064" customWidth="1"/>
    <col min="5382" max="5383" width="9" style="3064" customWidth="1"/>
    <col min="5384" max="5384" width="14.21875" style="3064" customWidth="1"/>
    <col min="5385" max="5385" width="13.21875" style="3064" customWidth="1"/>
    <col min="5386" max="5632" width="9" style="3064"/>
    <col min="5633" max="5633" width="9" style="3064" customWidth="1"/>
    <col min="5634" max="5634" width="9.44140625" style="3064" customWidth="1"/>
    <col min="5635" max="5636" width="9" style="3064" customWidth="1"/>
    <col min="5637" max="5637" width="10.77734375" style="3064" customWidth="1"/>
    <col min="5638" max="5639" width="9" style="3064" customWidth="1"/>
    <col min="5640" max="5640" width="14.21875" style="3064" customWidth="1"/>
    <col min="5641" max="5641" width="13.21875" style="3064" customWidth="1"/>
    <col min="5642" max="5888" width="9" style="3064"/>
    <col min="5889" max="5889" width="9" style="3064" customWidth="1"/>
    <col min="5890" max="5890" width="9.44140625" style="3064" customWidth="1"/>
    <col min="5891" max="5892" width="9" style="3064" customWidth="1"/>
    <col min="5893" max="5893" width="10.77734375" style="3064" customWidth="1"/>
    <col min="5894" max="5895" width="9" style="3064" customWidth="1"/>
    <col min="5896" max="5896" width="14.21875" style="3064" customWidth="1"/>
    <col min="5897" max="5897" width="13.21875" style="3064" customWidth="1"/>
    <col min="5898" max="6144" width="9" style="3064"/>
    <col min="6145" max="6145" width="9" style="3064" customWidth="1"/>
    <col min="6146" max="6146" width="9.44140625" style="3064" customWidth="1"/>
    <col min="6147" max="6148" width="9" style="3064" customWidth="1"/>
    <col min="6149" max="6149" width="10.77734375" style="3064" customWidth="1"/>
    <col min="6150" max="6151" width="9" style="3064" customWidth="1"/>
    <col min="6152" max="6152" width="14.21875" style="3064" customWidth="1"/>
    <col min="6153" max="6153" width="13.21875" style="3064" customWidth="1"/>
    <col min="6154" max="6400" width="9" style="3064"/>
    <col min="6401" max="6401" width="9" style="3064" customWidth="1"/>
    <col min="6402" max="6402" width="9.44140625" style="3064" customWidth="1"/>
    <col min="6403" max="6404" width="9" style="3064" customWidth="1"/>
    <col min="6405" max="6405" width="10.77734375" style="3064" customWidth="1"/>
    <col min="6406" max="6407" width="9" style="3064" customWidth="1"/>
    <col min="6408" max="6408" width="14.21875" style="3064" customWidth="1"/>
    <col min="6409" max="6409" width="13.21875" style="3064" customWidth="1"/>
    <col min="6410" max="6656" width="9" style="3064"/>
    <col min="6657" max="6657" width="9" style="3064" customWidth="1"/>
    <col min="6658" max="6658" width="9.44140625" style="3064" customWidth="1"/>
    <col min="6659" max="6660" width="9" style="3064" customWidth="1"/>
    <col min="6661" max="6661" width="10.77734375" style="3064" customWidth="1"/>
    <col min="6662" max="6663" width="9" style="3064" customWidth="1"/>
    <col min="6664" max="6664" width="14.21875" style="3064" customWidth="1"/>
    <col min="6665" max="6665" width="13.21875" style="3064" customWidth="1"/>
    <col min="6666" max="6912" width="9" style="3064"/>
    <col min="6913" max="6913" width="9" style="3064" customWidth="1"/>
    <col min="6914" max="6914" width="9.44140625" style="3064" customWidth="1"/>
    <col min="6915" max="6916" width="9" style="3064" customWidth="1"/>
    <col min="6917" max="6917" width="10.77734375" style="3064" customWidth="1"/>
    <col min="6918" max="6919" width="9" style="3064" customWidth="1"/>
    <col min="6920" max="6920" width="14.21875" style="3064" customWidth="1"/>
    <col min="6921" max="6921" width="13.21875" style="3064" customWidth="1"/>
    <col min="6922" max="7168" width="9" style="3064"/>
    <col min="7169" max="7169" width="9" style="3064" customWidth="1"/>
    <col min="7170" max="7170" width="9.44140625" style="3064" customWidth="1"/>
    <col min="7171" max="7172" width="9" style="3064" customWidth="1"/>
    <col min="7173" max="7173" width="10.77734375" style="3064" customWidth="1"/>
    <col min="7174" max="7175" width="9" style="3064" customWidth="1"/>
    <col min="7176" max="7176" width="14.21875" style="3064" customWidth="1"/>
    <col min="7177" max="7177" width="13.21875" style="3064" customWidth="1"/>
    <col min="7178" max="7424" width="9" style="3064"/>
    <col min="7425" max="7425" width="9" style="3064" customWidth="1"/>
    <col min="7426" max="7426" width="9.44140625" style="3064" customWidth="1"/>
    <col min="7427" max="7428" width="9" style="3064" customWidth="1"/>
    <col min="7429" max="7429" width="10.77734375" style="3064" customWidth="1"/>
    <col min="7430" max="7431" width="9" style="3064" customWidth="1"/>
    <col min="7432" max="7432" width="14.21875" style="3064" customWidth="1"/>
    <col min="7433" max="7433" width="13.21875" style="3064" customWidth="1"/>
    <col min="7434" max="7680" width="9" style="3064"/>
    <col min="7681" max="7681" width="9" style="3064" customWidth="1"/>
    <col min="7682" max="7682" width="9.44140625" style="3064" customWidth="1"/>
    <col min="7683" max="7684" width="9" style="3064" customWidth="1"/>
    <col min="7685" max="7685" width="10.77734375" style="3064" customWidth="1"/>
    <col min="7686" max="7687" width="9" style="3064" customWidth="1"/>
    <col min="7688" max="7688" width="14.21875" style="3064" customWidth="1"/>
    <col min="7689" max="7689" width="13.21875" style="3064" customWidth="1"/>
    <col min="7690" max="7936" width="9" style="3064"/>
    <col min="7937" max="7937" width="9" style="3064" customWidth="1"/>
    <col min="7938" max="7938" width="9.44140625" style="3064" customWidth="1"/>
    <col min="7939" max="7940" width="9" style="3064" customWidth="1"/>
    <col min="7941" max="7941" width="10.77734375" style="3064" customWidth="1"/>
    <col min="7942" max="7943" width="9" style="3064" customWidth="1"/>
    <col min="7944" max="7944" width="14.21875" style="3064" customWidth="1"/>
    <col min="7945" max="7945" width="13.21875" style="3064" customWidth="1"/>
    <col min="7946" max="8192" width="9" style="3064"/>
    <col min="8193" max="8193" width="9" style="3064" customWidth="1"/>
    <col min="8194" max="8194" width="9.44140625" style="3064" customWidth="1"/>
    <col min="8195" max="8196" width="9" style="3064" customWidth="1"/>
    <col min="8197" max="8197" width="10.77734375" style="3064" customWidth="1"/>
    <col min="8198" max="8199" width="9" style="3064" customWidth="1"/>
    <col min="8200" max="8200" width="14.21875" style="3064" customWidth="1"/>
    <col min="8201" max="8201" width="13.21875" style="3064" customWidth="1"/>
    <col min="8202" max="8448" width="9" style="3064"/>
    <col min="8449" max="8449" width="9" style="3064" customWidth="1"/>
    <col min="8450" max="8450" width="9.44140625" style="3064" customWidth="1"/>
    <col min="8451" max="8452" width="9" style="3064" customWidth="1"/>
    <col min="8453" max="8453" width="10.77734375" style="3064" customWidth="1"/>
    <col min="8454" max="8455" width="9" style="3064" customWidth="1"/>
    <col min="8456" max="8456" width="14.21875" style="3064" customWidth="1"/>
    <col min="8457" max="8457" width="13.21875" style="3064" customWidth="1"/>
    <col min="8458" max="8704" width="9" style="3064"/>
    <col min="8705" max="8705" width="9" style="3064" customWidth="1"/>
    <col min="8706" max="8706" width="9.44140625" style="3064" customWidth="1"/>
    <col min="8707" max="8708" width="9" style="3064" customWidth="1"/>
    <col min="8709" max="8709" width="10.77734375" style="3064" customWidth="1"/>
    <col min="8710" max="8711" width="9" style="3064" customWidth="1"/>
    <col min="8712" max="8712" width="14.21875" style="3064" customWidth="1"/>
    <col min="8713" max="8713" width="13.21875" style="3064" customWidth="1"/>
    <col min="8714" max="8960" width="9" style="3064"/>
    <col min="8961" max="8961" width="9" style="3064" customWidth="1"/>
    <col min="8962" max="8962" width="9.44140625" style="3064" customWidth="1"/>
    <col min="8963" max="8964" width="9" style="3064" customWidth="1"/>
    <col min="8965" max="8965" width="10.77734375" style="3064" customWidth="1"/>
    <col min="8966" max="8967" width="9" style="3064" customWidth="1"/>
    <col min="8968" max="8968" width="14.21875" style="3064" customWidth="1"/>
    <col min="8969" max="8969" width="13.21875" style="3064" customWidth="1"/>
    <col min="8970" max="9216" width="9" style="3064"/>
    <col min="9217" max="9217" width="9" style="3064" customWidth="1"/>
    <col min="9218" max="9218" width="9.44140625" style="3064" customWidth="1"/>
    <col min="9219" max="9220" width="9" style="3064" customWidth="1"/>
    <col min="9221" max="9221" width="10.77734375" style="3064" customWidth="1"/>
    <col min="9222" max="9223" width="9" style="3064" customWidth="1"/>
    <col min="9224" max="9224" width="14.21875" style="3064" customWidth="1"/>
    <col min="9225" max="9225" width="13.21875" style="3064" customWidth="1"/>
    <col min="9226" max="9472" width="9" style="3064"/>
    <col min="9473" max="9473" width="9" style="3064" customWidth="1"/>
    <col min="9474" max="9474" width="9.44140625" style="3064" customWidth="1"/>
    <col min="9475" max="9476" width="9" style="3064" customWidth="1"/>
    <col min="9477" max="9477" width="10.77734375" style="3064" customWidth="1"/>
    <col min="9478" max="9479" width="9" style="3064" customWidth="1"/>
    <col min="9480" max="9480" width="14.21875" style="3064" customWidth="1"/>
    <col min="9481" max="9481" width="13.21875" style="3064" customWidth="1"/>
    <col min="9482" max="9728" width="9" style="3064"/>
    <col min="9729" max="9729" width="9" style="3064" customWidth="1"/>
    <col min="9730" max="9730" width="9.44140625" style="3064" customWidth="1"/>
    <col min="9731" max="9732" width="9" style="3064" customWidth="1"/>
    <col min="9733" max="9733" width="10.77734375" style="3064" customWidth="1"/>
    <col min="9734" max="9735" width="9" style="3064" customWidth="1"/>
    <col min="9736" max="9736" width="14.21875" style="3064" customWidth="1"/>
    <col min="9737" max="9737" width="13.21875" style="3064" customWidth="1"/>
    <col min="9738" max="9984" width="9" style="3064"/>
    <col min="9985" max="9985" width="9" style="3064" customWidth="1"/>
    <col min="9986" max="9986" width="9.44140625" style="3064" customWidth="1"/>
    <col min="9987" max="9988" width="9" style="3064" customWidth="1"/>
    <col min="9989" max="9989" width="10.77734375" style="3064" customWidth="1"/>
    <col min="9990" max="9991" width="9" style="3064" customWidth="1"/>
    <col min="9992" max="9992" width="14.21875" style="3064" customWidth="1"/>
    <col min="9993" max="9993" width="13.21875" style="3064" customWidth="1"/>
    <col min="9994" max="10240" width="9" style="3064"/>
    <col min="10241" max="10241" width="9" style="3064" customWidth="1"/>
    <col min="10242" max="10242" width="9.44140625" style="3064" customWidth="1"/>
    <col min="10243" max="10244" width="9" style="3064" customWidth="1"/>
    <col min="10245" max="10245" width="10.77734375" style="3064" customWidth="1"/>
    <col min="10246" max="10247" width="9" style="3064" customWidth="1"/>
    <col min="10248" max="10248" width="14.21875" style="3064" customWidth="1"/>
    <col min="10249" max="10249" width="13.21875" style="3064" customWidth="1"/>
    <col min="10250" max="10496" width="9" style="3064"/>
    <col min="10497" max="10497" width="9" style="3064" customWidth="1"/>
    <col min="10498" max="10498" width="9.44140625" style="3064" customWidth="1"/>
    <col min="10499" max="10500" width="9" style="3064" customWidth="1"/>
    <col min="10501" max="10501" width="10.77734375" style="3064" customWidth="1"/>
    <col min="10502" max="10503" width="9" style="3064" customWidth="1"/>
    <col min="10504" max="10504" width="14.21875" style="3064" customWidth="1"/>
    <col min="10505" max="10505" width="13.21875" style="3064" customWidth="1"/>
    <col min="10506" max="10752" width="9" style="3064"/>
    <col min="10753" max="10753" width="9" style="3064" customWidth="1"/>
    <col min="10754" max="10754" width="9.44140625" style="3064" customWidth="1"/>
    <col min="10755" max="10756" width="9" style="3064" customWidth="1"/>
    <col min="10757" max="10757" width="10.77734375" style="3064" customWidth="1"/>
    <col min="10758" max="10759" width="9" style="3064" customWidth="1"/>
    <col min="10760" max="10760" width="14.21875" style="3064" customWidth="1"/>
    <col min="10761" max="10761" width="13.21875" style="3064" customWidth="1"/>
    <col min="10762" max="11008" width="9" style="3064"/>
    <col min="11009" max="11009" width="9" style="3064" customWidth="1"/>
    <col min="11010" max="11010" width="9.44140625" style="3064" customWidth="1"/>
    <col min="11011" max="11012" width="9" style="3064" customWidth="1"/>
    <col min="11013" max="11013" width="10.77734375" style="3064" customWidth="1"/>
    <col min="11014" max="11015" width="9" style="3064" customWidth="1"/>
    <col min="11016" max="11016" width="14.21875" style="3064" customWidth="1"/>
    <col min="11017" max="11017" width="13.21875" style="3064" customWidth="1"/>
    <col min="11018" max="11264" width="9" style="3064"/>
    <col min="11265" max="11265" width="9" style="3064" customWidth="1"/>
    <col min="11266" max="11266" width="9.44140625" style="3064" customWidth="1"/>
    <col min="11267" max="11268" width="9" style="3064" customWidth="1"/>
    <col min="11269" max="11269" width="10.77734375" style="3064" customWidth="1"/>
    <col min="11270" max="11271" width="9" style="3064" customWidth="1"/>
    <col min="11272" max="11272" width="14.21875" style="3064" customWidth="1"/>
    <col min="11273" max="11273" width="13.21875" style="3064" customWidth="1"/>
    <col min="11274" max="11520" width="9" style="3064"/>
    <col min="11521" max="11521" width="9" style="3064" customWidth="1"/>
    <col min="11522" max="11522" width="9.44140625" style="3064" customWidth="1"/>
    <col min="11523" max="11524" width="9" style="3064" customWidth="1"/>
    <col min="11525" max="11525" width="10.77734375" style="3064" customWidth="1"/>
    <col min="11526" max="11527" width="9" style="3064" customWidth="1"/>
    <col min="11528" max="11528" width="14.21875" style="3064" customWidth="1"/>
    <col min="11529" max="11529" width="13.21875" style="3064" customWidth="1"/>
    <col min="11530" max="11776" width="9" style="3064"/>
    <col min="11777" max="11777" width="9" style="3064" customWidth="1"/>
    <col min="11778" max="11778" width="9.44140625" style="3064" customWidth="1"/>
    <col min="11779" max="11780" width="9" style="3064" customWidth="1"/>
    <col min="11781" max="11781" width="10.77734375" style="3064" customWidth="1"/>
    <col min="11782" max="11783" width="9" style="3064" customWidth="1"/>
    <col min="11784" max="11784" width="14.21875" style="3064" customWidth="1"/>
    <col min="11785" max="11785" width="13.21875" style="3064" customWidth="1"/>
    <col min="11786" max="12032" width="9" style="3064"/>
    <col min="12033" max="12033" width="9" style="3064" customWidth="1"/>
    <col min="12034" max="12034" width="9.44140625" style="3064" customWidth="1"/>
    <col min="12035" max="12036" width="9" style="3064" customWidth="1"/>
    <col min="12037" max="12037" width="10.77734375" style="3064" customWidth="1"/>
    <col min="12038" max="12039" width="9" style="3064" customWidth="1"/>
    <col min="12040" max="12040" width="14.21875" style="3064" customWidth="1"/>
    <col min="12041" max="12041" width="13.21875" style="3064" customWidth="1"/>
    <col min="12042" max="12288" width="9" style="3064"/>
    <col min="12289" max="12289" width="9" style="3064" customWidth="1"/>
    <col min="12290" max="12290" width="9.44140625" style="3064" customWidth="1"/>
    <col min="12291" max="12292" width="9" style="3064" customWidth="1"/>
    <col min="12293" max="12293" width="10.77734375" style="3064" customWidth="1"/>
    <col min="12294" max="12295" width="9" style="3064" customWidth="1"/>
    <col min="12296" max="12296" width="14.21875" style="3064" customWidth="1"/>
    <col min="12297" max="12297" width="13.21875" style="3064" customWidth="1"/>
    <col min="12298" max="12544" width="9" style="3064"/>
    <col min="12545" max="12545" width="9" style="3064" customWidth="1"/>
    <col min="12546" max="12546" width="9.44140625" style="3064" customWidth="1"/>
    <col min="12547" max="12548" width="9" style="3064" customWidth="1"/>
    <col min="12549" max="12549" width="10.77734375" style="3064" customWidth="1"/>
    <col min="12550" max="12551" width="9" style="3064" customWidth="1"/>
    <col min="12552" max="12552" width="14.21875" style="3064" customWidth="1"/>
    <col min="12553" max="12553" width="13.21875" style="3064" customWidth="1"/>
    <col min="12554" max="12800" width="9" style="3064"/>
    <col min="12801" max="12801" width="9" style="3064" customWidth="1"/>
    <col min="12802" max="12802" width="9.44140625" style="3064" customWidth="1"/>
    <col min="12803" max="12804" width="9" style="3064" customWidth="1"/>
    <col min="12805" max="12805" width="10.77734375" style="3064" customWidth="1"/>
    <col min="12806" max="12807" width="9" style="3064" customWidth="1"/>
    <col min="12808" max="12808" width="14.21875" style="3064" customWidth="1"/>
    <col min="12809" max="12809" width="13.21875" style="3064" customWidth="1"/>
    <col min="12810" max="13056" width="9" style="3064"/>
    <col min="13057" max="13057" width="9" style="3064" customWidth="1"/>
    <col min="13058" max="13058" width="9.44140625" style="3064" customWidth="1"/>
    <col min="13059" max="13060" width="9" style="3064" customWidth="1"/>
    <col min="13061" max="13061" width="10.77734375" style="3064" customWidth="1"/>
    <col min="13062" max="13063" width="9" style="3064" customWidth="1"/>
    <col min="13064" max="13064" width="14.21875" style="3064" customWidth="1"/>
    <col min="13065" max="13065" width="13.21875" style="3064" customWidth="1"/>
    <col min="13066" max="13312" width="9" style="3064"/>
    <col min="13313" max="13313" width="9" style="3064" customWidth="1"/>
    <col min="13314" max="13314" width="9.44140625" style="3064" customWidth="1"/>
    <col min="13315" max="13316" width="9" style="3064" customWidth="1"/>
    <col min="13317" max="13317" width="10.77734375" style="3064" customWidth="1"/>
    <col min="13318" max="13319" width="9" style="3064" customWidth="1"/>
    <col min="13320" max="13320" width="14.21875" style="3064" customWidth="1"/>
    <col min="13321" max="13321" width="13.21875" style="3064" customWidth="1"/>
    <col min="13322" max="13568" width="9" style="3064"/>
    <col min="13569" max="13569" width="9" style="3064" customWidth="1"/>
    <col min="13570" max="13570" width="9.44140625" style="3064" customWidth="1"/>
    <col min="13571" max="13572" width="9" style="3064" customWidth="1"/>
    <col min="13573" max="13573" width="10.77734375" style="3064" customWidth="1"/>
    <col min="13574" max="13575" width="9" style="3064" customWidth="1"/>
    <col min="13576" max="13576" width="14.21875" style="3064" customWidth="1"/>
    <col min="13577" max="13577" width="13.21875" style="3064" customWidth="1"/>
    <col min="13578" max="13824" width="9" style="3064"/>
    <col min="13825" max="13825" width="9" style="3064" customWidth="1"/>
    <col min="13826" max="13826" width="9.44140625" style="3064" customWidth="1"/>
    <col min="13827" max="13828" width="9" style="3064" customWidth="1"/>
    <col min="13829" max="13829" width="10.77734375" style="3064" customWidth="1"/>
    <col min="13830" max="13831" width="9" style="3064" customWidth="1"/>
    <col min="13832" max="13832" width="14.21875" style="3064" customWidth="1"/>
    <col min="13833" max="13833" width="13.21875" style="3064" customWidth="1"/>
    <col min="13834" max="14080" width="9" style="3064"/>
    <col min="14081" max="14081" width="9" style="3064" customWidth="1"/>
    <col min="14082" max="14082" width="9.44140625" style="3064" customWidth="1"/>
    <col min="14083" max="14084" width="9" style="3064" customWidth="1"/>
    <col min="14085" max="14085" width="10.77734375" style="3064" customWidth="1"/>
    <col min="14086" max="14087" width="9" style="3064" customWidth="1"/>
    <col min="14088" max="14088" width="14.21875" style="3064" customWidth="1"/>
    <col min="14089" max="14089" width="13.21875" style="3064" customWidth="1"/>
    <col min="14090" max="14336" width="9" style="3064"/>
    <col min="14337" max="14337" width="9" style="3064" customWidth="1"/>
    <col min="14338" max="14338" width="9.44140625" style="3064" customWidth="1"/>
    <col min="14339" max="14340" width="9" style="3064" customWidth="1"/>
    <col min="14341" max="14341" width="10.77734375" style="3064" customWidth="1"/>
    <col min="14342" max="14343" width="9" style="3064" customWidth="1"/>
    <col min="14344" max="14344" width="14.21875" style="3064" customWidth="1"/>
    <col min="14345" max="14345" width="13.21875" style="3064" customWidth="1"/>
    <col min="14346" max="14592" width="9" style="3064"/>
    <col min="14593" max="14593" width="9" style="3064" customWidth="1"/>
    <col min="14594" max="14594" width="9.44140625" style="3064" customWidth="1"/>
    <col min="14595" max="14596" width="9" style="3064" customWidth="1"/>
    <col min="14597" max="14597" width="10.77734375" style="3064" customWidth="1"/>
    <col min="14598" max="14599" width="9" style="3064" customWidth="1"/>
    <col min="14600" max="14600" width="14.21875" style="3064" customWidth="1"/>
    <col min="14601" max="14601" width="13.21875" style="3064" customWidth="1"/>
    <col min="14602" max="14848" width="9" style="3064"/>
    <col min="14849" max="14849" width="9" style="3064" customWidth="1"/>
    <col min="14850" max="14850" width="9.44140625" style="3064" customWidth="1"/>
    <col min="14851" max="14852" width="9" style="3064" customWidth="1"/>
    <col min="14853" max="14853" width="10.77734375" style="3064" customWidth="1"/>
    <col min="14854" max="14855" width="9" style="3064" customWidth="1"/>
    <col min="14856" max="14856" width="14.21875" style="3064" customWidth="1"/>
    <col min="14857" max="14857" width="13.21875" style="3064" customWidth="1"/>
    <col min="14858" max="15104" width="9" style="3064"/>
    <col min="15105" max="15105" width="9" style="3064" customWidth="1"/>
    <col min="15106" max="15106" width="9.44140625" style="3064" customWidth="1"/>
    <col min="15107" max="15108" width="9" style="3064" customWidth="1"/>
    <col min="15109" max="15109" width="10.77734375" style="3064" customWidth="1"/>
    <col min="15110" max="15111" width="9" style="3064" customWidth="1"/>
    <col min="15112" max="15112" width="14.21875" style="3064" customWidth="1"/>
    <col min="15113" max="15113" width="13.21875" style="3064" customWidth="1"/>
    <col min="15114" max="15360" width="9" style="3064"/>
    <col min="15361" max="15361" width="9" style="3064" customWidth="1"/>
    <col min="15362" max="15362" width="9.44140625" style="3064" customWidth="1"/>
    <col min="15363" max="15364" width="9" style="3064" customWidth="1"/>
    <col min="15365" max="15365" width="10.77734375" style="3064" customWidth="1"/>
    <col min="15366" max="15367" width="9" style="3064" customWidth="1"/>
    <col min="15368" max="15368" width="14.21875" style="3064" customWidth="1"/>
    <col min="15369" max="15369" width="13.21875" style="3064" customWidth="1"/>
    <col min="15370" max="15616" width="9" style="3064"/>
    <col min="15617" max="15617" width="9" style="3064" customWidth="1"/>
    <col min="15618" max="15618" width="9.44140625" style="3064" customWidth="1"/>
    <col min="15619" max="15620" width="9" style="3064" customWidth="1"/>
    <col min="15621" max="15621" width="10.77734375" style="3064" customWidth="1"/>
    <col min="15622" max="15623" width="9" style="3064" customWidth="1"/>
    <col min="15624" max="15624" width="14.21875" style="3064" customWidth="1"/>
    <col min="15625" max="15625" width="13.21875" style="3064" customWidth="1"/>
    <col min="15626" max="15872" width="9" style="3064"/>
    <col min="15873" max="15873" width="9" style="3064" customWidth="1"/>
    <col min="15874" max="15874" width="9.44140625" style="3064" customWidth="1"/>
    <col min="15875" max="15876" width="9" style="3064" customWidth="1"/>
    <col min="15877" max="15877" width="10.77734375" style="3064" customWidth="1"/>
    <col min="15878" max="15879" width="9" style="3064" customWidth="1"/>
    <col min="15880" max="15880" width="14.21875" style="3064" customWidth="1"/>
    <col min="15881" max="15881" width="13.21875" style="3064" customWidth="1"/>
    <col min="15882" max="16128" width="9" style="3064"/>
    <col min="16129" max="16129" width="9" style="3064" customWidth="1"/>
    <col min="16130" max="16130" width="9.44140625" style="3064" customWidth="1"/>
    <col min="16131" max="16132" width="9" style="3064" customWidth="1"/>
    <col min="16133" max="16133" width="10.77734375" style="3064" customWidth="1"/>
    <col min="16134" max="16135" width="9" style="3064" customWidth="1"/>
    <col min="16136" max="16136" width="14.21875" style="3064" customWidth="1"/>
    <col min="16137" max="16137" width="13.21875" style="3064" customWidth="1"/>
    <col min="16138" max="16384" width="9" style="3064"/>
  </cols>
  <sheetData>
    <row r="1" spans="1:11">
      <c r="A1" s="3449" t="s">
        <v>3412</v>
      </c>
      <c r="B1" s="3450"/>
      <c r="C1" s="3450"/>
      <c r="D1" s="3450"/>
      <c r="E1" s="3450"/>
      <c r="F1" s="3450"/>
      <c r="G1" s="3450"/>
      <c r="H1" s="3450"/>
      <c r="I1" s="3450"/>
      <c r="J1" s="3450"/>
      <c r="K1" s="3451"/>
    </row>
    <row r="2" spans="1:11">
      <c r="A2" s="3452"/>
      <c r="B2" s="3453"/>
      <c r="C2" s="3453"/>
      <c r="D2" s="3453"/>
      <c r="E2" s="3453"/>
      <c r="F2" s="3453"/>
      <c r="G2" s="3453"/>
      <c r="H2" s="3453"/>
      <c r="I2" s="3453"/>
      <c r="J2" s="3453"/>
      <c r="K2" s="3454"/>
    </row>
    <row r="3" spans="1:11" ht="18.75" customHeight="1">
      <c r="A3" s="3455" t="s">
        <v>3413</v>
      </c>
      <c r="B3" s="3456"/>
      <c r="C3" s="3456"/>
      <c r="D3" s="3456"/>
      <c r="E3" s="3456"/>
      <c r="F3" s="3456"/>
      <c r="G3" s="3457"/>
      <c r="H3" s="3458" t="s">
        <v>3414</v>
      </c>
      <c r="I3" s="3458"/>
      <c r="J3" s="3458"/>
      <c r="K3" s="3458"/>
    </row>
    <row r="4" spans="1:11">
      <c r="A4" s="3459" t="s">
        <v>3415</v>
      </c>
      <c r="B4" s="3459" t="s">
        <v>3416</v>
      </c>
      <c r="C4" s="3460" t="s">
        <v>3417</v>
      </c>
      <c r="D4" s="3459" t="s">
        <v>3418</v>
      </c>
      <c r="E4" s="3459" t="s">
        <v>3419</v>
      </c>
      <c r="F4" s="3459" t="s">
        <v>3420</v>
      </c>
      <c r="G4" s="3459"/>
      <c r="H4" s="3459" t="s">
        <v>3421</v>
      </c>
      <c r="I4" s="3461" t="s">
        <v>3422</v>
      </c>
      <c r="J4" s="3459" t="s">
        <v>3423</v>
      </c>
      <c r="K4" s="3459" t="s">
        <v>3424</v>
      </c>
    </row>
    <row r="5" spans="1:11" ht="28.5" customHeight="1">
      <c r="A5" s="3459"/>
      <c r="B5" s="3459"/>
      <c r="C5" s="3460"/>
      <c r="D5" s="3459"/>
      <c r="E5" s="3459"/>
      <c r="F5" s="3065" t="s">
        <v>3425</v>
      </c>
      <c r="G5" s="3065" t="s">
        <v>3426</v>
      </c>
      <c r="H5" s="3459"/>
      <c r="I5" s="3461"/>
      <c r="J5" s="3459"/>
      <c r="K5" s="3459"/>
    </row>
    <row r="6" spans="1:11">
      <c r="A6" s="3066" t="s">
        <v>3427</v>
      </c>
      <c r="B6" s="3066" t="s">
        <v>3428</v>
      </c>
      <c r="C6" s="3066">
        <v>101</v>
      </c>
      <c r="D6" s="3066" t="s">
        <v>3429</v>
      </c>
      <c r="E6" s="3066">
        <v>73.73</v>
      </c>
      <c r="F6" s="3066">
        <v>72.16</v>
      </c>
      <c r="G6" s="3067">
        <v>1.57</v>
      </c>
      <c r="H6" s="3066">
        <v>29813.22</v>
      </c>
      <c r="I6" s="3066">
        <f t="shared" ref="I6:I25" si="0">ROUND(H6*E6,0)</f>
        <v>2198129</v>
      </c>
      <c r="J6" s="3068" t="s">
        <v>3430</v>
      </c>
      <c r="K6" s="3068" t="s">
        <v>3431</v>
      </c>
    </row>
    <row r="7" spans="1:11">
      <c r="A7" s="3066" t="s">
        <v>3427</v>
      </c>
      <c r="B7" s="3066" t="s">
        <v>3428</v>
      </c>
      <c r="C7" s="3066">
        <v>102</v>
      </c>
      <c r="D7" s="3066" t="s">
        <v>3429</v>
      </c>
      <c r="E7" s="3066">
        <v>70.38</v>
      </c>
      <c r="F7" s="3066">
        <v>68.88</v>
      </c>
      <c r="G7" s="3067">
        <v>1.5</v>
      </c>
      <c r="H7" s="3066">
        <v>29813.22</v>
      </c>
      <c r="I7" s="3066">
        <f t="shared" si="0"/>
        <v>2098254</v>
      </c>
      <c r="J7" s="3068" t="s">
        <v>3430</v>
      </c>
      <c r="K7" s="3068" t="s">
        <v>3431</v>
      </c>
    </row>
    <row r="8" spans="1:11">
      <c r="A8" s="3066" t="s">
        <v>3427</v>
      </c>
      <c r="B8" s="3066" t="s">
        <v>3428</v>
      </c>
      <c r="C8" s="3066">
        <v>103</v>
      </c>
      <c r="D8" s="3066" t="s">
        <v>3429</v>
      </c>
      <c r="E8" s="3066">
        <v>59.22</v>
      </c>
      <c r="F8" s="3066">
        <v>57.96</v>
      </c>
      <c r="G8" s="3067">
        <v>1.26</v>
      </c>
      <c r="H8" s="3066">
        <v>29313.22</v>
      </c>
      <c r="I8" s="3066">
        <f t="shared" si="0"/>
        <v>1735929</v>
      </c>
      <c r="J8" s="3068" t="s">
        <v>3430</v>
      </c>
      <c r="K8" s="3068" t="s">
        <v>3431</v>
      </c>
    </row>
    <row r="9" spans="1:11">
      <c r="A9" s="3066" t="s">
        <v>3427</v>
      </c>
      <c r="B9" s="3066" t="s">
        <v>3428</v>
      </c>
      <c r="C9" s="3066">
        <v>105</v>
      </c>
      <c r="D9" s="3066" t="s">
        <v>3429</v>
      </c>
      <c r="E9" s="3066">
        <v>59.22</v>
      </c>
      <c r="F9" s="3066">
        <v>57.96</v>
      </c>
      <c r="G9" s="3067">
        <v>1.26</v>
      </c>
      <c r="H9" s="3066">
        <v>29313.22</v>
      </c>
      <c r="I9" s="3066">
        <f t="shared" si="0"/>
        <v>1735929</v>
      </c>
      <c r="J9" s="3068" t="s">
        <v>3430</v>
      </c>
      <c r="K9" s="3068" t="s">
        <v>3431</v>
      </c>
    </row>
    <row r="10" spans="1:11">
      <c r="A10" s="3066" t="s">
        <v>3427</v>
      </c>
      <c r="B10" s="3066" t="s">
        <v>3428</v>
      </c>
      <c r="C10" s="3066">
        <v>106</v>
      </c>
      <c r="D10" s="3066" t="s">
        <v>3429</v>
      </c>
      <c r="E10" s="3066">
        <v>59.22</v>
      </c>
      <c r="F10" s="3066">
        <v>57.96</v>
      </c>
      <c r="G10" s="3067">
        <v>1.26</v>
      </c>
      <c r="H10" s="3066">
        <v>29313.22</v>
      </c>
      <c r="I10" s="3066">
        <f t="shared" si="0"/>
        <v>1735929</v>
      </c>
      <c r="J10" s="3068" t="s">
        <v>3430</v>
      </c>
      <c r="K10" s="3068" t="s">
        <v>3431</v>
      </c>
    </row>
    <row r="11" spans="1:11">
      <c r="A11" s="3066" t="s">
        <v>3427</v>
      </c>
      <c r="B11" s="3066" t="s">
        <v>3428</v>
      </c>
      <c r="C11" s="3066">
        <v>107</v>
      </c>
      <c r="D11" s="3066" t="s">
        <v>3429</v>
      </c>
      <c r="E11" s="3066">
        <v>59.22</v>
      </c>
      <c r="F11" s="3066">
        <v>57.96</v>
      </c>
      <c r="G11" s="3067">
        <v>1.26</v>
      </c>
      <c r="H11" s="3066">
        <v>29313.22</v>
      </c>
      <c r="I11" s="3066">
        <f t="shared" si="0"/>
        <v>1735929</v>
      </c>
      <c r="J11" s="3068" t="s">
        <v>3430</v>
      </c>
      <c r="K11" s="3068" t="s">
        <v>3431</v>
      </c>
    </row>
    <row r="12" spans="1:11">
      <c r="A12" s="3066" t="s">
        <v>3427</v>
      </c>
      <c r="B12" s="3066" t="s">
        <v>3428</v>
      </c>
      <c r="C12" s="3066">
        <v>108</v>
      </c>
      <c r="D12" s="3066" t="s">
        <v>3429</v>
      </c>
      <c r="E12" s="3066">
        <v>59.22</v>
      </c>
      <c r="F12" s="3066">
        <v>57.96</v>
      </c>
      <c r="G12" s="3067">
        <v>1.26</v>
      </c>
      <c r="H12" s="3066">
        <v>29313.22</v>
      </c>
      <c r="I12" s="3066">
        <f t="shared" si="0"/>
        <v>1735929</v>
      </c>
      <c r="J12" s="3068" t="s">
        <v>3430</v>
      </c>
      <c r="K12" s="3068" t="s">
        <v>3431</v>
      </c>
    </row>
    <row r="13" spans="1:11">
      <c r="A13" s="3066" t="s">
        <v>3427</v>
      </c>
      <c r="B13" s="3066" t="s">
        <v>3428</v>
      </c>
      <c r="C13" s="3066">
        <v>109</v>
      </c>
      <c r="D13" s="3066" t="s">
        <v>3429</v>
      </c>
      <c r="E13" s="3066">
        <v>59.22</v>
      </c>
      <c r="F13" s="3066">
        <v>57.96</v>
      </c>
      <c r="G13" s="3067">
        <v>1.26</v>
      </c>
      <c r="H13" s="3066">
        <v>29313.22</v>
      </c>
      <c r="I13" s="3066">
        <f t="shared" si="0"/>
        <v>1735929</v>
      </c>
      <c r="J13" s="3068" t="s">
        <v>3430</v>
      </c>
      <c r="K13" s="3068" t="s">
        <v>3431</v>
      </c>
    </row>
    <row r="14" spans="1:11">
      <c r="A14" s="3066" t="s">
        <v>3427</v>
      </c>
      <c r="B14" s="3066" t="s">
        <v>3428</v>
      </c>
      <c r="C14" s="3066">
        <v>110</v>
      </c>
      <c r="D14" s="3066" t="s">
        <v>3429</v>
      </c>
      <c r="E14" s="3066">
        <v>77.55</v>
      </c>
      <c r="F14" s="3066">
        <v>75.900000000000006</v>
      </c>
      <c r="G14" s="3067">
        <v>1.65</v>
      </c>
      <c r="H14" s="3066">
        <v>26813.22</v>
      </c>
      <c r="I14" s="3066">
        <f t="shared" si="0"/>
        <v>2079365</v>
      </c>
      <c r="J14" s="3068" t="s">
        <v>3430</v>
      </c>
      <c r="K14" s="3068" t="s">
        <v>3431</v>
      </c>
    </row>
    <row r="15" spans="1:11">
      <c r="A15" s="3066" t="s">
        <v>3427</v>
      </c>
      <c r="B15" s="3066" t="s">
        <v>3428</v>
      </c>
      <c r="C15" s="3066">
        <v>111</v>
      </c>
      <c r="D15" s="3066" t="s">
        <v>3429</v>
      </c>
      <c r="E15" s="3066">
        <v>68.98</v>
      </c>
      <c r="F15" s="3066">
        <v>67.510000000000005</v>
      </c>
      <c r="G15" s="3067">
        <v>1.47</v>
      </c>
      <c r="H15" s="3066">
        <v>28313.22</v>
      </c>
      <c r="I15" s="3066">
        <f t="shared" si="0"/>
        <v>1953046</v>
      </c>
      <c r="J15" s="3068" t="s">
        <v>3430</v>
      </c>
      <c r="K15" s="3068" t="s">
        <v>3431</v>
      </c>
    </row>
    <row r="16" spans="1:11">
      <c r="A16" s="3066" t="s">
        <v>3427</v>
      </c>
      <c r="B16" s="3066" t="s">
        <v>3432</v>
      </c>
      <c r="C16" s="3066">
        <v>201</v>
      </c>
      <c r="D16" s="3066" t="s">
        <v>3429</v>
      </c>
      <c r="E16" s="3066">
        <v>104.11</v>
      </c>
      <c r="F16" s="3066">
        <v>88.36</v>
      </c>
      <c r="G16" s="3067">
        <v>15.75</v>
      </c>
      <c r="H16" s="3066">
        <v>22313.22</v>
      </c>
      <c r="I16" s="3066">
        <f t="shared" si="0"/>
        <v>2323029</v>
      </c>
      <c r="J16" s="3068" t="s">
        <v>3430</v>
      </c>
      <c r="K16" s="3068" t="s">
        <v>3431</v>
      </c>
    </row>
    <row r="17" spans="1:11">
      <c r="A17" s="3066" t="s">
        <v>3427</v>
      </c>
      <c r="B17" s="3066" t="s">
        <v>3432</v>
      </c>
      <c r="C17" s="3066">
        <v>202</v>
      </c>
      <c r="D17" s="3066" t="s">
        <v>3429</v>
      </c>
      <c r="E17" s="3066">
        <v>100.95</v>
      </c>
      <c r="F17" s="3066">
        <v>85.68</v>
      </c>
      <c r="G17" s="3067">
        <v>15.27</v>
      </c>
      <c r="H17" s="3066">
        <v>21813.22</v>
      </c>
      <c r="I17" s="3066">
        <f t="shared" si="0"/>
        <v>2202045</v>
      </c>
      <c r="J17" s="3068" t="s">
        <v>3430</v>
      </c>
      <c r="K17" s="3068" t="s">
        <v>3431</v>
      </c>
    </row>
    <row r="18" spans="1:11">
      <c r="A18" s="3066" t="s">
        <v>3427</v>
      </c>
      <c r="B18" s="3066" t="s">
        <v>3432</v>
      </c>
      <c r="C18" s="3066">
        <v>203</v>
      </c>
      <c r="D18" s="3066" t="s">
        <v>3429</v>
      </c>
      <c r="E18" s="3066">
        <v>62.35</v>
      </c>
      <c r="F18" s="3066">
        <v>52.92</v>
      </c>
      <c r="G18" s="3067">
        <v>9.43</v>
      </c>
      <c r="H18" s="3066">
        <v>22813.22</v>
      </c>
      <c r="I18" s="3066">
        <f t="shared" si="0"/>
        <v>1422404</v>
      </c>
      <c r="J18" s="3068" t="s">
        <v>3430</v>
      </c>
      <c r="K18" s="3068" t="s">
        <v>3431</v>
      </c>
    </row>
    <row r="19" spans="1:11">
      <c r="A19" s="3066" t="s">
        <v>3427</v>
      </c>
      <c r="B19" s="3066" t="s">
        <v>3432</v>
      </c>
      <c r="C19" s="3066">
        <v>205</v>
      </c>
      <c r="D19" s="3066" t="s">
        <v>3429</v>
      </c>
      <c r="E19" s="3066">
        <v>62.35</v>
      </c>
      <c r="F19" s="3066">
        <v>52.92</v>
      </c>
      <c r="G19" s="3067">
        <v>9.43</v>
      </c>
      <c r="H19" s="3066">
        <v>22413.22</v>
      </c>
      <c r="I19" s="3066">
        <f t="shared" si="0"/>
        <v>1397464</v>
      </c>
      <c r="J19" s="3068" t="s">
        <v>3430</v>
      </c>
      <c r="K19" s="3068" t="s">
        <v>3431</v>
      </c>
    </row>
    <row r="20" spans="1:11">
      <c r="A20" s="3066" t="s">
        <v>3427</v>
      </c>
      <c r="B20" s="3066" t="s">
        <v>3432</v>
      </c>
      <c r="C20" s="3066">
        <v>206</v>
      </c>
      <c r="D20" s="3066" t="s">
        <v>3429</v>
      </c>
      <c r="E20" s="3066">
        <v>52.46</v>
      </c>
      <c r="F20" s="3066">
        <v>44.52</v>
      </c>
      <c r="G20" s="3067">
        <v>7.94</v>
      </c>
      <c r="H20" s="3066">
        <v>22413.22</v>
      </c>
      <c r="I20" s="3066">
        <f t="shared" si="0"/>
        <v>1175798</v>
      </c>
      <c r="J20" s="3068" t="s">
        <v>3430</v>
      </c>
      <c r="K20" s="3068" t="s">
        <v>3431</v>
      </c>
    </row>
    <row r="21" spans="1:11">
      <c r="A21" s="3066" t="s">
        <v>3427</v>
      </c>
      <c r="B21" s="3066" t="s">
        <v>3432</v>
      </c>
      <c r="C21" s="3066">
        <v>207</v>
      </c>
      <c r="D21" s="3066" t="s">
        <v>3429</v>
      </c>
      <c r="E21" s="3066">
        <v>52.46</v>
      </c>
      <c r="F21" s="3066">
        <v>44.52</v>
      </c>
      <c r="G21" s="3067">
        <v>7.94</v>
      </c>
      <c r="H21" s="3066">
        <v>22413.22</v>
      </c>
      <c r="I21" s="3066">
        <f t="shared" si="0"/>
        <v>1175798</v>
      </c>
      <c r="J21" s="3068" t="s">
        <v>3430</v>
      </c>
      <c r="K21" s="3068" t="s">
        <v>3431</v>
      </c>
    </row>
    <row r="22" spans="1:11">
      <c r="A22" s="3066" t="s">
        <v>3427</v>
      </c>
      <c r="B22" s="3066" t="s">
        <v>3432</v>
      </c>
      <c r="C22" s="3066">
        <v>208</v>
      </c>
      <c r="D22" s="3066" t="s">
        <v>3429</v>
      </c>
      <c r="E22" s="3066">
        <v>52.46</v>
      </c>
      <c r="F22" s="3066">
        <v>44.52</v>
      </c>
      <c r="G22" s="3067">
        <v>7.94</v>
      </c>
      <c r="H22" s="3066">
        <v>22413.22</v>
      </c>
      <c r="I22" s="3066">
        <f t="shared" si="0"/>
        <v>1175798</v>
      </c>
      <c r="J22" s="3068" t="s">
        <v>3430</v>
      </c>
      <c r="K22" s="3068" t="s">
        <v>3431</v>
      </c>
    </row>
    <row r="23" spans="1:11">
      <c r="A23" s="3066" t="s">
        <v>3427</v>
      </c>
      <c r="B23" s="3066" t="s">
        <v>3432</v>
      </c>
      <c r="C23" s="3066">
        <v>209</v>
      </c>
      <c r="D23" s="3066" t="s">
        <v>3429</v>
      </c>
      <c r="E23" s="3066">
        <v>52.46</v>
      </c>
      <c r="F23" s="3066">
        <v>44.52</v>
      </c>
      <c r="G23" s="3067">
        <v>7.94</v>
      </c>
      <c r="H23" s="3066">
        <v>22413.22</v>
      </c>
      <c r="I23" s="3066">
        <f t="shared" si="0"/>
        <v>1175798</v>
      </c>
      <c r="J23" s="3068" t="s">
        <v>3430</v>
      </c>
      <c r="K23" s="3068" t="s">
        <v>3431</v>
      </c>
    </row>
    <row r="24" spans="1:11">
      <c r="A24" s="3066" t="s">
        <v>3427</v>
      </c>
      <c r="B24" s="3066" t="s">
        <v>3432</v>
      </c>
      <c r="C24" s="3066">
        <v>210</v>
      </c>
      <c r="D24" s="3066" t="s">
        <v>3429</v>
      </c>
      <c r="E24" s="3066">
        <v>68.680000000000007</v>
      </c>
      <c r="F24" s="3066">
        <v>58.3</v>
      </c>
      <c r="G24" s="3067">
        <v>10.38</v>
      </c>
      <c r="H24" s="3066">
        <v>20913.22</v>
      </c>
      <c r="I24" s="3066">
        <f t="shared" si="0"/>
        <v>1436320</v>
      </c>
      <c r="J24" s="3068" t="s">
        <v>3430</v>
      </c>
      <c r="K24" s="3068" t="s">
        <v>3431</v>
      </c>
    </row>
    <row r="25" spans="1:11">
      <c r="A25" s="3066" t="s">
        <v>3427</v>
      </c>
      <c r="B25" s="3066" t="s">
        <v>3432</v>
      </c>
      <c r="C25" s="3066">
        <v>211</v>
      </c>
      <c r="D25" s="3066" t="s">
        <v>3429</v>
      </c>
      <c r="E25" s="3066">
        <v>73.48</v>
      </c>
      <c r="F25" s="3066">
        <v>62.37</v>
      </c>
      <c r="G25" s="3067">
        <v>11.11</v>
      </c>
      <c r="H25" s="3066">
        <v>20313.22</v>
      </c>
      <c r="I25" s="3066">
        <f t="shared" si="0"/>
        <v>1492615</v>
      </c>
      <c r="J25" s="3068" t="s">
        <v>3430</v>
      </c>
      <c r="K25" s="3068" t="s">
        <v>3431</v>
      </c>
    </row>
    <row r="26" spans="1:11" s="3074" customFormat="1">
      <c r="A26" s="3069"/>
      <c r="B26" s="3069"/>
      <c r="C26" s="3070"/>
      <c r="D26" s="3069"/>
      <c r="E26" s="3069">
        <f>SUM(E6:E25)</f>
        <v>1327.7200000000003</v>
      </c>
      <c r="F26" s="3069"/>
      <c r="G26" s="3071"/>
      <c r="H26" s="3072">
        <f>ROUND(I26/E26,2)</f>
        <v>25398</v>
      </c>
      <c r="I26" s="3069">
        <f>SUM(I6:I25)</f>
        <v>33721437</v>
      </c>
      <c r="J26" s="3073"/>
      <c r="K26" s="3073"/>
    </row>
    <row r="27" spans="1:11">
      <c r="A27" s="3075"/>
      <c r="B27" s="3075"/>
      <c r="C27" s="3076"/>
      <c r="D27" s="3075"/>
      <c r="E27" s="3075"/>
      <c r="F27" s="3075"/>
      <c r="G27" s="3077"/>
      <c r="H27" s="3075"/>
      <c r="I27" s="3075"/>
      <c r="J27" s="3075"/>
      <c r="K27" s="3075"/>
    </row>
    <row r="28" spans="1:11" ht="27.75" customHeight="1">
      <c r="A28" s="3447" t="s">
        <v>3433</v>
      </c>
      <c r="B28" s="3447"/>
      <c r="C28" s="3447"/>
      <c r="D28" s="3447"/>
      <c r="E28" s="3447"/>
      <c r="F28" s="3447"/>
      <c r="G28" s="3447"/>
      <c r="H28" s="3447"/>
      <c r="I28" s="3447"/>
      <c r="J28" s="3447"/>
      <c r="K28" s="3447"/>
    </row>
    <row r="29" spans="1:11">
      <c r="A29" s="3075"/>
      <c r="B29" s="3075"/>
      <c r="C29" s="3448" t="s">
        <v>3434</v>
      </c>
      <c r="D29" s="3448"/>
      <c r="E29" s="3448"/>
      <c r="F29" s="3448"/>
      <c r="G29" s="3448"/>
      <c r="H29" s="3448"/>
      <c r="I29" s="3448"/>
      <c r="J29" s="3448"/>
      <c r="K29" s="3448"/>
    </row>
  </sheetData>
  <mergeCells count="15">
    <mergeCell ref="A28:K28"/>
    <mergeCell ref="C29:K29"/>
    <mergeCell ref="A1:K2"/>
    <mergeCell ref="A3:G3"/>
    <mergeCell ref="H3:K3"/>
    <mergeCell ref="A4:A5"/>
    <mergeCell ref="B4:B5"/>
    <mergeCell ref="C4:C5"/>
    <mergeCell ref="D4:D5"/>
    <mergeCell ref="E4:E5"/>
    <mergeCell ref="F4:G4"/>
    <mergeCell ref="H4:H5"/>
    <mergeCell ref="I4:I5"/>
    <mergeCell ref="J4:J5"/>
    <mergeCell ref="K4:K5"/>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5" sqref="J35"/>
    </sheetView>
  </sheetViews>
  <sheetFormatPr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113" t="s">
        <v>1658</v>
      </c>
      <c r="B1" s="3113"/>
      <c r="C1" s="3113"/>
      <c r="D1" s="3113"/>
    </row>
    <row r="2" spans="1:4" ht="17.399999999999999">
      <c r="A2" s="3114" t="s">
        <v>1642</v>
      </c>
      <c r="B2" s="3114"/>
      <c r="C2" s="3114"/>
      <c r="D2" s="3114"/>
    </row>
    <row r="3" spans="1:4" ht="17.399999999999999">
      <c r="A3" s="1973" t="s">
        <v>1643</v>
      </c>
      <c r="B3" s="1973" t="s">
        <v>1644</v>
      </c>
      <c r="C3" s="1973" t="s">
        <v>1645</v>
      </c>
      <c r="D3" s="1973" t="s">
        <v>1646</v>
      </c>
    </row>
    <row r="4" spans="1:4" ht="56.25" customHeight="1">
      <c r="A4" s="1974" t="str">
        <f>项目基本情况!B4</f>
        <v>王鹏</v>
      </c>
      <c r="B4" s="1975">
        <f ca="1">项目基本情况!C4</f>
        <v>1120050019</v>
      </c>
      <c r="C4" s="1976"/>
      <c r="D4" s="1977" t="s">
        <v>1647</v>
      </c>
    </row>
    <row r="5" spans="1:4" ht="56.25" customHeight="1">
      <c r="A5" s="1974" t="str">
        <f>项目基本情况!D4</f>
        <v>郑燚</v>
      </c>
      <c r="B5" s="1975">
        <f ca="1">项目基本情况!E4</f>
        <v>1120070131</v>
      </c>
      <c r="C5" s="1978"/>
      <c r="D5" s="1977" t="s">
        <v>1647</v>
      </c>
    </row>
    <row r="6" spans="1:4" ht="17.399999999999999">
      <c r="A6" s="3114" t="s">
        <v>1648</v>
      </c>
      <c r="B6" s="3114"/>
      <c r="C6" s="3114"/>
      <c r="D6" s="3114"/>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8"/>
      <c r="B9" s="728"/>
      <c r="C9" s="728"/>
      <c r="D9" s="728"/>
    </row>
    <row r="10" spans="1:4" ht="17.399999999999999">
      <c r="A10" s="1980" t="s">
        <v>1650</v>
      </c>
      <c r="B10" s="728"/>
      <c r="C10" s="728"/>
      <c r="D10" s="728"/>
    </row>
    <row r="11" spans="1:4" ht="30" customHeight="1">
      <c r="A11" s="3115" t="s">
        <v>1651</v>
      </c>
      <c r="B11" s="3116"/>
      <c r="C11" s="3116"/>
      <c r="D11" s="3116"/>
    </row>
    <row r="12" spans="1:4" ht="15.6">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1652</v>
      </c>
      <c r="B16" s="3119"/>
      <c r="C16" s="3119"/>
      <c r="D16" s="3119"/>
    </row>
    <row r="17" spans="1:4" ht="144" customHeight="1">
      <c r="A17" s="3119" t="s">
        <v>1653</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1654</v>
      </c>
      <c r="B22" s="3121"/>
      <c r="C22" s="3121"/>
      <c r="D22" s="3121"/>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127" t="s">
        <v>1665</v>
      </c>
      <c r="B15" s="3122" t="s">
        <v>136</v>
      </c>
      <c r="C15" s="3123"/>
    </row>
    <row r="16" spans="1:7" ht="14.4">
      <c r="A16" s="3128"/>
      <c r="B16" s="3122" t="s">
        <v>69</v>
      </c>
      <c r="C16" s="3123"/>
    </row>
    <row r="17" spans="1:3" ht="14.4">
      <c r="A17" s="3128"/>
      <c r="B17" s="3125" t="s">
        <v>1666</v>
      </c>
      <c r="C17" s="1996" t="s">
        <v>1665</v>
      </c>
    </row>
    <row r="18" spans="1:3" ht="14.4">
      <c r="A18" s="3128"/>
      <c r="B18" s="3125"/>
      <c r="C18" s="1996" t="s">
        <v>1667</v>
      </c>
    </row>
    <row r="19" spans="1:3" ht="14.4">
      <c r="A19" s="3128"/>
      <c r="B19" s="3125"/>
      <c r="C19" s="1996" t="s">
        <v>1668</v>
      </c>
    </row>
    <row r="20" spans="1:3" ht="14.4">
      <c r="A20" s="3129"/>
      <c r="B20" s="3124" t="s">
        <v>1669</v>
      </c>
      <c r="C20" s="3123"/>
    </row>
    <row r="21" spans="1:3" ht="14.4">
      <c r="A21" s="1997" t="s">
        <v>1670</v>
      </c>
      <c r="B21" s="1998"/>
      <c r="C21" s="1999"/>
    </row>
    <row r="22" spans="1:3" ht="14.4">
      <c r="A22" s="3126" t="s">
        <v>1671</v>
      </c>
      <c r="B22" s="3124" t="s">
        <v>1672</v>
      </c>
      <c r="C22" s="3123"/>
    </row>
    <row r="23" spans="1:3" ht="14.4">
      <c r="A23" s="3126"/>
      <c r="B23" s="3124" t="s">
        <v>1673</v>
      </c>
      <c r="C23" s="3123"/>
    </row>
    <row r="24" spans="1:3" ht="14.4">
      <c r="A24" s="3126"/>
      <c r="B24" s="3124" t="s">
        <v>1674</v>
      </c>
      <c r="C24" s="3123"/>
    </row>
    <row r="25" spans="1:3" ht="14.4">
      <c r="A25" s="3126"/>
      <c r="B25" s="3125" t="s">
        <v>1675</v>
      </c>
      <c r="C25" s="1996" t="s">
        <v>1676</v>
      </c>
    </row>
    <row r="26" spans="1:3" ht="14.4">
      <c r="A26" s="3126"/>
      <c r="B26" s="3125"/>
      <c r="C26" s="1996" t="s">
        <v>1677</v>
      </c>
    </row>
    <row r="27" spans="1:3" ht="14.4">
      <c r="A27" s="3126"/>
      <c r="B27" s="3125"/>
      <c r="C27" s="1996" t="s">
        <v>1678</v>
      </c>
    </row>
    <row r="28" spans="1:3" ht="14.4">
      <c r="A28" s="3126"/>
      <c r="B28" s="3125"/>
      <c r="C28" s="1996" t="s">
        <v>1679</v>
      </c>
    </row>
    <row r="29" spans="1:3" ht="14.4">
      <c r="A29" s="3126"/>
      <c r="B29" s="3125"/>
      <c r="C29" s="1996" t="s">
        <v>1680</v>
      </c>
    </row>
    <row r="30" spans="1:3" ht="14.4">
      <c r="A30" s="3126"/>
      <c r="B30" s="3125"/>
      <c r="C30" s="1996" t="s">
        <v>1681</v>
      </c>
    </row>
    <row r="31" spans="1:3" ht="14.4">
      <c r="A31" s="3126"/>
      <c r="B31" s="3125"/>
      <c r="C31" s="1996" t="s">
        <v>1682</v>
      </c>
    </row>
    <row r="32" spans="1:3" ht="14.4">
      <c r="A32" s="3126"/>
      <c r="B32" s="3125"/>
      <c r="C32" s="1996" t="s">
        <v>1683</v>
      </c>
    </row>
    <row r="33" spans="1:3" ht="14.4">
      <c r="A33" s="3126"/>
      <c r="B33" s="3125"/>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43634</v>
      </c>
      <c r="C2" s="1016" t="s">
        <v>826</v>
      </c>
      <c r="D2" s="1016"/>
    </row>
    <row r="3" spans="1:6" ht="24" customHeight="1">
      <c r="A3" s="1017" t="s">
        <v>827</v>
      </c>
      <c r="B3" s="1018" t="s">
        <v>828</v>
      </c>
      <c r="C3" s="2337" t="s">
        <v>829</v>
      </c>
      <c r="D3" s="2340" t="s">
        <v>830</v>
      </c>
      <c r="E3" s="1019" t="s">
        <v>831</v>
      </c>
      <c r="F3" s="1018" t="s">
        <v>829</v>
      </c>
    </row>
    <row r="4" spans="1:6" ht="24" customHeight="1">
      <c r="A4" s="1698" t="s">
        <v>832</v>
      </c>
      <c r="B4" s="1019">
        <f ca="1">IF(C4&lt;B2,"已过期",1119970066)</f>
        <v>1119970066</v>
      </c>
      <c r="C4" s="2338">
        <v>43849</v>
      </c>
      <c r="D4" s="2341" t="s">
        <v>832</v>
      </c>
      <c r="E4" s="1019">
        <f ca="1">IF(F4&lt;B2,"已过期",96010014)</f>
        <v>96010014</v>
      </c>
      <c r="F4" s="1027">
        <v>47118</v>
      </c>
    </row>
    <row r="5" spans="1:6" ht="24" customHeight="1">
      <c r="A5" s="1698" t="s">
        <v>833</v>
      </c>
      <c r="B5" s="1019">
        <f ca="1">IF(C5&lt;B2,"已过期",1119970074)</f>
        <v>1119970074</v>
      </c>
      <c r="C5" s="2338">
        <v>43849</v>
      </c>
      <c r="D5" s="2341" t="s">
        <v>833</v>
      </c>
      <c r="E5" s="1019">
        <f ca="1">IF(F5&lt;B2,"已过期",2002110027)</f>
        <v>2002110027</v>
      </c>
      <c r="F5" s="1027">
        <v>46752</v>
      </c>
    </row>
    <row r="6" spans="1:6" ht="24" customHeight="1">
      <c r="A6" s="1698" t="s">
        <v>834</v>
      </c>
      <c r="B6" s="1019">
        <f ca="1">IF(C6&lt;B2,"已过期",1119970111)</f>
        <v>1119970111</v>
      </c>
      <c r="C6" s="2338">
        <v>43849</v>
      </c>
      <c r="D6" s="2341" t="s">
        <v>834</v>
      </c>
      <c r="E6" s="1019">
        <f ca="1">IF(F6&lt;B2,"已过期",94010078)</f>
        <v>94010078</v>
      </c>
      <c r="F6" s="1027">
        <v>46387</v>
      </c>
    </row>
    <row r="7" spans="1:6" ht="24" customHeight="1">
      <c r="A7" s="1698" t="s">
        <v>835</v>
      </c>
      <c r="B7" s="1019">
        <f ca="1">IF(C7&lt;B2,"已过期",1120050019)</f>
        <v>1120050019</v>
      </c>
      <c r="C7" s="2338">
        <v>44395</v>
      </c>
      <c r="D7" s="2341" t="s">
        <v>835</v>
      </c>
      <c r="E7" s="1019">
        <f ca="1">IF(F7&lt;B2,"已过期",2002110030)</f>
        <v>2002110030</v>
      </c>
      <c r="F7" s="1027">
        <v>46387</v>
      </c>
    </row>
    <row r="8" spans="1:6" ht="24" customHeight="1">
      <c r="A8" s="1698" t="s">
        <v>836</v>
      </c>
      <c r="B8" s="1019">
        <f ca="1">IF(C8&lt;B2,"已过期",1120000080)</f>
        <v>1120000080</v>
      </c>
      <c r="C8" s="2338">
        <v>43849</v>
      </c>
      <c r="D8" s="2341" t="s">
        <v>836</v>
      </c>
      <c r="E8" s="1019">
        <f ca="1">IF(F8&lt;B2,"已过期",2000110082)</f>
        <v>2000110082</v>
      </c>
      <c r="F8" s="1027">
        <v>46387</v>
      </c>
    </row>
    <row r="9" spans="1:6" ht="24" customHeight="1">
      <c r="A9" s="1698" t="s">
        <v>837</v>
      </c>
      <c r="B9" s="1019">
        <f ca="1">IF(C9&lt;B2,"已过期",1419970001)</f>
        <v>1419970001</v>
      </c>
      <c r="C9" s="2338">
        <v>43867</v>
      </c>
      <c r="D9" s="2341" t="s">
        <v>837</v>
      </c>
      <c r="E9" s="1019">
        <f ca="1">IF(F9&lt;B2,"已过期",2002110125)</f>
        <v>2002110125</v>
      </c>
      <c r="F9" s="1027">
        <v>47118</v>
      </c>
    </row>
    <row r="10" spans="1:6" ht="24" customHeight="1">
      <c r="A10" s="1698" t="s">
        <v>838</v>
      </c>
      <c r="B10" s="1019" t="str">
        <f ca="1">IF(C10&lt;B2,"已过期",1120060040)</f>
        <v>已过期</v>
      </c>
      <c r="C10" s="2338">
        <v>43483</v>
      </c>
      <c r="D10" s="2341" t="s">
        <v>838</v>
      </c>
      <c r="E10" s="1019">
        <f ca="1">IF(F10&lt;B2,"已过期",2004110096)</f>
        <v>2004110096</v>
      </c>
      <c r="F10" s="1027">
        <v>47118</v>
      </c>
    </row>
    <row r="11" spans="1:6" ht="24" customHeight="1">
      <c r="A11" s="1698" t="s">
        <v>839</v>
      </c>
      <c r="B11" s="1019" t="str">
        <f ca="1">IF(C11&lt;B2,"已过期",1120100036)</f>
        <v>已过期</v>
      </c>
      <c r="C11" s="2338">
        <v>43622</v>
      </c>
      <c r="D11" s="2341" t="s">
        <v>839</v>
      </c>
      <c r="E11" s="1019">
        <f ca="1">IF(F11&lt;B2,"已过期",2010110070)</f>
        <v>2010110070</v>
      </c>
      <c r="F11" s="1027">
        <v>47907</v>
      </c>
    </row>
    <row r="12" spans="1:6" ht="24" customHeight="1">
      <c r="A12" s="1698"/>
      <c r="B12" s="1019"/>
      <c r="C12" s="2919"/>
      <c r="D12" s="1698"/>
      <c r="E12" s="1019"/>
      <c r="F12" s="1027"/>
    </row>
    <row r="13" spans="1:6" ht="24" customHeight="1">
      <c r="A13" s="1698" t="s">
        <v>840</v>
      </c>
      <c r="B13" s="1019">
        <f ca="1">IF(C13&lt;B2,"已过期",1120070131)</f>
        <v>1120070131</v>
      </c>
      <c r="C13" s="2338">
        <v>43814</v>
      </c>
      <c r="D13" s="2341" t="s">
        <v>840</v>
      </c>
      <c r="E13" s="1019">
        <f ca="1">IF(F13&lt;B2,"已过期",2014110011)</f>
        <v>2014110011</v>
      </c>
      <c r="F13" s="1027">
        <v>49302</v>
      </c>
    </row>
    <row r="14" spans="1:6" ht="24" customHeight="1">
      <c r="A14" s="1698" t="s">
        <v>3043</v>
      </c>
      <c r="B14" s="1019">
        <f ca="1">IF(C14&lt;B2,"已过期",1120040230)</f>
        <v>1120040230</v>
      </c>
      <c r="C14" s="2338">
        <v>43835</v>
      </c>
      <c r="D14" s="2341" t="s">
        <v>3043</v>
      </c>
      <c r="E14" s="1019">
        <f ca="1">IF(F14&lt;B2,"已过期",98030020)</f>
        <v>98030020</v>
      </c>
      <c r="F14" s="1027">
        <v>47118</v>
      </c>
    </row>
    <row r="15" spans="1:6" ht="24" customHeight="1">
      <c r="A15" s="1699" t="s">
        <v>3044</v>
      </c>
      <c r="B15" s="1019">
        <f ca="1">IF(C15&lt;B2,"已过期",1120070085)</f>
        <v>1120070085</v>
      </c>
      <c r="C15" s="2338">
        <v>43814</v>
      </c>
      <c r="D15" s="2342" t="s">
        <v>3044</v>
      </c>
      <c r="E15" s="1019">
        <f ca="1">IF(F15&lt;B2,"已过期",2004110128)</f>
        <v>2004110128</v>
      </c>
      <c r="F15" s="1020">
        <v>47118</v>
      </c>
    </row>
    <row r="16" spans="1:6" ht="24" customHeight="1">
      <c r="A16" s="1698" t="s">
        <v>3045</v>
      </c>
      <c r="B16" s="1019">
        <f ca="1">IF(C16&lt;B2,"已过期",1120140022)</f>
        <v>1120140022</v>
      </c>
      <c r="C16" s="2919">
        <v>44029</v>
      </c>
      <c r="D16" s="2341" t="s">
        <v>3045</v>
      </c>
      <c r="E16" s="1019">
        <f ca="1">IF(F16&lt;B2,"已过期",2008110059)</f>
        <v>2008110059</v>
      </c>
      <c r="F16" s="1027">
        <v>47177</v>
      </c>
    </row>
    <row r="17" spans="1:7" ht="24" customHeight="1">
      <c r="A17" s="1698"/>
      <c r="B17" s="1019"/>
      <c r="C17" s="2338"/>
      <c r="D17" s="2341" t="s">
        <v>3046</v>
      </c>
      <c r="E17" s="1019">
        <f ca="1">IF(F17&lt;B2,"已过期",2014110076)</f>
        <v>2014110076</v>
      </c>
      <c r="F17" s="1027">
        <v>49302</v>
      </c>
    </row>
    <row r="18" spans="1:7" ht="24" customHeight="1">
      <c r="A18" s="1698"/>
      <c r="B18" s="1019"/>
      <c r="C18" s="2338"/>
      <c r="D18" s="2341"/>
      <c r="E18" s="1019"/>
      <c r="F18" s="1027"/>
    </row>
    <row r="19" spans="1:7" ht="24" customHeight="1">
      <c r="A19" s="1698"/>
      <c r="B19" s="1019"/>
      <c r="C19" s="2338"/>
      <c r="D19" s="2341"/>
      <c r="E19" s="1019"/>
      <c r="F19" s="1019"/>
    </row>
    <row r="20" spans="1:7" ht="24" customHeight="1">
      <c r="A20" s="1698"/>
      <c r="B20" s="1019"/>
      <c r="C20" s="2338"/>
      <c r="D20" s="2341"/>
      <c r="E20" s="1019"/>
      <c r="F20" s="1019"/>
    </row>
    <row r="21" spans="1:7" ht="24" customHeight="1">
      <c r="A21" s="1698"/>
      <c r="B21" s="1019"/>
      <c r="C21" s="2338"/>
      <c r="D21" s="2341" t="s">
        <v>841</v>
      </c>
      <c r="E21" s="1019">
        <f ca="1">IF(F21&lt;B2,"已过期",2011110090)</f>
        <v>2011110090</v>
      </c>
      <c r="F21" s="1027">
        <v>48302</v>
      </c>
    </row>
    <row r="22" spans="1:7" ht="24" customHeight="1">
      <c r="A22" s="1698" t="s">
        <v>842</v>
      </c>
      <c r="B22" s="1019">
        <f ca="1">IF(C22&lt;B2,"已过期",1120020033)</f>
        <v>1120020033</v>
      </c>
      <c r="C22" s="2919">
        <v>44339</v>
      </c>
      <c r="D22" s="2341" t="s">
        <v>842</v>
      </c>
      <c r="E22" s="1019">
        <f ca="1">IF(F22&lt;B2,"已过期",2000110137)</f>
        <v>2000110137</v>
      </c>
      <c r="F22" s="1027">
        <v>46387</v>
      </c>
    </row>
    <row r="23" spans="1:7" ht="24" customHeight="1">
      <c r="A23" s="1698"/>
      <c r="B23" s="1019"/>
      <c r="C23" s="2338"/>
      <c r="D23" s="2341"/>
      <c r="E23" s="1019"/>
      <c r="F23" s="1019"/>
    </row>
    <row r="24" spans="1:7" s="1021" customFormat="1" ht="24" customHeight="1">
      <c r="A24" s="1699" t="s">
        <v>1329</v>
      </c>
      <c r="B24" s="1699" t="s">
        <v>1329</v>
      </c>
      <c r="C24" s="2339" t="s">
        <v>1329</v>
      </c>
      <c r="D24" s="2342" t="s">
        <v>1329</v>
      </c>
      <c r="E24" s="1699" t="s">
        <v>1329</v>
      </c>
      <c r="F24" s="1699" t="s">
        <v>1329</v>
      </c>
    </row>
    <row r="25" spans="1:7" ht="24" customHeight="1">
      <c r="A25" s="3130" t="s">
        <v>843</v>
      </c>
      <c r="B25" s="3130"/>
      <c r="C25" s="3130"/>
      <c r="D25" s="3130"/>
      <c r="E25" s="3130"/>
      <c r="F25" s="3130"/>
      <c r="G25" s="3130"/>
    </row>
    <row r="26" spans="1:7" s="1022" customFormat="1" ht="24" customHeight="1">
      <c r="A26" s="3131" t="s">
        <v>844</v>
      </c>
      <c r="B26" s="3131"/>
      <c r="C26" s="3132"/>
      <c r="D26" s="3133" t="s">
        <v>845</v>
      </c>
      <c r="E26" s="3131"/>
      <c r="F26" s="3131"/>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抵押物清单</vt:lpstr>
      <vt:lpstr>地下室面积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收益法（地下车库）</vt:lpstr>
      <vt:lpstr>地下车库价格表</vt:lpstr>
      <vt:lpstr>商业价格表</vt:lpstr>
      <vt:lpstr>总投及已投</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2019-06-18T07:04:19Z</dcterms:modified>
</cp:coreProperties>
</file>