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35" windowWidth="11385" windowHeight="9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成本法 (元)" sheetId="69" r:id="rId21"/>
    <sheet name="假设开发法" sheetId="12" state="hidden" r:id="rId22"/>
    <sheet name="收益法" sheetId="15"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写字楼租金" sheetId="77" r:id="rId45"/>
    <sheet name="拍卖网站" sheetId="78" r:id="rId46"/>
    <sheet name="商业租金"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1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 i="78" l="1"/>
  <c r="O7" i="78"/>
  <c r="P6" i="78"/>
  <c r="O6" i="78"/>
  <c r="P5" i="78"/>
  <c r="O5" i="78"/>
  <c r="P4" i="78"/>
  <c r="O4" i="78"/>
  <c r="P3" i="78"/>
  <c r="O3" i="78"/>
  <c r="P2" i="78"/>
  <c r="O2" i="78"/>
  <c r="D5" i="9"/>
  <c r="AD6" i="1"/>
  <c r="Y6" i="1"/>
  <c r="F19" i="6"/>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D12" i="71"/>
  <c r="AH10" i="71"/>
  <c r="AG10" i="71"/>
  <c r="AE10" i="71"/>
  <c r="AF10" i="71" s="1"/>
  <c r="AD10" i="71"/>
  <c r="AD11" i="71"/>
  <c r="AG11" i="71"/>
  <c r="AH11" i="71"/>
  <c r="AE11" i="71"/>
  <c r="AF11" i="71" s="1"/>
  <c r="N11" i="71"/>
  <c r="Q11" i="71"/>
  <c r="P11" i="71"/>
  <c r="O11" i="71"/>
  <c r="C11" i="71"/>
  <c r="C10" i="71" s="1"/>
  <c r="Q12" i="71"/>
  <c r="P12" i="71"/>
  <c r="E11" i="71"/>
  <c r="E10" i="71" s="1"/>
  <c r="E9" i="71" s="1"/>
  <c r="O12" i="71"/>
  <c r="N12" i="71"/>
  <c r="B11" i="71"/>
  <c r="B10" i="71" s="1"/>
  <c r="B9" i="71" s="1"/>
  <c r="B8" i="71" s="1"/>
  <c r="B7" i="71" s="1"/>
  <c r="V11" i="71"/>
  <c r="A2" i="53"/>
  <c r="K59" i="67"/>
  <c r="P61" i="67" s="1"/>
  <c r="K59" i="15"/>
  <c r="P74" i="15" s="1"/>
  <c r="P61" i="15"/>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7"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AB26" i="71"/>
  <c r="Q26" i="7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O22" i="71"/>
  <c r="Y22" i="71"/>
  <c r="Z22" i="71" s="1"/>
  <c r="N22" i="71"/>
  <c r="X20" i="71" s="1"/>
  <c r="Q21" i="71"/>
  <c r="AB21" i="71"/>
  <c r="P21" i="71"/>
  <c r="O21" i="71"/>
  <c r="Y21" i="71" s="1"/>
  <c r="Z21" i="71" s="1"/>
  <c r="N21" i="71"/>
  <c r="Q20" i="71"/>
  <c r="F21" i="71" s="1"/>
  <c r="F22" i="71" s="1"/>
  <c r="F23" i="71" s="1"/>
  <c r="V23" i="71" s="1"/>
  <c r="P20" i="71"/>
  <c r="O20" i="71"/>
  <c r="N20" i="71"/>
  <c r="D20" i="71"/>
  <c r="Q19" i="71"/>
  <c r="AB19" i="71"/>
  <c r="P19" i="71"/>
  <c r="O19" i="71"/>
  <c r="N19" i="71"/>
  <c r="Q18" i="71"/>
  <c r="AB18" i="71" s="1"/>
  <c r="P18" i="71"/>
  <c r="O18" i="71"/>
  <c r="N18" i="71"/>
  <c r="X16" i="71" s="1"/>
  <c r="Q17" i="71"/>
  <c r="AB17" i="71"/>
  <c r="P17" i="71"/>
  <c r="O17" i="71"/>
  <c r="Y17" i="71" s="1"/>
  <c r="Z17" i="71" s="1"/>
  <c r="N17" i="71"/>
  <c r="Q16" i="71"/>
  <c r="F17" i="71" s="1"/>
  <c r="F18" i="71" s="1"/>
  <c r="F19" i="71" s="1"/>
  <c r="V19" i="71" s="1"/>
  <c r="P16" i="71"/>
  <c r="O16" i="71"/>
  <c r="N16" i="71"/>
  <c r="D16" i="71"/>
  <c r="O15" i="71"/>
  <c r="N15" i="71"/>
  <c r="B17" i="71"/>
  <c r="B18" i="71"/>
  <c r="E17" i="71"/>
  <c r="E18" i="71" s="1"/>
  <c r="E19" i="71" s="1"/>
  <c r="U19" i="71" s="1"/>
  <c r="AA16" i="71"/>
  <c r="B21" i="71"/>
  <c r="B22" i="71"/>
  <c r="B23" i="71" s="1"/>
  <c r="S23" i="71" s="1"/>
  <c r="B25" i="71"/>
  <c r="B26" i="71" s="1"/>
  <c r="B27" i="71" s="1"/>
  <c r="S27" i="71" s="1"/>
  <c r="X24" i="71"/>
  <c r="E25" i="71"/>
  <c r="E26" i="71"/>
  <c r="E27" i="71" s="1"/>
  <c r="U27" i="71" s="1"/>
  <c r="AA24" i="71"/>
  <c r="N55" i="71"/>
  <c r="E21" i="71"/>
  <c r="E22" i="71"/>
  <c r="E23" i="71" s="1"/>
  <c r="U23" i="71" s="1"/>
  <c r="AA20" i="71"/>
  <c r="C17" i="71"/>
  <c r="C18" i="71" s="1"/>
  <c r="X17" i="71"/>
  <c r="AA17" i="71"/>
  <c r="X18" i="71"/>
  <c r="AA18" i="71"/>
  <c r="X19" i="71"/>
  <c r="AA19" i="71"/>
  <c r="C21" i="71"/>
  <c r="C22" i="71" s="1"/>
  <c r="Y20" i="71"/>
  <c r="Z20" i="71" s="1"/>
  <c r="AB20" i="71"/>
  <c r="AA21" i="71"/>
  <c r="AA22" i="71"/>
  <c r="X23" i="71"/>
  <c r="AA23" i="71"/>
  <c r="C25" i="71"/>
  <c r="Y24" i="71"/>
  <c r="Z24" i="71" s="1"/>
  <c r="AB24" i="71"/>
  <c r="X25" i="71"/>
  <c r="AA25" i="71"/>
  <c r="F38" i="71"/>
  <c r="F39" i="71"/>
  <c r="V39" i="71" s="1"/>
  <c r="C15" i="71"/>
  <c r="T15" i="71" s="1"/>
  <c r="Y12" i="71"/>
  <c r="Z12" i="71" s="1"/>
  <c r="Y13" i="71"/>
  <c r="Z13" i="71" s="1"/>
  <c r="Y14" i="71"/>
  <c r="Z14" i="71" s="1"/>
  <c r="Y15" i="71"/>
  <c r="Z15" i="71" s="1"/>
  <c r="B15" i="71"/>
  <c r="B14" i="71" s="1"/>
  <c r="B13" i="71" s="1"/>
  <c r="X12" i="71"/>
  <c r="X13" i="71"/>
  <c r="X14" i="71"/>
  <c r="X15" i="71"/>
  <c r="D17" i="71"/>
  <c r="C26" i="71"/>
  <c r="C27" i="71" s="1"/>
  <c r="D25" i="71"/>
  <c r="C30" i="71"/>
  <c r="C31" i="71" s="1"/>
  <c r="D29" i="71"/>
  <c r="C34" i="71"/>
  <c r="D34" i="71" s="1"/>
  <c r="D33" i="71"/>
  <c r="C38" i="71"/>
  <c r="D37" i="71"/>
  <c r="P15" i="71"/>
  <c r="E42" i="71"/>
  <c r="E43" i="71" s="1"/>
  <c r="U43" i="71" s="1"/>
  <c r="E46" i="71"/>
  <c r="E47" i="71"/>
  <c r="U47" i="71" s="1"/>
  <c r="E50" i="71"/>
  <c r="E51" i="71" s="1"/>
  <c r="U51" i="71" s="1"/>
  <c r="U55" i="71"/>
  <c r="E54" i="71"/>
  <c r="Q15" i="71"/>
  <c r="AB12" i="71" s="1"/>
  <c r="C42" i="71"/>
  <c r="D41" i="71"/>
  <c r="C46" i="7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D73" i="71" s="1"/>
  <c r="C14" i="71"/>
  <c r="C13" i="71" s="1"/>
  <c r="D13" i="71" s="1"/>
  <c r="F15" i="71"/>
  <c r="F14" i="71" s="1"/>
  <c r="F13" i="71" s="1"/>
  <c r="AB13" i="71"/>
  <c r="AB15" i="71"/>
  <c r="E15" i="71"/>
  <c r="E14" i="71"/>
  <c r="E13" i="71" s="1"/>
  <c r="AA3" i="71"/>
  <c r="AA12" i="71"/>
  <c r="AA13" i="71"/>
  <c r="AA14" i="71"/>
  <c r="AA15" i="71"/>
  <c r="C53" i="71"/>
  <c r="O54" i="71"/>
  <c r="D54" i="71"/>
  <c r="C51" i="71"/>
  <c r="D51" i="71" s="1"/>
  <c r="D50" i="71"/>
  <c r="D70" i="71"/>
  <c r="C69" i="71"/>
  <c r="D69" i="71"/>
  <c r="D62" i="71"/>
  <c r="C61" i="71"/>
  <c r="D61" i="71" s="1"/>
  <c r="N52" i="71"/>
  <c r="D74" i="71"/>
  <c r="D66" i="71"/>
  <c r="C65" i="71"/>
  <c r="D65" i="71" s="1"/>
  <c r="D58" i="71"/>
  <c r="C57" i="71"/>
  <c r="D57" i="71"/>
  <c r="C47" i="71"/>
  <c r="D46" i="71"/>
  <c r="C43" i="71"/>
  <c r="D42" i="71"/>
  <c r="P54" i="71"/>
  <c r="E53" i="71"/>
  <c r="P52" i="71" s="1"/>
  <c r="C39" i="71"/>
  <c r="D38" i="71"/>
  <c r="D30" i="71"/>
  <c r="D26" i="71"/>
  <c r="V15" i="71"/>
  <c r="P53" i="71"/>
  <c r="O53" i="71"/>
  <c r="D53" i="71"/>
  <c r="O52" i="71"/>
  <c r="T39" i="71"/>
  <c r="D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W21" i="37"/>
  <c r="W21" i="34"/>
  <c r="W21" i="33"/>
  <c r="U21" i="21"/>
  <c r="J21" i="21"/>
  <c r="AC21" i="21" s="1"/>
  <c r="C40" i="69"/>
  <c r="F38" i="68"/>
  <c r="E37" i="68"/>
  <c r="F36" i="68"/>
  <c r="F35" i="68"/>
  <c r="F21" i="68"/>
  <c r="C21" i="68" s="1"/>
  <c r="F20" i="68"/>
  <c r="E10" i="68"/>
  <c r="E9" i="68"/>
  <c r="C7" i="68"/>
  <c r="C40" i="68"/>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49" i="43"/>
  <c r="D48" i="43"/>
  <c r="Q72" i="15"/>
  <c r="Q58" i="15"/>
  <c r="Q51" i="15"/>
  <c r="Q59" i="15"/>
  <c r="AE10" i="1"/>
  <c r="AE11" i="1"/>
  <c r="AE12" i="1"/>
  <c r="AE13" i="1"/>
  <c r="M47" i="15"/>
  <c r="J53" i="15" s="1"/>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40" i="39"/>
  <c r="U30" i="37"/>
  <c r="W31" i="37"/>
  <c r="F103" i="37"/>
  <c r="G103" i="37" s="1"/>
  <c r="H103" i="37" s="1"/>
  <c r="I103" i="37" s="1"/>
  <c r="J103" i="37" s="1"/>
  <c r="K103" i="37" s="1"/>
  <c r="L103" i="37" s="1"/>
  <c r="M103" i="37" s="1"/>
  <c r="F39" i="37"/>
  <c r="S39" i="37" s="1"/>
  <c r="U14" i="37"/>
  <c r="F29" i="36"/>
  <c r="AA29" i="36"/>
  <c r="F16" i="36"/>
  <c r="AA16" i="36" s="1"/>
  <c r="U9" i="36"/>
  <c r="S30" i="36"/>
  <c r="AA31" i="36"/>
  <c r="AC31" i="36"/>
  <c r="U31" i="36"/>
  <c r="J33" i="36"/>
  <c r="W33" i="36"/>
  <c r="H22" i="35"/>
  <c r="AB22" i="35"/>
  <c r="AC27" i="35"/>
  <c r="W28"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c r="H30" i="35"/>
  <c r="AB30" i="35"/>
  <c r="F22" i="35"/>
  <c r="AA22" i="35"/>
  <c r="H10" i="35"/>
  <c r="U10" i="35"/>
  <c r="F33" i="36"/>
  <c r="AA33" i="36" s="1"/>
  <c r="W30" i="36"/>
  <c r="H16" i="36"/>
  <c r="AB16" i="36"/>
  <c r="F85" i="36"/>
  <c r="G85" i="36" s="1"/>
  <c r="H85" i="36"/>
  <c r="I85" i="36" s="1"/>
  <c r="J85" i="36" s="1"/>
  <c r="K85" i="36" s="1"/>
  <c r="L85" i="36" s="1"/>
  <c r="M85" i="36" s="1"/>
  <c r="J29" i="36"/>
  <c r="AC29" i="36" s="1"/>
  <c r="F12" i="36"/>
  <c r="F24" i="36"/>
  <c r="AA24" i="36"/>
  <c r="F34" i="36"/>
  <c r="S34" i="36"/>
  <c r="S10" i="36"/>
  <c r="AB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F59" i="43"/>
  <c r="H62" i="43" s="1"/>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0" i="3"/>
  <c r="AZ356" i="3"/>
  <c r="AZ364" i="3"/>
  <c r="AZ368" i="3"/>
  <c r="BA15" i="3"/>
  <c r="BB5" i="3"/>
  <c r="E8" i="6" s="1"/>
  <c r="BR5" i="3"/>
  <c r="G28" i="6" s="1"/>
  <c r="AZ380" i="3"/>
  <c r="AZ388" i="3"/>
  <c r="AZ396" i="3"/>
  <c r="AZ499" i="3"/>
  <c r="AZ509" i="3"/>
  <c r="G509" i="3"/>
  <c r="BL493" i="3"/>
  <c r="AZ491" i="3"/>
  <c r="AZ390"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W12" i="36"/>
  <c r="AC12" i="36"/>
  <c r="H20" i="36"/>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B23" i="35"/>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H34" i="33"/>
  <c r="U34" i="33" s="1"/>
  <c r="F35" i="33"/>
  <c r="S35" i="33" s="1"/>
  <c r="F39" i="34"/>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48" i="43" s="1"/>
  <c r="D120" i="9"/>
  <c r="C18" i="9"/>
  <c r="D18" i="9" s="1"/>
  <c r="F34" i="67"/>
  <c r="F62" i="67" s="1"/>
  <c r="M20" i="67"/>
  <c r="F34" i="15"/>
  <c r="F62" i="15"/>
  <c r="G13" i="3"/>
  <c r="BA13" i="3"/>
  <c r="E10" i="6"/>
  <c r="E11" i="6"/>
  <c r="E61" i="39" s="1"/>
  <c r="BL17" i="3"/>
  <c r="AZ17" i="3" s="1"/>
  <c r="BL13" i="3"/>
  <c r="E65" i="39"/>
  <c r="G30" i="6"/>
  <c r="G31" i="6" s="1"/>
  <c r="J56" i="9"/>
  <c r="J57" i="9"/>
  <c r="A24" i="51"/>
  <c r="B18" i="72" s="1"/>
  <c r="U29" i="34"/>
  <c r="E14" i="6"/>
  <c r="E64" i="39" s="1"/>
  <c r="E5" i="6"/>
  <c r="D9" i="11" s="1"/>
  <c r="C9" i="11" s="1"/>
  <c r="P10" i="1"/>
  <c r="E32" i="6"/>
  <c r="L19" i="6"/>
  <c r="G1" i="68"/>
  <c r="K1" i="12"/>
  <c r="E28" i="6"/>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C59" i="34"/>
  <c r="D59" i="34" s="1"/>
  <c r="E59" i="34" s="1"/>
  <c r="F59" i="34" s="1"/>
  <c r="C52" i="37"/>
  <c r="D52" i="37" s="1"/>
  <c r="E52" i="37" s="1"/>
  <c r="F52" i="37" s="1"/>
  <c r="A4" i="51"/>
  <c r="B6" i="72" s="1"/>
  <c r="C48" i="35"/>
  <c r="D48" i="35" s="1"/>
  <c r="E48" i="35" s="1"/>
  <c r="C4" i="12"/>
  <c r="H66" i="43"/>
  <c r="H65" i="43"/>
  <c r="H64" i="43"/>
  <c r="H63" i="43"/>
  <c r="H72"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E63" i="39"/>
  <c r="T11" i="1"/>
  <c r="AQ9" i="1"/>
  <c r="AR11" i="1"/>
  <c r="T9" i="1"/>
  <c r="T13" i="1"/>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D6" i="52"/>
  <c r="D121" i="9"/>
  <c r="D7" i="52" s="1"/>
  <c r="K120" i="9"/>
  <c r="K14" i="1"/>
  <c r="M14" i="1" s="1"/>
  <c r="J59" i="9"/>
  <c r="J61" i="9" s="1"/>
  <c r="L27" i="6"/>
  <c r="AP7" i="1"/>
  <c r="M7" i="1"/>
  <c r="O7" i="1" s="1"/>
  <c r="Q16" i="1"/>
  <c r="H16" i="1"/>
  <c r="AB45" i="21"/>
  <c r="AC33" i="21"/>
  <c r="W33" i="21"/>
  <c r="S33" i="21"/>
  <c r="W32" i="21"/>
  <c r="AC32" i="21"/>
  <c r="AB9" i="21"/>
  <c r="U9" i="21"/>
  <c r="AA32" i="21"/>
  <c r="W9" i="21"/>
  <c r="AB32" i="21"/>
  <c r="AA10" i="21"/>
  <c r="S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F1" i="15"/>
  <c r="Q52" i="15"/>
  <c r="AC11" i="37"/>
  <c r="W11" i="37"/>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c r="B39" i="72" s="1"/>
  <c r="H111" i="9"/>
  <c r="D126" i="9" s="1"/>
  <c r="D19" i="53"/>
  <c r="B38" i="72" s="1"/>
  <c r="D59" i="9"/>
  <c r="M55" i="9"/>
  <c r="D20" i="53"/>
  <c r="B40" i="72" s="1"/>
  <c r="AD3" i="71"/>
  <c r="D2" i="35"/>
  <c r="AO9" i="1"/>
  <c r="F3" i="73"/>
  <c r="B7" i="76"/>
  <c r="F27" i="69"/>
  <c r="D35" i="9"/>
  <c r="AO10" i="1"/>
  <c r="B8" i="76"/>
  <c r="B11" i="76"/>
  <c r="F20" i="31"/>
  <c r="E9" i="76"/>
  <c r="F40" i="15"/>
  <c r="E12" i="76"/>
  <c r="M6" i="15"/>
  <c r="M8" i="67"/>
  <c r="L48" i="67"/>
  <c r="F42" i="15"/>
  <c r="F37" i="67"/>
  <c r="M8" i="15"/>
  <c r="E2" i="68"/>
  <c r="F26" i="15"/>
  <c r="J15" i="15"/>
  <c r="E10" i="76"/>
  <c r="L47" i="67"/>
  <c r="F8" i="67"/>
  <c r="M29" i="15"/>
  <c r="F13" i="15"/>
  <c r="F36" i="15"/>
  <c r="C36" i="69"/>
  <c r="M9" i="15"/>
  <c r="D34" i="9"/>
  <c r="F41" i="15"/>
  <c r="M9" i="67"/>
  <c r="B12" i="76"/>
  <c r="F36" i="67"/>
  <c r="J15" i="67"/>
  <c r="D2" i="37"/>
  <c r="AO8" i="1"/>
  <c r="F7" i="73"/>
  <c r="AO11" i="1"/>
  <c r="E13" i="76"/>
  <c r="AO13" i="1"/>
  <c r="AO12" i="1"/>
  <c r="D2" i="34"/>
  <c r="B9" i="76"/>
  <c r="E8" i="76"/>
  <c r="F5" i="73"/>
  <c r="AO7" i="1"/>
  <c r="L47" i="15"/>
  <c r="F38" i="67"/>
  <c r="M6" i="67"/>
  <c r="L48" i="15"/>
  <c r="M24" i="15"/>
  <c r="M26" i="15"/>
  <c r="F38" i="15"/>
  <c r="D2" i="21"/>
  <c r="E7" i="76"/>
  <c r="C76" i="67"/>
  <c r="D2" i="33"/>
  <c r="F9" i="67"/>
  <c r="F7" i="15"/>
  <c r="F16" i="67"/>
  <c r="B13" i="76"/>
  <c r="F37" i="15"/>
  <c r="M24" i="67"/>
  <c r="M23" i="15"/>
  <c r="B10" i="76"/>
  <c r="F4" i="73"/>
  <c r="F16" i="15"/>
  <c r="F6" i="73"/>
  <c r="D2" i="36"/>
  <c r="E11" i="76"/>
  <c r="I14" i="74" l="1"/>
  <c r="B8" i="74" s="1"/>
  <c r="D127" i="9"/>
  <c r="D13" i="52" s="1"/>
  <c r="D12" i="52"/>
  <c r="L67" i="9"/>
  <c r="M67" i="9" s="1"/>
  <c r="L63" i="9"/>
  <c r="M63" i="9" s="1"/>
  <c r="M69" i="9" s="1"/>
  <c r="N69" i="9" s="1"/>
  <c r="L64" i="9"/>
  <c r="M64" i="9" s="1"/>
  <c r="L66" i="9"/>
  <c r="M66" i="9" s="1"/>
  <c r="L65" i="9"/>
  <c r="M65" i="9" s="1"/>
  <c r="AB15" i="21"/>
  <c r="S37" i="21"/>
  <c r="AC37" i="21"/>
  <c r="W17" i="21"/>
  <c r="S39" i="34"/>
  <c r="AA39" i="34"/>
  <c r="AA20" i="35"/>
  <c r="S20" i="35"/>
  <c r="S33" i="34"/>
  <c r="AA33" i="34"/>
  <c r="AC25" i="37"/>
  <c r="W25" i="37"/>
  <c r="S34" i="33"/>
  <c r="AA34" i="33"/>
  <c r="AA30" i="40"/>
  <c r="S30" i="40"/>
  <c r="U20" i="36"/>
  <c r="AB20" i="36"/>
  <c r="AZ557" i="3"/>
  <c r="AC11" i="39"/>
  <c r="F29" i="6"/>
  <c r="S11" i="39"/>
  <c r="U12" i="37"/>
  <c r="AA14" i="33"/>
  <c r="AA44" i="33"/>
  <c r="AA34" i="21"/>
  <c r="S34" i="21"/>
  <c r="B70" i="43"/>
  <c r="C15" i="39"/>
  <c r="F12" i="34"/>
  <c r="J12" i="34"/>
  <c r="J12" i="35"/>
  <c r="F12" i="35"/>
  <c r="J9" i="34"/>
  <c r="H9" i="34"/>
  <c r="F9" i="34"/>
  <c r="J34" i="35"/>
  <c r="H34" i="35"/>
  <c r="F34" i="35"/>
  <c r="AC22" i="35"/>
  <c r="W22" i="35"/>
  <c r="AA8" i="36"/>
  <c r="S8" i="36"/>
  <c r="AC8" i="36"/>
  <c r="W8" i="36"/>
  <c r="U12" i="36"/>
  <c r="AB12" i="36"/>
  <c r="AC28" i="36"/>
  <c r="W28" i="36"/>
  <c r="W16" i="36"/>
  <c r="AC16" i="36"/>
  <c r="H25" i="37"/>
  <c r="F25" i="37"/>
  <c r="AA44" i="39"/>
  <c r="S44" i="39"/>
  <c r="AB9" i="40"/>
  <c r="U9" i="40"/>
  <c r="AB38" i="40"/>
  <c r="U38" i="40"/>
  <c r="U31" i="35"/>
  <c r="H36" i="35"/>
  <c r="J36" i="35"/>
  <c r="W31" i="35"/>
  <c r="AC31" i="35"/>
  <c r="G551" i="3"/>
  <c r="BL548" i="3"/>
  <c r="AZ548" i="3" s="1"/>
  <c r="AZ399" i="3"/>
  <c r="AZ404" i="3"/>
  <c r="AZ414" i="3"/>
  <c r="AZ421" i="3"/>
  <c r="AZ430" i="3"/>
  <c r="AZ440" i="3"/>
  <c r="AZ455" i="3"/>
  <c r="U41" i="21"/>
  <c r="AB41" i="21"/>
  <c r="AZ409" i="3"/>
  <c r="AZ425" i="3"/>
  <c r="AZ432" i="3"/>
  <c r="AZ445" i="3"/>
  <c r="AZ447" i="3"/>
  <c r="BL15" i="3"/>
  <c r="BL5" i="3" s="1"/>
  <c r="AZ461" i="3"/>
  <c r="AZ463" i="3"/>
  <c r="AZ466" i="3"/>
  <c r="AZ468" i="3"/>
  <c r="AZ470" i="3"/>
  <c r="AZ479" i="3"/>
  <c r="AZ485" i="3"/>
  <c r="AZ385" i="3"/>
  <c r="AZ210" i="3"/>
  <c r="AZ225" i="3"/>
  <c r="AZ239" i="3"/>
  <c r="AZ255" i="3"/>
  <c r="AZ270" i="3"/>
  <c r="AZ274" i="3"/>
  <c r="AZ277" i="3"/>
  <c r="AZ298" i="3"/>
  <c r="AZ301" i="3"/>
  <c r="AZ122" i="3"/>
  <c r="AZ125" i="3"/>
  <c r="AZ161" i="3"/>
  <c r="AZ193" i="3"/>
  <c r="AZ205" i="3"/>
  <c r="AZ30" i="3"/>
  <c r="AZ36" i="3"/>
  <c r="AZ40" i="3"/>
  <c r="AZ46" i="3"/>
  <c r="AZ49" i="3"/>
  <c r="AZ64" i="3"/>
  <c r="AZ78" i="3"/>
  <c r="AZ91" i="3"/>
  <c r="AZ98" i="3"/>
  <c r="AZ104" i="3"/>
  <c r="AZ108" i="3"/>
  <c r="G108" i="43"/>
  <c r="G100" i="43"/>
  <c r="C23" i="71"/>
  <c r="D22" i="71"/>
  <c r="G18" i="3"/>
  <c r="G19" i="3"/>
  <c r="G20" i="3"/>
  <c r="K100" i="43"/>
  <c r="D24" i="67"/>
  <c r="D22" i="67"/>
  <c r="W21" i="21"/>
  <c r="D31" i="71"/>
  <c r="T31" i="71"/>
  <c r="M19" i="43"/>
  <c r="D27" i="71"/>
  <c r="T27" i="71"/>
  <c r="C19" i="71"/>
  <c r="D18" i="71"/>
  <c r="Y11" i="71"/>
  <c r="Z11" i="71" s="1"/>
  <c r="AA11" i="71"/>
  <c r="D14" i="71"/>
  <c r="D15" i="71"/>
  <c r="U15" i="71" s="1"/>
  <c r="AB14" i="71"/>
  <c r="S15" i="71"/>
  <c r="D21" i="71"/>
  <c r="Y3" i="71"/>
  <c r="Z3" i="71" s="1"/>
  <c r="X22" i="71"/>
  <c r="X21" i="71"/>
  <c r="AB16" i="71"/>
  <c r="Y16" i="71"/>
  <c r="Z16" i="71" s="1"/>
  <c r="B19" i="71"/>
  <c r="S19" i="71" s="1"/>
  <c r="Y18" i="71"/>
  <c r="Z18" i="71" s="1"/>
  <c r="Y19" i="71"/>
  <c r="Z19" i="71" s="1"/>
  <c r="X11" i="71"/>
  <c r="AB11" i="71"/>
  <c r="Y10" i="71"/>
  <c r="Z10" i="71" s="1"/>
  <c r="AA10" i="71"/>
  <c r="AB10" i="71"/>
  <c r="AA9" i="71"/>
  <c r="X8" i="71"/>
  <c r="AA8" i="71"/>
  <c r="F54" i="71"/>
  <c r="F11" i="71"/>
  <c r="F10" i="71" s="1"/>
  <c r="F9" i="71" s="1"/>
  <c r="Y9" i="71"/>
  <c r="Z9" i="71" s="1"/>
  <c r="X9" i="71"/>
  <c r="Y8" i="71"/>
  <c r="Z8" i="71" s="1"/>
  <c r="AB8" i="71"/>
  <c r="M100" i="43"/>
  <c r="I100" i="43"/>
  <c r="E100" i="43"/>
  <c r="D23" i="67"/>
  <c r="T8" i="1"/>
  <c r="E59" i="40"/>
  <c r="E12" i="6"/>
  <c r="F27" i="6"/>
  <c r="E56" i="39"/>
  <c r="E51" i="40"/>
  <c r="E16" i="6"/>
  <c r="G5" i="3"/>
  <c r="B3" i="3" s="1"/>
  <c r="D29" i="43"/>
  <c r="D1" i="43" s="1"/>
  <c r="AH6" i="1"/>
  <c r="E11" i="43"/>
  <c r="E9" i="43"/>
  <c r="E10" i="43"/>
  <c r="E8" i="43"/>
  <c r="H52" i="43"/>
  <c r="G52" i="43" s="1"/>
  <c r="H55" i="43"/>
  <c r="G55" i="43" s="1"/>
  <c r="H53" i="43"/>
  <c r="G53" i="43" s="1"/>
  <c r="H56" i="43"/>
  <c r="G56" i="43" s="1"/>
  <c r="J53" i="67"/>
  <c r="Q52" i="67" s="1"/>
  <c r="P74" i="67"/>
  <c r="C47" i="69"/>
  <c r="D45" i="69" s="1"/>
  <c r="F28" i="15"/>
  <c r="C28" i="15" s="1"/>
  <c r="F31" i="12"/>
  <c r="F54" i="9"/>
  <c r="M18" i="67"/>
  <c r="F30" i="68"/>
  <c r="C31" i="12"/>
  <c r="D68" i="9"/>
  <c r="M18" i="15"/>
  <c r="F32" i="15"/>
  <c r="F60" i="15" s="1"/>
  <c r="F30" i="69"/>
  <c r="C48" i="69" s="1"/>
  <c r="F32" i="67"/>
  <c r="F60" i="67" s="1"/>
  <c r="F52" i="9"/>
  <c r="F28" i="67"/>
  <c r="C28" i="67" s="1"/>
  <c r="F30" i="11"/>
  <c r="F28" i="12"/>
  <c r="AR7" i="1"/>
  <c r="AQ7" i="1"/>
  <c r="AR8" i="1"/>
  <c r="D9" i="68"/>
  <c r="C9" i="68" s="1"/>
  <c r="D19" i="12"/>
  <c r="C19" i="12" s="1"/>
  <c r="AQ13" i="1"/>
  <c r="O14" i="1"/>
  <c r="P14" i="1" s="1"/>
  <c r="M16" i="1"/>
  <c r="F27" i="11"/>
  <c r="P7" i="1"/>
  <c r="F27" i="68"/>
  <c r="C29" i="68" s="1"/>
  <c r="D27" i="68" s="1"/>
  <c r="F22" i="43"/>
  <c r="K101" i="43"/>
  <c r="F101" i="43"/>
  <c r="N101" i="43"/>
  <c r="E22" i="43"/>
  <c r="C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J101" i="43"/>
  <c r="H22" i="43"/>
  <c r="H101" i="43"/>
  <c r="G22"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69" i="3"/>
  <c r="E237" i="3"/>
  <c r="E114" i="3"/>
  <c r="E261" i="3"/>
  <c r="E278" i="3"/>
  <c r="E304" i="3"/>
  <c r="E415" i="3"/>
  <c r="E528" i="3"/>
  <c r="E563" i="3"/>
  <c r="E565" i="3"/>
  <c r="E395" i="3"/>
  <c r="E183" i="3"/>
  <c r="E172" i="3"/>
  <c r="E213" i="3"/>
  <c r="E260" i="3"/>
  <c r="E361" i="3"/>
  <c r="E445" i="3"/>
  <c r="E17" i="3"/>
  <c r="E550" i="3"/>
  <c r="E503" i="3"/>
  <c r="E535" i="3"/>
  <c r="E302" i="3"/>
  <c r="E56" i="40"/>
  <c r="O11" i="1"/>
  <c r="P11" i="1" s="1"/>
  <c r="O12" i="1"/>
  <c r="P12" i="1" s="1"/>
  <c r="E29" i="6"/>
  <c r="F30" i="6"/>
  <c r="O9" i="1"/>
  <c r="P9" i="1" s="1"/>
  <c r="F31" i="6"/>
  <c r="O8" i="1"/>
  <c r="AZ18" i="3"/>
  <c r="BA5" i="3"/>
  <c r="E27" i="6" s="1"/>
  <c r="H50" i="43"/>
  <c r="G50" i="43" s="1"/>
  <c r="C65" i="40"/>
  <c r="D63" i="40"/>
  <c r="G16" i="1"/>
  <c r="F10" i="39" s="1"/>
  <c r="J1" i="73"/>
  <c r="AA7" i="33"/>
  <c r="R48" i="33" s="1"/>
  <c r="C36" i="11"/>
  <c r="C36" i="68"/>
  <c r="C13" i="12"/>
  <c r="C30" i="69"/>
  <c r="C77" i="9"/>
  <c r="C74" i="9" s="1"/>
  <c r="C30" i="68"/>
  <c r="H77" i="43"/>
  <c r="H76" i="43"/>
  <c r="H51" i="43"/>
  <c r="G51" i="43" s="1"/>
  <c r="H67" i="43"/>
  <c r="H59" i="43"/>
  <c r="H60" i="43"/>
  <c r="H61" i="43"/>
  <c r="M4" i="43"/>
  <c r="M5" i="43"/>
  <c r="N12" i="43"/>
  <c r="N11" i="43"/>
  <c r="M10" i="43"/>
  <c r="M2" i="43"/>
  <c r="M7" i="43"/>
  <c r="H70" i="43"/>
  <c r="H54" i="43"/>
  <c r="G54" i="43" s="1"/>
  <c r="N9" i="43"/>
  <c r="M8" i="43"/>
  <c r="C6" i="43" s="1"/>
  <c r="N10" i="43"/>
  <c r="H48" i="43"/>
  <c r="G48" i="43" s="1"/>
  <c r="H74" i="43"/>
  <c r="M6" i="43"/>
  <c r="N7" i="43"/>
  <c r="N4" i="43"/>
  <c r="N2" i="43"/>
  <c r="H49" i="43"/>
  <c r="G49" i="43" s="1"/>
  <c r="N17" i="43"/>
  <c r="L17" i="43"/>
  <c r="O17" i="43"/>
  <c r="M17" i="43"/>
  <c r="E17" i="43"/>
  <c r="E48" i="33"/>
  <c r="R49" i="33"/>
  <c r="G52" i="33"/>
  <c r="H52" i="33" s="1"/>
  <c r="G59" i="34"/>
  <c r="C70" i="39"/>
  <c r="D68" i="39"/>
  <c r="J10"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5" i="71"/>
  <c r="X6" i="71"/>
  <c r="AA7" i="71"/>
  <c r="AA5" i="71"/>
  <c r="AA6" i="71"/>
  <c r="X10" i="71"/>
  <c r="Y5" i="71"/>
  <c r="Z5" i="71" s="1"/>
  <c r="Y6" i="71"/>
  <c r="Z6" i="71" s="1"/>
  <c r="AB7" i="71"/>
  <c r="AB5" i="71"/>
  <c r="AB6" i="71"/>
  <c r="B6" i="71"/>
  <c r="B5" i="71" s="1"/>
  <c r="S7" i="71"/>
  <c r="C94" i="9"/>
  <c r="C92" i="9"/>
  <c r="F8" i="71"/>
  <c r="F7" i="71" s="1"/>
  <c r="F6" i="71" s="1"/>
  <c r="F5" i="71" s="1"/>
  <c r="Y7" i="71"/>
  <c r="Z7" i="71" s="1"/>
  <c r="B7" i="49"/>
  <c r="E7" i="49"/>
  <c r="B15" i="49"/>
  <c r="AB3" i="71"/>
  <c r="X3" i="71"/>
  <c r="E8" i="71"/>
  <c r="E7" i="71" s="1"/>
  <c r="E10" i="49"/>
  <c r="B6" i="49"/>
  <c r="E4" i="4" s="1"/>
  <c r="B5" i="62" s="1"/>
  <c r="B73" i="72" s="1"/>
  <c r="E14" i="49"/>
  <c r="AF3" i="71"/>
  <c r="P24" i="43" s="1"/>
  <c r="B66" i="40" s="1"/>
  <c r="P22" i="43"/>
  <c r="C23" i="12"/>
  <c r="C29" i="69"/>
  <c r="D27" i="69" s="1"/>
  <c r="B13" i="49"/>
  <c r="B4" i="49"/>
  <c r="B9" i="49"/>
  <c r="E22" i="49"/>
  <c r="E16" i="49"/>
  <c r="E11" i="49"/>
  <c r="B10" i="49"/>
  <c r="C4" i="4" s="1"/>
  <c r="E6" i="49"/>
  <c r="E8" i="49"/>
  <c r="E5" i="49"/>
  <c r="B8" i="49"/>
  <c r="B5" i="49"/>
  <c r="E21" i="49"/>
  <c r="E4" i="49"/>
  <c r="B11" i="49"/>
  <c r="B14" i="49"/>
  <c r="B16" i="49"/>
  <c r="E13" i="49"/>
  <c r="E15" i="49"/>
  <c r="E9" i="49"/>
  <c r="B22" i="49"/>
  <c r="C34" i="68"/>
  <c r="F69" i="15"/>
  <c r="F64" i="67"/>
  <c r="J57" i="15"/>
  <c r="J55" i="15" s="1"/>
  <c r="J58" i="15" s="1"/>
  <c r="Q50" i="15" s="1"/>
  <c r="I54" i="15"/>
  <c r="L56" i="15"/>
  <c r="F66" i="15"/>
  <c r="F50" i="15"/>
  <c r="M7" i="15"/>
  <c r="J6" i="15" s="1"/>
  <c r="B10" i="70"/>
  <c r="F66" i="67"/>
  <c r="L59" i="67"/>
  <c r="M59" i="67"/>
  <c r="N59" i="67"/>
  <c r="L58" i="67"/>
  <c r="F68" i="15"/>
  <c r="N59" i="15"/>
  <c r="L59" i="15"/>
  <c r="M59" i="15"/>
  <c r="L58" i="15"/>
  <c r="F65" i="15"/>
  <c r="Q71" i="67"/>
  <c r="B13" i="70"/>
  <c r="B8" i="70"/>
  <c r="B7" i="70"/>
  <c r="F65" i="67"/>
  <c r="F51" i="67"/>
  <c r="B11" i="70"/>
  <c r="I1" i="73"/>
  <c r="B39" i="1" s="1"/>
  <c r="C27" i="15"/>
  <c r="F64" i="15"/>
  <c r="I54" i="67"/>
  <c r="J57" i="67"/>
  <c r="J55" i="67" s="1"/>
  <c r="J58" i="67" s="1"/>
  <c r="Q50" i="67" s="1"/>
  <c r="L56" i="67"/>
  <c r="B12" i="70"/>
  <c r="B9" i="70"/>
  <c r="F31" i="15"/>
  <c r="F59" i="15"/>
  <c r="F59" i="67"/>
  <c r="M17" i="15"/>
  <c r="F31" i="67"/>
  <c r="M17" i="67"/>
  <c r="M28" i="67"/>
  <c r="F35" i="15"/>
  <c r="M22" i="67"/>
  <c r="C76" i="15"/>
  <c r="M28" i="15"/>
  <c r="M29" i="67"/>
  <c r="D3" i="73"/>
  <c r="D6" i="73"/>
  <c r="D7" i="73"/>
  <c r="D9" i="69"/>
  <c r="F13" i="67"/>
  <c r="M22" i="15"/>
  <c r="F6" i="15"/>
  <c r="F42" i="67"/>
  <c r="F43" i="67"/>
  <c r="M23" i="67"/>
  <c r="M26" i="67"/>
  <c r="F9" i="15"/>
  <c r="F40" i="67"/>
  <c r="D5" i="73"/>
  <c r="D4" i="73"/>
  <c r="C16" i="15"/>
  <c r="M21" i="15"/>
  <c r="F8" i="15"/>
  <c r="M27" i="15"/>
  <c r="F43" i="15"/>
  <c r="F6" i="67"/>
  <c r="F7" i="67"/>
  <c r="C14" i="15"/>
  <c r="M27" i="67"/>
  <c r="F26" i="67"/>
  <c r="F71" i="67" l="1"/>
  <c r="C27" i="67"/>
  <c r="F70" i="67"/>
  <c r="F51" i="15"/>
  <c r="C6" i="15"/>
  <c r="J20" i="15"/>
  <c r="F68" i="67"/>
  <c r="Q71" i="15"/>
  <c r="C34" i="15"/>
  <c r="F63" i="15"/>
  <c r="C62" i="15" s="1"/>
  <c r="F71" i="15"/>
  <c r="M49" i="43"/>
  <c r="N49" i="43" s="1"/>
  <c r="K49" i="43"/>
  <c r="J49" i="43" s="1"/>
  <c r="M48" i="43"/>
  <c r="N48" i="43" s="1"/>
  <c r="K48" i="43"/>
  <c r="J48" i="43" s="1"/>
  <c r="M54" i="43"/>
  <c r="N54" i="43" s="1"/>
  <c r="K54" i="43"/>
  <c r="C29" i="12"/>
  <c r="D28" i="12" s="1"/>
  <c r="M56" i="43"/>
  <c r="N56" i="43" s="1"/>
  <c r="K56" i="43"/>
  <c r="M55" i="43"/>
  <c r="N55" i="43" s="1"/>
  <c r="K55" i="43"/>
  <c r="F53" i="71"/>
  <c r="Q54" i="71"/>
  <c r="AC36" i="35"/>
  <c r="W36" i="35"/>
  <c r="U25" i="37"/>
  <c r="AB25" i="37"/>
  <c r="AB34" i="35"/>
  <c r="U34" i="35"/>
  <c r="AA9" i="34"/>
  <c r="S9" i="34"/>
  <c r="AC9" i="34"/>
  <c r="W9" i="34"/>
  <c r="AZ15" i="3"/>
  <c r="W12" i="35"/>
  <c r="AC12" i="35"/>
  <c r="S12" i="34"/>
  <c r="AA12" i="34"/>
  <c r="P21" i="43"/>
  <c r="C8" i="71"/>
  <c r="F7" i="36"/>
  <c r="J7" i="36"/>
  <c r="H7" i="35"/>
  <c r="J7" i="35"/>
  <c r="H7" i="37"/>
  <c r="F7" i="37"/>
  <c r="M51" i="43"/>
  <c r="N51" i="43" s="1"/>
  <c r="K51" i="43"/>
  <c r="M50" i="43"/>
  <c r="N50" i="43" s="1"/>
  <c r="K50" i="43"/>
  <c r="AZ5" i="3"/>
  <c r="M53" i="43"/>
  <c r="N53" i="43" s="1"/>
  <c r="K53" i="43"/>
  <c r="M52" i="43"/>
  <c r="N52" i="43" s="1"/>
  <c r="K52" i="43"/>
  <c r="D19" i="71"/>
  <c r="T19" i="71"/>
  <c r="D23" i="71"/>
  <c r="T23" i="71"/>
  <c r="AB36" i="35"/>
  <c r="U36" i="35"/>
  <c r="AA25" i="37"/>
  <c r="S25" i="37"/>
  <c r="AA34" i="35"/>
  <c r="S34" i="35"/>
  <c r="W34" i="35"/>
  <c r="AC34" i="35"/>
  <c r="AB9" i="34"/>
  <c r="U9" i="34"/>
  <c r="S12" i="35"/>
  <c r="AA12" i="35"/>
  <c r="W12" i="34"/>
  <c r="AC12" i="34"/>
  <c r="F1" i="67"/>
  <c r="C47" i="68"/>
  <c r="D45" i="68" s="1"/>
  <c r="E57" i="40"/>
  <c r="E62" i="39"/>
  <c r="E66" i="39" s="1"/>
  <c r="M7" i="67"/>
  <c r="J6" i="67" s="1"/>
  <c r="C6" i="67"/>
  <c r="F50" i="67"/>
  <c r="C49" i="67" s="1"/>
  <c r="E388" i="3"/>
  <c r="O6" i="3"/>
  <c r="E555"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239" i="3"/>
  <c r="E509" i="3"/>
  <c r="E516"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196" i="3"/>
  <c r="E136" i="3"/>
  <c r="E156" i="3"/>
  <c r="E236" i="3"/>
  <c r="E148" i="3"/>
  <c r="E269" i="3"/>
  <c r="E122" i="3"/>
  <c r="E89" i="3"/>
  <c r="E207" i="3"/>
  <c r="E252" i="3"/>
  <c r="E271" i="3"/>
  <c r="E204" i="3"/>
  <c r="E145" i="3"/>
  <c r="E164" i="3"/>
  <c r="E107" i="3"/>
  <c r="E327"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45" i="3"/>
  <c r="E159" i="3"/>
  <c r="E191" i="3"/>
  <c r="E99" i="3"/>
  <c r="E188" i="3"/>
  <c r="E228" i="3"/>
  <c r="E181" i="3"/>
  <c r="E157" i="3"/>
  <c r="E149" i="3"/>
  <c r="E77" i="3"/>
  <c r="E212" i="3"/>
  <c r="E253" i="3"/>
  <c r="E167" i="3"/>
  <c r="E199" i="3"/>
  <c r="E141" i="3"/>
  <c r="E286" i="3"/>
  <c r="E312"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9" i="69"/>
  <c r="C30" i="11"/>
  <c r="C48" i="11"/>
  <c r="H10" i="39"/>
  <c r="U10" i="39" s="1"/>
  <c r="J10" i="40"/>
  <c r="H10" i="40"/>
  <c r="U10" i="40" s="1"/>
  <c r="F10" i="40"/>
  <c r="O16" i="1"/>
  <c r="D22" i="43"/>
  <c r="G105" i="43"/>
  <c r="G107" i="43"/>
  <c r="G104" i="43"/>
  <c r="G109" i="43"/>
  <c r="G102" i="43"/>
  <c r="G103" i="43"/>
  <c r="G106" i="43"/>
  <c r="E104" i="43"/>
  <c r="E107" i="43"/>
  <c r="E105" i="43"/>
  <c r="E109" i="43"/>
  <c r="E102" i="43"/>
  <c r="E106" i="43"/>
  <c r="E103" i="43"/>
  <c r="M109" i="43"/>
  <c r="M104" i="43"/>
  <c r="M107" i="43"/>
  <c r="M105" i="43"/>
  <c r="M102" i="43"/>
  <c r="M106" i="43"/>
  <c r="M103" i="43"/>
  <c r="L109" i="43"/>
  <c r="L102" i="43"/>
  <c r="L105" i="43"/>
  <c r="L104" i="43"/>
  <c r="L106" i="43"/>
  <c r="L107" i="43"/>
  <c r="L103" i="43"/>
  <c r="C104" i="43"/>
  <c r="C106" i="43"/>
  <c r="C107" i="43"/>
  <c r="C103" i="43"/>
  <c r="C102" i="43"/>
  <c r="C109" i="43"/>
  <c r="C105" i="43"/>
  <c r="N105" i="43"/>
  <c r="N107" i="43"/>
  <c r="N102" i="43"/>
  <c r="N103" i="43"/>
  <c r="N106" i="43"/>
  <c r="N104" i="43"/>
  <c r="N109" i="43"/>
  <c r="K102" i="43"/>
  <c r="K106" i="43"/>
  <c r="K103" i="43"/>
  <c r="K107" i="43"/>
  <c r="K104" i="43"/>
  <c r="K105" i="43"/>
  <c r="K109" i="43"/>
  <c r="C29" i="11"/>
  <c r="D27" i="11" s="1"/>
  <c r="C47" i="11"/>
  <c r="D45" i="11" s="1"/>
  <c r="H107" i="43"/>
  <c r="H106" i="43"/>
  <c r="H105" i="43"/>
  <c r="H102" i="43"/>
  <c r="H103" i="43"/>
  <c r="H104" i="43"/>
  <c r="H109" i="43"/>
  <c r="J104" i="43"/>
  <c r="J107" i="43"/>
  <c r="J102" i="43"/>
  <c r="J106" i="43"/>
  <c r="J105" i="43"/>
  <c r="J103" i="43"/>
  <c r="J109"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09" i="43"/>
  <c r="I102" i="43"/>
  <c r="I106" i="43"/>
  <c r="I103" i="43"/>
  <c r="I104" i="43"/>
  <c r="I107" i="43"/>
  <c r="I105" i="43"/>
  <c r="D109" i="43"/>
  <c r="D103" i="43"/>
  <c r="D104" i="43"/>
  <c r="D107" i="43"/>
  <c r="D105" i="43"/>
  <c r="D106" i="43"/>
  <c r="D102" i="43"/>
  <c r="F102" i="43"/>
  <c r="F103" i="43"/>
  <c r="F104" i="43"/>
  <c r="F107" i="43"/>
  <c r="F106" i="43"/>
  <c r="F105" i="43"/>
  <c r="F109" i="43"/>
  <c r="N16" i="1"/>
  <c r="C34" i="11"/>
  <c r="L16" i="1"/>
  <c r="C18" i="15"/>
  <c r="C15" i="15"/>
  <c r="K20" i="6"/>
  <c r="M20" i="6" s="1"/>
  <c r="I20" i="6" s="1"/>
  <c r="S20" i="6" s="1"/>
  <c r="K24" i="6"/>
  <c r="M24" i="6" s="1"/>
  <c r="I24" i="6" s="1"/>
  <c r="S24" i="6" s="1"/>
  <c r="K26" i="6"/>
  <c r="M26" i="6" s="1"/>
  <c r="I26" i="6" s="1"/>
  <c r="S26" i="6" s="1"/>
  <c r="K19" i="6"/>
  <c r="S6" i="1" s="1"/>
  <c r="K21" i="6"/>
  <c r="M21" i="6" s="1"/>
  <c r="I21" i="6" s="1"/>
  <c r="S21" i="6" s="1"/>
  <c r="K25" i="6"/>
  <c r="M25" i="6" s="1"/>
  <c r="I25" i="6" s="1"/>
  <c r="S25" i="6" s="1"/>
  <c r="K23" i="6"/>
  <c r="M23" i="6" s="1"/>
  <c r="I23" i="6" s="1"/>
  <c r="S23" i="6" s="1"/>
  <c r="K22" i="6"/>
  <c r="M22" i="6" s="1"/>
  <c r="I22" i="6" s="1"/>
  <c r="S22" i="6" s="1"/>
  <c r="K15" i="1"/>
  <c r="K16" i="1" s="1"/>
  <c r="E30" i="6"/>
  <c r="E31" i="6" s="1"/>
  <c r="AY6" i="3"/>
  <c r="E3" i="6"/>
  <c r="P8" i="1"/>
  <c r="P16" i="1" s="1"/>
  <c r="C11" i="12" s="1"/>
  <c r="K4" i="4"/>
  <c r="B46" i="48" s="1"/>
  <c r="B4" i="72" s="1"/>
  <c r="B4" i="62"/>
  <c r="B71" i="72" s="1"/>
  <c r="K1" i="73"/>
  <c r="E20" i="43"/>
  <c r="M28" i="43" s="1"/>
  <c r="G20"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AB10" i="39"/>
  <c r="W10" i="39"/>
  <c r="AC10" i="39"/>
  <c r="W10" i="40"/>
  <c r="AC10" i="40"/>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AB10" i="40"/>
  <c r="AA10" i="40"/>
  <c r="S10" i="40"/>
  <c r="S10" i="39"/>
  <c r="AA10" i="39"/>
  <c r="E53" i="33"/>
  <c r="F53" i="33" s="1"/>
  <c r="E52" i="33"/>
  <c r="F52" i="33" s="1"/>
  <c r="E6" i="71"/>
  <c r="E5" i="71" s="1"/>
  <c r="V7" i="71"/>
  <c r="P23" i="43"/>
  <c r="B71" i="39" s="1"/>
  <c r="C7" i="71"/>
  <c r="D8" i="71"/>
  <c r="P25" i="43"/>
  <c r="C49" i="15"/>
  <c r="C38" i="68"/>
  <c r="C35" i="68"/>
  <c r="M11" i="15"/>
  <c r="J10" i="15" s="1"/>
  <c r="J5" i="15" s="1"/>
  <c r="F11" i="67"/>
  <c r="F11" i="15"/>
  <c r="M11" i="67"/>
  <c r="J10" i="67" s="1"/>
  <c r="J5" i="67" s="1"/>
  <c r="Q73" i="67"/>
  <c r="Q60" i="67"/>
  <c r="Q60" i="15"/>
  <c r="Q73" i="15"/>
  <c r="Q74" i="15"/>
  <c r="Q61" i="15"/>
  <c r="Q61" i="67"/>
  <c r="Q74" i="67"/>
  <c r="G1" i="73"/>
  <c r="C17" i="15"/>
  <c r="AE6" i="1"/>
  <c r="C14" i="67"/>
  <c r="C34" i="69"/>
  <c r="C16" i="67"/>
  <c r="C17" i="67"/>
  <c r="J52" i="43" l="1"/>
  <c r="D52" i="43"/>
  <c r="J53" i="43"/>
  <c r="D53" i="43"/>
  <c r="J55" i="43"/>
  <c r="D55" i="43"/>
  <c r="J56" i="43"/>
  <c r="D56" i="43"/>
  <c r="J50" i="43"/>
  <c r="D50" i="43"/>
  <c r="J51" i="43"/>
  <c r="D51" i="43"/>
  <c r="Q53" i="71"/>
  <c r="Q52" i="71"/>
  <c r="J54" i="43"/>
  <c r="D54" i="43"/>
  <c r="P28" i="43"/>
  <c r="AC6" i="3"/>
  <c r="H6" i="3"/>
  <c r="E6" i="3" s="1"/>
  <c r="C35" i="69"/>
  <c r="C38" i="69"/>
  <c r="C18" i="67"/>
  <c r="C15" i="67"/>
  <c r="E6" i="70"/>
  <c r="E2" i="70" s="1"/>
  <c r="S4" i="43"/>
  <c r="S6" i="43"/>
  <c r="S7" i="43"/>
  <c r="S2" i="43"/>
  <c r="C23" i="43"/>
  <c r="C21" i="43" s="1"/>
  <c r="S5" i="43"/>
  <c r="S3" i="43"/>
  <c r="S16" i="1"/>
  <c r="AR6" i="1"/>
  <c r="T6" i="1"/>
  <c r="T16" i="1" s="1"/>
  <c r="AQ6" i="1"/>
  <c r="N28" i="43"/>
  <c r="O28" i="43"/>
  <c r="C19" i="15"/>
  <c r="C20" i="15" s="1"/>
  <c r="C26" i="15" s="1"/>
  <c r="F50" i="68"/>
  <c r="F50" i="11"/>
  <c r="F50" i="69"/>
  <c r="C115" i="43"/>
  <c r="D113" i="43" s="1"/>
  <c r="C38" i="11"/>
  <c r="C35" i="11"/>
  <c r="C15" i="12"/>
  <c r="C12" i="12"/>
  <c r="AY87" i="3"/>
  <c r="AY83" i="3"/>
  <c r="AY51" i="3"/>
  <c r="AY66" i="3"/>
  <c r="AY34" i="3"/>
  <c r="AY23" i="3"/>
  <c r="AY207" i="3"/>
  <c r="AY176" i="3"/>
  <c r="AY98" i="3"/>
  <c r="AY82" i="3"/>
  <c r="AY18" i="3"/>
  <c r="AY191"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103" i="3"/>
  <c r="AY50"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67" i="3"/>
  <c r="AY171" i="3"/>
  <c r="AY90" i="3"/>
  <c r="AY163" i="3"/>
  <c r="AY75" i="3"/>
  <c r="AY237" i="3"/>
  <c r="AY387" i="3"/>
  <c r="AY334" i="3"/>
  <c r="AY444" i="3"/>
  <c r="AY526" i="3"/>
  <c r="AY269" i="3"/>
  <c r="AY390" i="3"/>
  <c r="AY311" i="3"/>
  <c r="AY447" i="3"/>
  <c r="AY535" i="3"/>
  <c r="AY574" i="3"/>
  <c r="AY55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196" i="3"/>
  <c r="AY132" i="3"/>
  <c r="AY31" i="3"/>
  <c r="AY292" i="3"/>
  <c r="AY147" i="3"/>
  <c r="AY220" i="3"/>
  <c r="AY350" i="3"/>
  <c r="AY486" i="3"/>
  <c r="AY425" i="3"/>
  <c r="AY199" i="3"/>
  <c r="AY244" i="3"/>
  <c r="AY355" i="3"/>
  <c r="AY481" i="3"/>
  <c r="AY404" i="3"/>
  <c r="AY562" i="3"/>
  <c r="BO6" i="3"/>
  <c r="AY89"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6" i="3"/>
  <c r="AY424" i="3"/>
  <c r="AY405" i="3"/>
  <c r="AY517" i="3"/>
  <c r="AY512" i="3"/>
  <c r="AY587" i="3"/>
  <c r="AY86" i="3"/>
  <c r="AY70" i="3"/>
  <c r="AY27" i="3"/>
  <c r="AY179" i="3"/>
  <c r="AY159" i="3"/>
  <c r="AY119" i="3"/>
  <c r="AY273" i="3"/>
  <c r="AY256" i="3"/>
  <c r="AY213" i="3"/>
  <c r="AY367" i="3"/>
  <c r="AY323" i="3"/>
  <c r="AY306" i="3"/>
  <c r="AY459" i="3"/>
  <c r="AY416" i="3"/>
  <c r="AY429" i="3"/>
  <c r="AY550" i="3"/>
  <c r="BD6" i="3"/>
  <c r="BC6" i="3"/>
  <c r="AY511" i="3"/>
  <c r="AY504" i="3"/>
  <c r="AY586" i="3"/>
  <c r="AY498" i="3"/>
  <c r="AY469" i="3"/>
  <c r="AY456" i="3"/>
  <c r="AY437" i="3"/>
  <c r="AY558" i="3"/>
  <c r="AY560" i="3"/>
  <c r="BL6" i="3"/>
  <c r="AY91" i="3"/>
  <c r="AY55" i="3"/>
  <c r="AY38" i="3"/>
  <c r="AY184" i="3"/>
  <c r="AY148" i="3"/>
  <c r="AY128" i="3"/>
  <c r="AY277" i="3"/>
  <c r="AY241" i="3"/>
  <c r="AY224" i="3"/>
  <c r="AY391" i="3"/>
  <c r="AY354" i="3"/>
  <c r="AY338" i="3"/>
  <c r="AY490" i="3"/>
  <c r="AY448" i="3"/>
  <c r="AY400" i="3"/>
  <c r="AY413" i="3"/>
  <c r="AY521" i="3"/>
  <c r="AY15" i="3"/>
  <c r="AY566" i="3"/>
  <c r="AY583" i="3"/>
  <c r="BT6" i="3"/>
  <c r="AY567" i="3"/>
  <c r="D3" i="21"/>
  <c r="D19" i="11"/>
  <c r="C19" i="11" s="1"/>
  <c r="C20" i="11" s="1"/>
  <c r="C28" i="11" s="1"/>
  <c r="C27" i="11" s="1"/>
  <c r="C17" i="4"/>
  <c r="B4" i="52" s="1"/>
  <c r="B43" i="72" s="1"/>
  <c r="D3" i="37"/>
  <c r="D3" i="33"/>
  <c r="B2" i="33" s="1"/>
  <c r="B3" i="33" s="1"/>
  <c r="D37" i="11"/>
  <c r="C37" i="11" s="1"/>
  <c r="C33" i="11" s="1"/>
  <c r="C39" i="11" s="1"/>
  <c r="C46" i="11" s="1"/>
  <c r="C45" i="11" s="1"/>
  <c r="M18" i="9"/>
  <c r="B118" i="9" s="1"/>
  <c r="B14" i="74" s="1"/>
  <c r="B1" i="74" s="1"/>
  <c r="D3" i="34"/>
  <c r="E6" i="6"/>
  <c r="D14" i="12"/>
  <c r="M19" i="6"/>
  <c r="K27" i="6"/>
  <c r="C5" i="43"/>
  <c r="F7" i="21"/>
  <c r="AA7" i="21" s="1"/>
  <c r="R48" i="21" s="1"/>
  <c r="B40" i="1"/>
  <c r="F22" i="68" s="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S7" i="21"/>
  <c r="C6" i="71"/>
  <c r="C5" i="71" s="1"/>
  <c r="D5" i="71" s="1"/>
  <c r="T7" i="71"/>
  <c r="D6" i="71"/>
  <c r="D7" i="71"/>
  <c r="J24" i="67"/>
  <c r="J26" i="67"/>
  <c r="J18" i="67"/>
  <c r="C53" i="67"/>
  <c r="C48" i="67" s="1"/>
  <c r="C10" i="67"/>
  <c r="C5" i="67" s="1"/>
  <c r="J24" i="15"/>
  <c r="J18" i="15"/>
  <c r="J26" i="15"/>
  <c r="J29" i="15" s="1"/>
  <c r="C53" i="15"/>
  <c r="C48" i="15" s="1"/>
  <c r="C10" i="15"/>
  <c r="C5" i="15" s="1"/>
  <c r="F41" i="67"/>
  <c r="F69" i="67" l="1"/>
  <c r="J29" i="67"/>
  <c r="E48" i="43"/>
  <c r="B46" i="43" s="1"/>
  <c r="C24" i="43" s="1"/>
  <c r="C19" i="67"/>
  <c r="C20" i="67" s="1"/>
  <c r="C26" i="67" s="1"/>
  <c r="F24" i="67"/>
  <c r="C24" i="67" s="1"/>
  <c r="D10" i="68"/>
  <c r="D10" i="11"/>
  <c r="C10" i="11" s="1"/>
  <c r="D20" i="12"/>
  <c r="C20" i="12" s="1"/>
  <c r="I19" i="6"/>
  <c r="L18" i="9" s="1"/>
  <c r="M27" i="6"/>
  <c r="D17" i="12"/>
  <c r="C17" i="12" s="1"/>
  <c r="C14" i="12"/>
  <c r="C16" i="12" s="1"/>
  <c r="C8" i="74"/>
  <c r="C7" i="74"/>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F25" i="12"/>
  <c r="C26" i="12" s="1"/>
  <c r="D25" i="12" s="1"/>
  <c r="F22" i="11"/>
  <c r="C44" i="11" s="1"/>
  <c r="D41" i="11" s="1"/>
  <c r="F7" i="34"/>
  <c r="S7" i="34"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I52" i="21"/>
  <c r="J52" i="21" s="1"/>
  <c r="I53" i="21"/>
  <c r="J53" i="21" s="1"/>
  <c r="E40" i="36"/>
  <c r="F40" i="36" s="1"/>
  <c r="E41" i="36"/>
  <c r="F41" i="36" s="1"/>
  <c r="I41" i="36"/>
  <c r="J41" i="36" s="1"/>
  <c r="E47" i="37"/>
  <c r="F47" i="37" s="1"/>
  <c r="E46" i="37"/>
  <c r="F46" i="37" s="1"/>
  <c r="G68" i="39"/>
  <c r="F70" i="39"/>
  <c r="M20" i="43"/>
  <c r="C19" i="43" s="1"/>
  <c r="T14" i="43" s="1"/>
  <c r="V14" i="43" s="1"/>
  <c r="U7" i="71"/>
  <c r="C26" i="68"/>
  <c r="D22" i="68" s="1"/>
  <c r="C44" i="68"/>
  <c r="D41" i="68" s="1"/>
  <c r="C38" i="15"/>
  <c r="C32" i="15"/>
  <c r="C66" i="15"/>
  <c r="C60" i="15"/>
  <c r="C60" i="67"/>
  <c r="C66" i="67"/>
  <c r="C38" i="67"/>
  <c r="C32" i="67"/>
  <c r="D10" i="69"/>
  <c r="AA7" i="34" l="1"/>
  <c r="R49" i="34" s="1"/>
  <c r="H19" i="6"/>
  <c r="L19" i="9" s="1"/>
  <c r="C42" i="11"/>
  <c r="C23" i="15"/>
  <c r="C29" i="15" s="1"/>
  <c r="J19" i="15" s="1"/>
  <c r="J17" i="15" s="1"/>
  <c r="C25" i="11"/>
  <c r="H27" i="6"/>
  <c r="C23" i="67"/>
  <c r="C29" i="67" s="1"/>
  <c r="J14" i="67" s="1"/>
  <c r="C26" i="11"/>
  <c r="D22" i="11" s="1"/>
  <c r="C24" i="11"/>
  <c r="C23" i="11"/>
  <c r="D16" i="6"/>
  <c r="D30" i="6"/>
  <c r="R21" i="6"/>
  <c r="R23" i="6"/>
  <c r="C4" i="52"/>
  <c r="B45" i="72" s="1"/>
  <c r="A10" i="51"/>
  <c r="B9" i="72" s="1"/>
  <c r="A7" i="51"/>
  <c r="B7" i="72" s="1"/>
  <c r="D27" i="6"/>
  <c r="D31" i="6" s="1"/>
  <c r="R19" i="6"/>
  <c r="C10" i="69"/>
  <c r="D19" i="69"/>
  <c r="R24" i="6"/>
  <c r="R22" i="6"/>
  <c r="R25" i="6"/>
  <c r="R26" i="6"/>
  <c r="D7" i="74"/>
  <c r="D8" i="74"/>
  <c r="S19" i="6"/>
  <c r="S27" i="6" s="1"/>
  <c r="I27" i="6"/>
  <c r="C10" i="68"/>
  <c r="D19" i="68"/>
  <c r="C43" i="11"/>
  <c r="C44" i="69"/>
  <c r="D41" i="69" s="1"/>
  <c r="C26" i="69"/>
  <c r="D22" i="69" s="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6" i="69"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C41" i="11" l="1"/>
  <c r="C49" i="11" s="1"/>
  <c r="C51" i="11" s="1"/>
  <c r="C8" i="69"/>
  <c r="B29" i="1"/>
  <c r="C33" i="67"/>
  <c r="C30" i="43"/>
  <c r="E30" i="43" s="1"/>
  <c r="C7" i="69"/>
  <c r="G35" i="43"/>
  <c r="I35" i="43" s="1"/>
  <c r="J19" i="67"/>
  <c r="G37" i="43"/>
  <c r="I37" i="43" s="1"/>
  <c r="G36" i="43"/>
  <c r="I36" i="43" s="1"/>
  <c r="C22" i="11"/>
  <c r="C31" i="11" s="1"/>
  <c r="J59" i="15"/>
  <c r="J60" i="15" s="1"/>
  <c r="Q48" i="15" s="1"/>
  <c r="C36" i="15"/>
  <c r="J14" i="15"/>
  <c r="J13" i="15" s="1"/>
  <c r="J23" i="15" s="1"/>
  <c r="Q49" i="15"/>
  <c r="C13" i="15"/>
  <c r="Q70" i="15" s="1"/>
  <c r="C57" i="15"/>
  <c r="C64" i="15" s="1"/>
  <c r="C33" i="15"/>
  <c r="C31" i="15" s="1"/>
  <c r="C36" i="67"/>
  <c r="C57" i="67"/>
  <c r="C61" i="67" s="1"/>
  <c r="J59" i="67"/>
  <c r="J60" i="67" s="1"/>
  <c r="Q48" i="67" s="1"/>
  <c r="Q49" i="67"/>
  <c r="C13" i="67"/>
  <c r="C37" i="67" s="1"/>
  <c r="R27" i="6"/>
  <c r="R6" i="1"/>
  <c r="E29" i="43"/>
  <c r="C26" i="43" s="1"/>
  <c r="B2" i="43" s="1"/>
  <c r="C19" i="68"/>
  <c r="D37" i="68"/>
  <c r="C37" i="68" s="1"/>
  <c r="C33" i="68" s="1"/>
  <c r="C19" i="69"/>
  <c r="C24" i="69" s="1"/>
  <c r="D37" i="69"/>
  <c r="C37" i="69" s="1"/>
  <c r="C33" i="69" s="1"/>
  <c r="I6" i="6"/>
  <c r="I5" i="6"/>
  <c r="H65" i="40"/>
  <c r="I63" i="40"/>
  <c r="C50" i="34"/>
  <c r="B2" i="34" s="1"/>
  <c r="B3" i="34" s="1"/>
  <c r="C49" i="34"/>
  <c r="I68" i="39"/>
  <c r="H70" i="39"/>
  <c r="G53" i="34"/>
  <c r="H53" i="34" s="1"/>
  <c r="G54" i="34"/>
  <c r="H54" i="34" s="1"/>
  <c r="E54" i="34"/>
  <c r="F54" i="34" s="1"/>
  <c r="E53" i="34"/>
  <c r="F53" i="34" s="1"/>
  <c r="G39" i="43"/>
  <c r="I39" i="43" s="1"/>
  <c r="G34" i="43"/>
  <c r="I34" i="43" s="1"/>
  <c r="J13" i="67"/>
  <c r="J23" i="67" s="1"/>
  <c r="J22" i="67"/>
  <c r="F35" i="67"/>
  <c r="M21" i="67"/>
  <c r="B6" i="76"/>
  <c r="C52" i="11" l="1"/>
  <c r="B2" i="11" s="1"/>
  <c r="B3" i="11" s="1"/>
  <c r="J22" i="15"/>
  <c r="J16" i="15" s="1"/>
  <c r="J25" i="15" s="1"/>
  <c r="C8" i="68"/>
  <c r="C5" i="68" s="1"/>
  <c r="C23" i="68" s="1"/>
  <c r="C18" i="12"/>
  <c r="C21" i="12" s="1"/>
  <c r="C22" i="12" s="1"/>
  <c r="C27" i="12" s="1"/>
  <c r="C25" i="12" s="1"/>
  <c r="C75" i="15"/>
  <c r="C61" i="15"/>
  <c r="C59" i="15" s="1"/>
  <c r="C5" i="69"/>
  <c r="C23" i="69" s="1"/>
  <c r="C27" i="43"/>
  <c r="C56" i="15"/>
  <c r="C65" i="15" s="1"/>
  <c r="L46" i="15"/>
  <c r="J20" i="67"/>
  <c r="J17" i="67" s="1"/>
  <c r="J16" i="67" s="1"/>
  <c r="J25" i="67" s="1"/>
  <c r="F63" i="67"/>
  <c r="C62" i="67" s="1"/>
  <c r="C59" i="67" s="1"/>
  <c r="C34" i="67"/>
  <c r="C31" i="67" s="1"/>
  <c r="C30" i="67" s="1"/>
  <c r="C39" i="67" s="1"/>
  <c r="R16" i="1"/>
  <c r="C64" i="67"/>
  <c r="C37" i="15"/>
  <c r="C30" i="15" s="1"/>
  <c r="C39" i="15" s="1"/>
  <c r="C40" i="15" s="1"/>
  <c r="Q70" i="67"/>
  <c r="C75" i="67"/>
  <c r="C56" i="67"/>
  <c r="C65" i="67" s="1"/>
  <c r="C24" i="68"/>
  <c r="C39" i="69"/>
  <c r="C42" i="69"/>
  <c r="C39" i="68"/>
  <c r="C43" i="68" s="1"/>
  <c r="C42" i="68"/>
  <c r="I65" i="40"/>
  <c r="J63" i="40"/>
  <c r="J68" i="39"/>
  <c r="I70" i="39"/>
  <c r="B2" i="76"/>
  <c r="B3" i="43"/>
  <c r="L51" i="67"/>
  <c r="L51" i="15"/>
  <c r="E6" i="76"/>
  <c r="C20" i="69" l="1"/>
  <c r="C28" i="69" s="1"/>
  <c r="C27" i="69" s="1"/>
  <c r="C20" i="68"/>
  <c r="C28" i="68" s="1"/>
  <c r="C27" i="68" s="1"/>
  <c r="C30" i="12"/>
  <c r="C28" i="12" s="1"/>
  <c r="C32" i="12" s="1"/>
  <c r="B2" i="12" s="1"/>
  <c r="B3" i="12" s="1"/>
  <c r="C56" i="11"/>
  <c r="C57" i="11" s="1"/>
  <c r="C58" i="15"/>
  <c r="C67" i="15" s="1"/>
  <c r="C68" i="15" s="1"/>
  <c r="C46" i="15" s="1"/>
  <c r="E2" i="76"/>
  <c r="B3" i="76" s="1"/>
  <c r="Q69" i="15"/>
  <c r="Q68" i="15" s="1"/>
  <c r="C40" i="67"/>
  <c r="Q47" i="67" s="1"/>
  <c r="Q53" i="67" s="1"/>
  <c r="Q69" i="67"/>
  <c r="Q68" i="67" s="1"/>
  <c r="C80" i="67"/>
  <c r="C79" i="67" s="1"/>
  <c r="C58" i="67"/>
  <c r="C67" i="67" s="1"/>
  <c r="C68" i="67" s="1"/>
  <c r="C71" i="67" s="1"/>
  <c r="C41" i="68"/>
  <c r="C80" i="15"/>
  <c r="C79" i="15" s="1"/>
  <c r="C46" i="69"/>
  <c r="C45" i="69" s="1"/>
  <c r="C43" i="69"/>
  <c r="C41" i="69" s="1"/>
  <c r="C46" i="68"/>
  <c r="C45" i="68" s="1"/>
  <c r="K63" i="40"/>
  <c r="J65" i="40"/>
  <c r="K68" i="39"/>
  <c r="J70" i="39"/>
  <c r="Q67" i="67"/>
  <c r="L57" i="67"/>
  <c r="L60" i="67" s="1"/>
  <c r="L46" i="67" s="1"/>
  <c r="Q67" i="15"/>
  <c r="L57" i="15"/>
  <c r="L60" i="15" s="1"/>
  <c r="Q65" i="15"/>
  <c r="B2" i="15"/>
  <c r="C43" i="15"/>
  <c r="Q47" i="15"/>
  <c r="Q53" i="15" s="1"/>
  <c r="Q56" i="15"/>
  <c r="C83" i="15"/>
  <c r="C82" i="15" s="1"/>
  <c r="C25" i="68" l="1"/>
  <c r="C22" i="68" s="1"/>
  <c r="C31" i="68" s="1"/>
  <c r="C25" i="69"/>
  <c r="C22" i="69" s="1"/>
  <c r="C31" i="69" s="1"/>
  <c r="C71" i="15"/>
  <c r="Q65" i="67"/>
  <c r="C83" i="67"/>
  <c r="C82" i="67" s="1"/>
  <c r="Q56" i="67"/>
  <c r="C43" i="67"/>
  <c r="D2" i="67"/>
  <c r="B2" i="67" s="1"/>
  <c r="C45" i="67"/>
  <c r="C46" i="67" s="1"/>
  <c r="C49" i="68"/>
  <c r="C51" i="68" s="1"/>
  <c r="C49" i="69"/>
  <c r="C51" i="69" s="1"/>
  <c r="B3" i="15"/>
  <c r="L63" i="40"/>
  <c r="K65" i="40"/>
  <c r="L68" i="39"/>
  <c r="K70" i="39"/>
  <c r="Q57" i="15"/>
  <c r="Q62" i="15" s="1"/>
  <c r="Q66" i="15"/>
  <c r="Q75" i="15" s="1"/>
  <c r="Q66" i="67"/>
  <c r="Q57" i="67"/>
  <c r="E2" i="69"/>
  <c r="B3" i="67" l="1"/>
  <c r="C52" i="69"/>
  <c r="B2" i="69" s="1"/>
  <c r="Q62" i="67"/>
  <c r="Q75" i="67"/>
  <c r="C52" i="68"/>
  <c r="B2" i="68" s="1"/>
  <c r="B3" i="68" s="1"/>
  <c r="M63" i="40"/>
  <c r="L65" i="40"/>
  <c r="M68" i="39"/>
  <c r="L70" i="39"/>
  <c r="D20" i="9"/>
  <c r="B3" i="69"/>
  <c r="AO6" i="1"/>
  <c r="D19" i="9"/>
  <c r="C19" i="9"/>
  <c r="G19" i="9" l="1"/>
  <c r="C32" i="9" s="1"/>
  <c r="C57" i="69"/>
  <c r="C56" i="69" s="1"/>
  <c r="D103" i="9"/>
  <c r="C21" i="9"/>
  <c r="C102" i="9"/>
  <c r="D102" i="9"/>
  <c r="D21" i="9"/>
  <c r="D22" i="9"/>
  <c r="B6" i="70"/>
  <c r="B2" i="70" s="1"/>
  <c r="B3" i="70" s="1"/>
  <c r="C57" i="68"/>
  <c r="C56" i="68" s="1"/>
  <c r="N63" i="40"/>
  <c r="M65" i="40"/>
  <c r="N68" i="39"/>
  <c r="M70" i="39"/>
  <c r="C20" i="9"/>
  <c r="G20" i="9" l="1"/>
  <c r="R24" i="31" s="1"/>
  <c r="R25" i="31" s="1"/>
  <c r="S25" i="31" s="1"/>
  <c r="C103" i="9"/>
  <c r="R29" i="31"/>
  <c r="S29" i="31" s="1"/>
  <c r="G21" i="9"/>
  <c r="H118" i="9"/>
  <c r="C35" i="9"/>
  <c r="F118" i="9" s="1"/>
  <c r="J7" i="40"/>
  <c r="N65" i="40"/>
  <c r="O63" i="40"/>
  <c r="O65" i="40" s="1"/>
  <c r="F7" i="40" s="1"/>
  <c r="O68" i="39"/>
  <c r="O70" i="39" s="1"/>
  <c r="N70" i="39"/>
  <c r="S24" i="31" l="1"/>
  <c r="R28" i="31"/>
  <c r="S28" i="31" s="1"/>
  <c r="R26" i="31"/>
  <c r="S26" i="31" s="1"/>
  <c r="R27" i="31"/>
  <c r="S27" i="31" s="1"/>
  <c r="R31" i="31"/>
  <c r="S31" i="31" s="1"/>
  <c r="R30" i="31"/>
  <c r="S30" i="31" s="1"/>
  <c r="C34" i="9"/>
  <c r="D118" i="9" s="1"/>
  <c r="D4" i="52" s="1"/>
  <c r="B47" i="72" s="1"/>
  <c r="F119" i="9"/>
  <c r="F5" i="52" s="1"/>
  <c r="B53" i="72" s="1"/>
  <c r="F4" i="52"/>
  <c r="B51" i="72" s="1"/>
  <c r="G118" i="9"/>
  <c r="G4" i="52" s="1"/>
  <c r="B52" i="72" s="1"/>
  <c r="I118" i="9"/>
  <c r="D14" i="74"/>
  <c r="H119" i="9"/>
  <c r="H5" i="52" s="1"/>
  <c r="C104" i="9"/>
  <c r="H101" i="9"/>
  <c r="H4" i="52"/>
  <c r="S7" i="40"/>
  <c r="AA7" i="40"/>
  <c r="R42" i="40" s="1"/>
  <c r="H7" i="40"/>
  <c r="W7" i="40"/>
  <c r="AC7" i="40"/>
  <c r="V42" i="40" s="1"/>
  <c r="I42" i="40" s="1"/>
  <c r="F7" i="39"/>
  <c r="J7" i="39"/>
  <c r="H7" i="39"/>
  <c r="S22" i="31" l="1"/>
  <c r="R22" i="31" s="1"/>
  <c r="B21" i="31" s="1"/>
  <c r="D119" i="9"/>
  <c r="D5" i="52" s="1"/>
  <c r="B49" i="72" s="1"/>
  <c r="D45" i="9"/>
  <c r="M48" i="9"/>
  <c r="D5" i="53"/>
  <c r="H107" i="9"/>
  <c r="I4" i="52"/>
  <c r="E118" i="9"/>
  <c r="E4" i="52" s="1"/>
  <c r="B48" i="72" s="1"/>
  <c r="C105" i="9"/>
  <c r="H102" i="9"/>
  <c r="D7" i="53" s="1"/>
  <c r="B21" i="72" s="1"/>
  <c r="E14" i="74"/>
  <c r="F14" i="74"/>
  <c r="B5" i="74"/>
  <c r="E42" i="40"/>
  <c r="R43" i="40"/>
  <c r="I47" i="40"/>
  <c r="J47" i="40" s="1"/>
  <c r="I46" i="40"/>
  <c r="J46" i="40" s="1"/>
  <c r="U7" i="40"/>
  <c r="AB7" i="40"/>
  <c r="T42" i="40" s="1"/>
  <c r="G42" i="40" s="1"/>
  <c r="AB7" i="39"/>
  <c r="T47" i="39" s="1"/>
  <c r="G47" i="39" s="1"/>
  <c r="U7" i="39"/>
  <c r="AC7" i="39"/>
  <c r="V47" i="39" s="1"/>
  <c r="I47" i="39" s="1"/>
  <c r="W7" i="39"/>
  <c r="S7" i="39"/>
  <c r="AA7" i="39"/>
  <c r="R47" i="39" s="1"/>
  <c r="B20" i="31" l="1"/>
  <c r="H108" i="9"/>
  <c r="D15" i="53" s="1"/>
  <c r="B31" i="72" s="1"/>
  <c r="D122" i="9"/>
  <c r="D13" i="53"/>
  <c r="D5" i="74"/>
  <c r="C5" i="74"/>
  <c r="B20" i="72"/>
  <c r="D6" i="53"/>
  <c r="B22" i="72" s="1"/>
  <c r="D55" i="9"/>
  <c r="M53" i="9" s="1"/>
  <c r="C93" i="9"/>
  <c r="C86" i="9" s="1"/>
  <c r="C78" i="9"/>
  <c r="C73" i="9" s="1"/>
  <c r="D53" i="9"/>
  <c r="D52" i="9"/>
  <c r="C85" i="9"/>
  <c r="C64" i="9"/>
  <c r="C63" i="9" s="1"/>
  <c r="C67" i="9" s="1"/>
  <c r="C68" i="9" s="1"/>
  <c r="D54" i="9" s="1"/>
  <c r="C72" i="9"/>
  <c r="G47" i="40"/>
  <c r="H47" i="40" s="1"/>
  <c r="G46" i="40"/>
  <c r="H46" i="40" s="1"/>
  <c r="C43" i="40"/>
  <c r="C42" i="40"/>
  <c r="E47" i="40"/>
  <c r="F47" i="40" s="1"/>
  <c r="E46" i="40"/>
  <c r="F46" i="40" s="1"/>
  <c r="I51" i="39"/>
  <c r="J51" i="39" s="1"/>
  <c r="E47" i="39"/>
  <c r="I52" i="39" s="1"/>
  <c r="J52" i="39" s="1"/>
  <c r="R48" i="39"/>
  <c r="G51" i="39"/>
  <c r="H51" i="39" s="1"/>
  <c r="G52" i="39"/>
  <c r="H52" i="39" s="1"/>
  <c r="C79" i="9" l="1"/>
  <c r="C80" i="9" s="1"/>
  <c r="E80" i="9" s="1"/>
  <c r="E81" i="9" s="1"/>
  <c r="C95" i="9"/>
  <c r="C96" i="9" s="1"/>
  <c r="E96" i="9" s="1"/>
  <c r="E97" i="9" s="1"/>
  <c r="G14" i="74"/>
  <c r="B6" i="74" s="1"/>
  <c r="D123" i="9"/>
  <c r="D9" i="52" s="1"/>
  <c r="D8" i="52"/>
  <c r="D14" i="53"/>
  <c r="B32" i="72" s="1"/>
  <c r="B30" i="72"/>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81" i="9" l="1"/>
  <c r="C97" i="9"/>
  <c r="D58" i="9" s="1"/>
  <c r="D56" i="9" s="1"/>
  <c r="M54" i="9" s="1"/>
  <c r="N57" i="9" s="1"/>
  <c r="N59" i="9" s="1"/>
  <c r="C6" i="74"/>
  <c r="D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<sst xmlns="http://schemas.openxmlformats.org/spreadsheetml/2006/main" count="7342" uniqueCount="3110">
  <si>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</si>
  <si>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</si>
  <si>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</si>
  <si>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</si>
  <si>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</si>
  <si>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</si>
  <si>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</si>
  <si>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</si>
  <si>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</si>
  <si>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</si>
  <si>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</si>
  <si>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</si>
  <si>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</si>
  <si>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</si>
  <si>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</si>
  <si>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</si>
  <si>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</si>
  <si>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</si>
  <si>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</si>
  <si>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</si>
  <si>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</si>
  <si>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</si>
  <si>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</si>
  <si>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</si>
  <si>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</si>
  <si>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</si>
  <si>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</si>
  <si>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</si>
  <si>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</si>
  <si>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</si>
  <si>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</si>
  <si>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</si>
  <si>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</si>
  <si>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</si>
  <si>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</si>
  <si>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</si>
  <si>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</si>
  <si>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</si>
  <si>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</si>
  <si>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</si>
  <si>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</si>
  <si>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</si>
  <si>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</si>
  <si>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</si>
  <si>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</si>
  <si>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</si>
  <si>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</si>
  <si>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</si>
  <si>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</si>
  <si>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</si>
  <si>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</si>
  <si>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</si>
  <si>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</si>
  <si>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</si>
  <si>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</si>
  <si>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</si>
  <si>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</si>
  <si>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</si>
  <si>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</si>
  <si>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</si>
  <si>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</si>
  <si>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</si>
  <si>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</si>
  <si>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</si>
  <si>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</si>
  <si>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</si>
  <si>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</si>
  <si>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</si>
  <si>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</si>
  <si>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</si>
  <si>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</si>
  <si>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</si>
  <si>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</si>
  <si>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</si>
  <si>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</si>
  <si>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</si>
  <si>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</si>
  <si>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</si>
  <si>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</si>
  <si>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</si>
  <si>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</si>
  <si>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</si>
  <si>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</si>
  <si>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</si>
  <si>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</si>
  <si>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</si>
  <si>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</si>
  <si>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</si>
  <si>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</si>
  <si>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</si>
  <si>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</si>
  <si>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</si>
  <si>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</si>
  <si>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</si>
  <si>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</si>
  <si>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</si>
  <si>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</si>
  <si>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</si>
  <si>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</si>
  <si>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</si>
  <si>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</si>
  <si>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</si>
  <si>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</si>
  <si>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</si>
  <si>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</si>
  <si>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</si>
  <si>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</si>
  <si>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</si>
  <si>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</si>
  <si>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</si>
  <si>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</si>
  <si>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</si>
  <si>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</si>
  <si>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</si>
  <si>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</si>
  <si>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</si>
  <si>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</si>
  <si>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</si>
  <si>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</si>
  <si>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</si>
  <si>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</si>
  <si>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</si>
  <si>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</si>
  <si>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</si>
  <si>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</si>
  <si>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</si>
  <si>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</si>
  <si>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</si>
  <si>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</si>
  <si>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</si>
  <si>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</si>
  <si>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</si>
  <si>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</si>
  <si>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</si>
  <si>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</si>
  <si>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</si>
  <si>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</si>
  <si>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</si>
  <si>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</si>
  <si>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</si>
  <si>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</si>
  <si>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</si>
  <si>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</si>
  <si>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</si>
  <si>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</si>
  <si>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</si>
  <si>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</si>
  <si>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</si>
  <si>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</si>
  <si>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</si>
  <si>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</si>
  <si>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</si>
  <si>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</si>
  <si>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</si>
  <si>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</si>
  <si>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</si>
  <si>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</si>
  <si>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</si>
  <si>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</si>
  <si>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</si>
  <si>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</si>
  <si>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</si>
  <si>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</si>
  <si>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</si>
  <si>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</si>
  <si>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</si>
  <si>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</si>
  <si>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</si>
  <si>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</si>
  <si>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</si>
  <si>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</si>
  <si>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</si>
  <si>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</si>
  <si>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</si>
  <si>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</si>
  <si>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</si>
  <si>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</si>
  <si>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</si>
  <si>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</si>
  <si>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</si>
  <si>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</si>
  <si>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</si>
  <si>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</si>
  <si>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</si>
  <si>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</si>
  <si>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</si>
  <si>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</si>
  <si>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</si>
  <si>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</si>
  <si>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</si>
  <si>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</si>
  <si>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</si>
  <si>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</si>
  <si>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</si>
  <si>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</si>
  <si>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</si>
  <si>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</si>
  <si>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</si>
  <si>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</si>
  <si>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</si>
  <si>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</si>
  <si>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</si>
  <si>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</si>
  <si>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</si>
  <si>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</si>
  <si>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</si>
  <si>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</si>
  <si>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</si>
  <si>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</si>
  <si>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</si>
  <si>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</si>
  <si>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</si>
  <si>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</si>
  <si>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</si>
  <si>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</si>
  <si>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</si>
  <si>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</si>
  <si>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</si>
  <si>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</si>
  <si>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</si>
  <si>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</si>
  <si>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</si>
  <si>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</si>
  <si>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</si>
  <si>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</si>
  <si>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</si>
  <si>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</si>
  <si>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</si>
  <si>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</si>
  <si>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</si>
  <si>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</si>
  <si>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</si>
  <si>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</si>
  <si>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</si>
  <si>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</si>
  <si>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</si>
  <si>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</si>
  <si>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</si>
  <si>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</si>
  <si>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</si>
  <si>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</si>
  <si>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</si>
  <si>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</si>
  <si>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</si>
  <si>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</si>
  <si>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</si>
  <si>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</si>
  <si>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</si>
  <si>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</si>
  <si>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</si>
  <si>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</si>
  <si>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</si>
  <si>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</si>
  <si>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</si>
  <si>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</si>
  <si>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</si>
  <si>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</si>
  <si>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</si>
  <si>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</si>
  <si>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</si>
  <si>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</si>
  <si>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</si>
  <si>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</si>
  <si>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</si>
  <si>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</si>
  <si>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</si>
  <si>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</si>
  <si>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</si>
  <si>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</si>
  <si>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</si>
  <si>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</si>
  <si>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</si>
  <si>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</si>
  <si>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</si>
  <si>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</si>
  <si>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</si>
  <si>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</si>
  <si>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</si>
  <si>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</si>
  <si>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</si>
  <si>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</si>
  <si>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</si>
  <si>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</si>
  <si>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</si>
  <si>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</si>
  <si>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</si>
  <si>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</si>
  <si>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</si>
  <si>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</si>
  <si>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</si>
  <si>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</si>
  <si>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</si>
  <si>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</si>
  <si>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</si>
  <si>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</si>
  <si>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</si>
  <si>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</si>
  <si>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</si>
  <si>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</si>
  <si>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</si>
  <si>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</si>
  <si>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</si>
  <si>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</si>
  <si>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</si>
  <si>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</si>
  <si>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</si>
  <si>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</si>
  <si>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</si>
  <si>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</si>
  <si>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</si>
  <si>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</si>
  <si>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</si>
  <si>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</si>
  <si>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</si>
  <si>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</si>
  <si>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</si>
  <si>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</si>
  <si>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</si>
  <si>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</si>
  <si>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</si>
  <si>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</si>
  <si>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</si>
  <si>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</si>
  <si>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</si>
  <si>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</si>
  <si>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</si>
  <si>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</si>
  <si>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</si>
  <si>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</si>
  <si>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</si>
  <si>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</si>
  <si>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</si>
  <si>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</si>
  <si>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</si>
  <si>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</si>
  <si>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</si>
  <si>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</si>
  <si>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</si>
  <si>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</si>
  <si>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</si>
  <si>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</si>
  <si>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</si>
  <si>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</si>
  <si>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</si>
  <si>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</si>
  <si>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</si>
  <si>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</si>
  <si>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</si>
  <si>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</si>
  <si>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</si>
  <si>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</si>
  <si>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</si>
  <si>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</si>
  <si>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</si>
  <si>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</si>
  <si>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</si>
  <si>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</si>
  <si>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</si>
  <si>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</si>
  <si>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</si>
  <si>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</si>
  <si>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</si>
  <si>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</si>
  <si>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</si>
  <si>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</si>
  <si>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</si>
  <si>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</si>
  <si>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</si>
  <si>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</si>
  <si>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</si>
  <si>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</si>
  <si>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</si>
  <si>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</si>
  <si>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</si>
  <si>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</si>
  <si>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</si>
  <si>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</si>
  <si>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</si>
  <si>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</si>
  <si>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</si>
  <si>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</si>
  <si>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</si>
  <si>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</si>
  <si>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</si>
  <si>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</si>
  <si>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</si>
  <si>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</si>
  <si>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</si>
  <si>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</si>
  <si>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</si>
  <si>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</si>
  <si>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</si>
  <si>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</si>
  <si>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</si>
  <si>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</si>
  <si>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</si>
  <si>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</si>
  <si>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</si>
  <si>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</si>
  <si>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</si>
  <si>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</si>
  <si>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</si>
  <si>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</si>
  <si>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</si>
  <si>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</si>
  <si>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</si>
  <si>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</si>
  <si>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</si>
  <si>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</si>
  <si>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</si>
  <si>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</si>
  <si>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</si>
  <si>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</si>
  <si>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</si>
  <si>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</si>
  <si>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</si>
  <si>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</si>
  <si>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</si>
  <si>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</si>
  <si>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</si>
  <si>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</si>
  <si>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</si>
  <si>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</si>
  <si>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</si>
  <si>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</si>
  <si>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</si>
  <si>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</si>
  <si>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</si>
  <si>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</si>
  <si>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</si>
  <si>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</si>
  <si>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</si>
  <si>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</si>
  <si>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</si>
  <si>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</si>
  <si>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</si>
  <si>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</si>
  <si>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</si>
  <si>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</si>
  <si>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</si>
  <si>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</si>
  <si>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</si>
  <si>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</si>
  <si>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</si>
  <si>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</si>
  <si>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</si>
  <si>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</si>
  <si>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</si>
  <si>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</si>
  <si>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</si>
  <si>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</si>
  <si>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</si>
  <si>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</si>
  <si>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</si>
  <si>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</si>
  <si>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</si>
  <si>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</si>
  <si>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</si>
  <si>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</si>
  <si>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</si>
  <si>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</si>
  <si>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</si>
  <si>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</si>
  <si>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</si>
  <si>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</si>
  <si>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</si>
  <si>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</si>
  <si>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</si>
  <si>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</si>
  <si>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</si>
  <si>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</si>
  <si>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</si>
  <si>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</si>
  <si>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</si>
  <si>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</si>
  <si>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</si>
  <si>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</si>
  <si>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</si>
  <si>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</si>
  <si>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</si>
  <si>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</si>
  <si>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</si>
  <si>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</si>
  <si>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</si>
  <si>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</si>
  <si>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</si>
  <si>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</si>
  <si>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</si>
  <si>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</si>
  <si>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</si>
  <si>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</si>
  <si>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</si>
  <si>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</si>
  <si>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</si>
  <si>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</si>
  <si>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</si>
  <si>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</si>
  <si>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</si>
  <si>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</si>
  <si>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</si>
  <si>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</si>
  <si>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</si>
  <si>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</si>
  <si>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</si>
  <si>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</si>
  <si>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</si>
  <si>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</si>
  <si>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</si>
  <si>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</si>
  <si>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</si>
  <si>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</si>
  <si>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</si>
  <si>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</si>
  <si>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</si>
  <si>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</si>
  <si>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</si>
  <si>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</si>
  <si>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</si>
  <si>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</si>
  <si>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</si>
  <si>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</si>
  <si>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</si>
  <si>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</si>
  <si>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</si>
  <si>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</si>
  <si>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</si>
  <si>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</si>
  <si>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</si>
  <si>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</si>
  <si>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</si>
  <si>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</si>
  <si>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</si>
  <si>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</si>
  <si>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</si>
  <si>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</si>
  <si>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</si>
  <si>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</si>
  <si>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</si>
  <si>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</si>
  <si>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</si>
  <si>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</si>
  <si>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</si>
  <si>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</si>
  <si>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</si>
  <si>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</si>
  <si>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</si>
  <si>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</si>
  <si>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</si>
  <si>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</si>
  <si>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</si>
  <si>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</si>
  <si>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</si>
  <si>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</si>
  <si>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</si>
  <si>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</si>
  <si>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</si>
  <si>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</si>
  <si>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</si>
  <si>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</si>
  <si>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</si>
  <si>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</si>
  <si>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</si>
  <si>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</si>
  <si>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</si>
  <si>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</si>
  <si>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</si>
  <si>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</si>
  <si>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</si>
  <si>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</si>
  <si>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</si>
  <si>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</si>
  <si>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</si>
  <si>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</si>
  <si>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</si>
  <si>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</si>
  <si>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</si>
  <si>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</si>
  <si>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</si>
  <si>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</si>
  <si>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</si>
  <si>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</si>
  <si>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</si>
  <si>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</si>
  <si>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</si>
  <si>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</si>
  <si>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</si>
  <si>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</si>
  <si>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</si>
  <si>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</si>
  <si>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</si>
  <si>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</si>
  <si>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</si>
  <si>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</si>
  <si>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</si>
  <si>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</si>
  <si>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</si>
  <si>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</si>
  <si>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</si>
  <si>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</si>
  <si>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</si>
  <si>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</si>
  <si>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</si>
  <si>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</si>
  <si>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</si>
  <si>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</si>
  <si>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</si>
  <si>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</si>
  <si>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</si>
  <si>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</si>
  <si>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</si>
  <si>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</si>
  <si>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</si>
  <si>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</si>
  <si>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</si>
  <si>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</si>
  <si>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</si>
  <si>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</si>
  <si>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</si>
  <si>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</si>
  <si>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</si>
  <si>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</si>
  <si>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</si>
  <si>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</si>
  <si>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</si>
  <si>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</si>
  <si>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</si>
  <si>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</si>
  <si>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</si>
  <si>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</si>
  <si>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</si>
  <si>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</si>
  <si>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</si>
  <si>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</si>
  <si>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</si>
  <si>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</si>
  <si>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</si>
  <si>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</si>
  <si>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</si>
  <si>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</si>
  <si>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</si>
  <si>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</si>
  <si>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</si>
  <si>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</si>
  <si>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</si>
  <si>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</si>
  <si>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</si>
  <si>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</si>
  <si>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</si>
  <si>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</si>
  <si>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</si>
  <si>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</si>
  <si>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</si>
  <si>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</si>
  <si>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</si>
  <si>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</si>
  <si>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</si>
  <si>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</si>
  <si>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</si>
  <si>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</si>
  <si>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</si>
  <si>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</si>
  <si>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</si>
  <si>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</si>
  <si>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</si>
  <si>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</si>
  <si>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</si>
  <si>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</si>
  <si>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</si>
  <si>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</si>
  <si>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</si>
  <si>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</si>
  <si>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</si>
  <si>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</si>
  <si>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</si>
  <si>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</si>
  <si>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</si>
  <si>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</si>
  <si>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</si>
  <si>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</si>
  <si>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</si>
  <si>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</si>
  <si>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</si>
  <si>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</si>
  <si>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</si>
  <si>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</si>
  <si>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</si>
  <si>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</si>
  <si>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</si>
  <si>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</si>
  <si>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</si>
  <si>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</si>
  <si>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</si>
  <si>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</si>
  <si>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</si>
  <si>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</si>
  <si>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</si>
  <si>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</si>
  <si>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</si>
  <si>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</si>
  <si>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</si>
  <si>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</si>
  <si>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</si>
  <si>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</si>
  <si>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</si>
  <si>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</si>
  <si>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</si>
  <si>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</si>
  <si>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</si>
  <si>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</si>
  <si>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</si>
  <si>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</si>
  <si>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</si>
  <si>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</si>
  <si>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</si>
  <si>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</si>
  <si>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</si>
  <si>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</si>
  <si>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</si>
  <si>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</si>
  <si>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</si>
  <si>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</si>
  <si>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</si>
  <si>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</si>
  <si>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</si>
  <si>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</si>
  <si>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</si>
  <si>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</si>
  <si>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</si>
  <si>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</si>
  <si>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</si>
  <si>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</si>
  <si>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</si>
  <si>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</si>
  <si>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</si>
  <si>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</si>
  <si>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</si>
  <si>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</si>
  <si>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</si>
  <si>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</si>
  <si>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</si>
  <si>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</si>
  <si>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</si>
  <si>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</si>
  <si>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</si>
  <si>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</si>
  <si>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</si>
  <si>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</si>
  <si>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</si>
  <si>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</si>
  <si>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</si>
  <si>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</si>
  <si>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</si>
  <si>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</si>
  <si>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</si>
  <si>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</si>
  <si>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</si>
  <si>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</si>
  <si>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</si>
  <si>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</si>
  <si>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</si>
  <si>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</si>
  <si>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</si>
  <si>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</si>
  <si>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</si>
  <si>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</si>
  <si>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</si>
  <si>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</si>
  <si>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</si>
  <si>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</si>
  <si>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</si>
  <si>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</si>
  <si>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</si>
  <si>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</si>
  <si>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</si>
  <si>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</si>
  <si>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</si>
  <si>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</si>
  <si>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</si>
  <si>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</si>
  <si>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</si>
  <si>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</si>
  <si>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</si>
  <si>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</si>
  <si>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</si>
  <si>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</si>
  <si>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</si>
  <si>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</si>
  <si>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</si>
  <si>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</si>
  <si>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</si>
  <si>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</si>
  <si>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</si>
  <si>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</si>
  <si>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</si>
  <si>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</si>
  <si>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</si>
  <si>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</si>
  <si>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</si>
  <si>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</si>
  <si>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</si>
  <si>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</si>
  <si>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</si>
  <si>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</si>
  <si>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</si>
  <si>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</si>
  <si>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</si>
  <si>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</si>
  <si>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</si>
  <si>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</si>
  <si>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</si>
  <si>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</si>
  <si>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</si>
  <si>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</si>
  <si>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</si>
  <si>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</si>
  <si>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</si>
  <si>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</si>
  <si>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</si>
  <si>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</si>
  <si>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</si>
  <si>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</si>
  <si>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</si>
  <si>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</si>
  <si>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</si>
  <si>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</si>
  <si>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</si>
  <si>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</si>
  <si>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</si>
  <si>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</si>
  <si>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</si>
  <si>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</si>
  <si>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</si>
  <si>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</si>
  <si>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</si>
  <si>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</si>
  <si>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</si>
  <si>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</si>
  <si>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</si>
  <si>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</si>
  <si>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</si>
  <si>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</si>
  <si>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</si>
  <si>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</si>
  <si>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</si>
  <si>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</si>
  <si>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</si>
  <si>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</si>
  <si>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</si>
  <si>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</si>
  <si>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</si>
  <si>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</si>
  <si>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</si>
  <si>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</si>
  <si>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</si>
  <si>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</si>
  <si>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</si>
  <si>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</si>
  <si>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</si>
  <si>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</si>
  <si>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</si>
  <si>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</si>
  <si>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</si>
  <si>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</si>
  <si>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</si>
  <si>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</si>
  <si>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</si>
  <si>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</si>
  <si>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</si>
  <si>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</si>
  <si>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</si>
  <si>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</si>
  <si>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</si>
  <si>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</si>
  <si>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</si>
  <si>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</si>
  <si>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</si>
  <si>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</si>
  <si>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</si>
  <si>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</si>
  <si>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</si>
  <si>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</si>
  <si>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</si>
  <si>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</si>
  <si>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</si>
  <si>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</si>
  <si>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</si>
  <si>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</si>
  <si>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</si>
  <si>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</si>
  <si>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</si>
  <si>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</si>
  <si>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</si>
  <si>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</si>
  <si>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</si>
  <si>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</si>
  <si>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</si>
  <si>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</si>
  <si>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</si>
  <si>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</si>
  <si>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</si>
  <si>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</si>
  <si>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</si>
  <si>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</si>
  <si>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</si>
  <si>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</si>
  <si>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</si>
  <si>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</si>
  <si>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</si>
  <si>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</si>
  <si>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</si>
  <si>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</si>
  <si>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</si>
  <si>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</si>
  <si>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</si>
  <si>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</si>
  <si>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</si>
  <si>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</si>
  <si>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</si>
  <si>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</si>
  <si>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</si>
  <si>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</si>
  <si>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</si>
  <si>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</si>
  <si>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</si>
  <si>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</si>
  <si>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</si>
  <si>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</si>
  <si>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</si>
  <si>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</si>
  <si>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</si>
  <si>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</si>
  <si>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</si>
  <si>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</si>
  <si>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</si>
  <si>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</si>
  <si>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</si>
  <si>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</si>
  <si>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</si>
  <si>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</si>
  <si>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</si>
  <si>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</si>
  <si>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</si>
  <si>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</si>
  <si>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</si>
  <si>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</si>
  <si>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</si>
  <si>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</si>
  <si>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</si>
  <si>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</si>
  <si>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</si>
  <si>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</si>
  <si>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</si>
  <si>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</si>
  <si>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</si>
  <si>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</si>
  <si>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</si>
  <si>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</si>
  <si>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</si>
  <si>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</si>
  <si>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</si>
  <si>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</si>
  <si>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</si>
  <si>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</si>
  <si>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</si>
  <si>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</si>
  <si>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</si>
  <si>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</si>
  <si>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</si>
  <si>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</si>
  <si>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</si>
  <si>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</si>
  <si>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</si>
  <si>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</si>
  <si>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</si>
  <si>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</si>
  <si>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</si>
  <si>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</si>
  <si>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</si>
  <si>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</si>
  <si>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</si>
  <si>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</si>
  <si>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</si>
  <si>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</si>
  <si>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</si>
  <si>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</si>
  <si>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</si>
  <si>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</si>
  <si>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</si>
  <si>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</si>
  <si>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</si>
  <si>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</si>
  <si>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</si>
  <si>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</si>
  <si>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</si>
  <si>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</si>
  <si>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</si>
  <si>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</si>
  <si>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</si>
  <si>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</si>
  <si>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</si>
  <si>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</si>
  <si>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</si>
  <si>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</si>
  <si>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</si>
  <si>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</si>
  <si>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</si>
  <si>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</si>
  <si>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</si>
  <si>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</si>
  <si>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</si>
  <si>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</si>
  <si>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</si>
  <si>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</si>
  <si>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</si>
  <si>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</si>
  <si>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</si>
  <si>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</si>
  <si>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</si>
  <si>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</si>
  <si>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</si>
  <si>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</si>
  <si>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</si>
  <si>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</si>
  <si>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</si>
  <si>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</si>
  <si>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</si>
  <si>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</si>
  <si>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</si>
  <si>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</si>
  <si>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</si>
  <si>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</si>
  <si>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</si>
  <si>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</si>
  <si>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</si>
  <si>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</si>
  <si>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</si>
  <si>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</si>
  <si>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</si>
  <si>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</si>
  <si>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</si>
  <si>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</si>
  <si>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</si>
  <si>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</si>
  <si>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</si>
  <si>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</si>
  <si>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</si>
  <si>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</si>
  <si>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</si>
  <si>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</si>
  <si>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</si>
  <si>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</si>
  <si>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</si>
  <si>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</si>
  <si>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</si>
  <si>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</si>
  <si>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</si>
  <si>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</si>
  <si>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</si>
  <si>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</si>
  <si>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</si>
  <si>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</si>
  <si>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</si>
  <si>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</si>
  <si>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</si>
  <si>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</si>
  <si>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</si>
  <si>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</si>
  <si>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</si>
  <si>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</si>
  <si>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</si>
  <si>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</si>
  <si>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</si>
  <si>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</si>
  <si>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</si>
  <si>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</si>
  <si>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</si>
  <si>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</si>
  <si>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</si>
  <si>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</si>
  <si>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</si>
  <si>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</si>
  <si>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</si>
  <si>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</si>
  <si>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</si>
  <si>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</si>
  <si>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</si>
  <si>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</si>
  <si>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</si>
  <si>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</si>
  <si>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</si>
  <si>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</si>
  <si>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</si>
  <si>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</si>
  <si>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</si>
  <si>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</si>
  <si>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</si>
  <si>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</si>
  <si>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</si>
  <si>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</si>
  <si>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</si>
  <si>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</si>
  <si>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</si>
  <si>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</si>
  <si>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</si>
  <si>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</si>
  <si>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</si>
  <si>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</si>
  <si>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</si>
  <si>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</si>
  <si>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</si>
  <si>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</si>
  <si>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</si>
  <si>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</si>
  <si>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</si>
  <si>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</si>
  <si>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</si>
  <si>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</si>
  <si>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</si>
  <si>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</si>
  <si>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</si>
  <si>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</si>
  <si>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</si>
  <si>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</si>
  <si>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</si>
  <si>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</si>
  <si>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</si>
  <si>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</si>
  <si>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</si>
  <si>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</si>
  <si>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</si>
  <si>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</si>
  <si>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</si>
  <si>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</si>
  <si>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</si>
  <si>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</si>
  <si>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</si>
  <si>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</si>
  <si>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</si>
  <si>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</si>
  <si>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</si>
  <si>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</si>
  <si>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</si>
  <si>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</si>
  <si>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</si>
  <si>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</si>
  <si>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</si>
  <si>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</si>
  <si>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</si>
  <si>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</si>
  <si>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</si>
  <si>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</si>
  <si>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</si>
  <si>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</si>
  <si>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</si>
  <si>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</si>
  <si>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</si>
  <si>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</si>
  <si>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</si>
  <si>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</si>
  <si>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</si>
  <si>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</si>
  <si>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</si>
  <si>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</si>
  <si>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</si>
  <si>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</si>
  <si>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</si>
  <si>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</si>
  <si>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</si>
  <si>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</si>
  <si>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</si>
  <si>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</si>
  <si>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</si>
  <si>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</si>
  <si>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</si>
  <si>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</si>
  <si>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</si>
  <si>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</si>
  <si>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</si>
  <si>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</si>
  <si>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</si>
  <si>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</si>
  <si>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</si>
  <si>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</si>
  <si>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</si>
  <si>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</si>
  <si>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</si>
  <si>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</si>
  <si>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</si>
  <si>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</si>
  <si>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</si>
  <si>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</si>
  <si>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</si>
  <si>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</si>
  <si>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</si>
  <si>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</si>
  <si>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</si>
  <si>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</si>
  <si>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</si>
  <si>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</si>
  <si>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</si>
  <si>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</si>
  <si>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</si>
  <si>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</si>
  <si>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</si>
  <si>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</si>
  <si>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</si>
  <si>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</si>
  <si>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</si>
  <si>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</si>
  <si>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</si>
  <si>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</si>
  <si>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</si>
  <si>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</si>
  <si>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</si>
  <si>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</si>
  <si>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</si>
  <si>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</si>
  <si>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</si>
  <si>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</si>
  <si>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</si>
  <si>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</si>
  <si>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</si>
  <si>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</si>
  <si>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</si>
  <si>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</si>
  <si>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</si>
  <si>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</si>
  <si>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</si>
  <si>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</si>
  <si>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</si>
  <si>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</si>
  <si>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</si>
  <si>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</si>
  <si>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</si>
  <si>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</si>
  <si>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</si>
  <si>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</si>
  <si>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</si>
  <si>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</si>
  <si>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</si>
  <si>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</si>
  <si>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</si>
  <si>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</si>
  <si>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</si>
  <si>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</si>
  <si>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</si>
  <si>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</si>
  <si>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</si>
  <si>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</si>
  <si>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</si>
  <si>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</si>
  <si>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</si>
  <si>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</si>
  <si>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</si>
  <si>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</si>
  <si>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</si>
  <si>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</si>
  <si>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</si>
  <si>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</si>
  <si>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</si>
  <si>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</si>
  <si>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</si>
  <si>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</si>
  <si>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</si>
  <si>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</si>
  <si>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</si>
  <si>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</si>
  <si>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</si>
  <si>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</si>
  <si>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</si>
  <si>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</si>
  <si>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</si>
  <si>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</si>
  <si>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</si>
  <si>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</si>
  <si>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</si>
  <si>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</si>
  <si>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</si>
  <si>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</si>
  <si>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</si>
  <si>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</si>
  <si>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</si>
  <si>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</si>
  <si>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</si>
  <si>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</si>
  <si>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</si>
  <si>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</si>
  <si>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</si>
  <si>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</si>
  <si>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</si>
  <si>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</si>
  <si>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</si>
  <si>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</si>
  <si>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</si>
  <si>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</si>
  <si>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</si>
  <si>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</si>
  <si>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</si>
  <si>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</si>
  <si>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</si>
  <si>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</si>
  <si>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</si>
  <si>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</si>
  <si>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</si>
  <si>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</si>
  <si>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</si>
  <si>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</si>
  <si>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</si>
  <si>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</si>
  <si>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</si>
  <si>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</si>
  <si>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</si>
  <si>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</si>
  <si>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</si>
  <si>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</si>
  <si>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</si>
  <si>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</si>
  <si>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</si>
  <si>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</si>
  <si>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</si>
  <si>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</si>
  <si>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</si>
  <si>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</si>
  <si>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</si>
  <si>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</si>
  <si>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</si>
  <si>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</si>
  <si>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</si>
  <si>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</si>
  <si>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</si>
  <si>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</si>
  <si>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</si>
  <si>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</si>
  <si>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</si>
  <si>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</si>
  <si>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</si>
  <si>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</si>
  <si>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</si>
  <si>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</si>
  <si>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</si>
  <si>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</si>
  <si>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</si>
  <si>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</si>
  <si>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</si>
  <si>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</si>
  <si>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</si>
  <si>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</si>
  <si>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</si>
  <si>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</si>
  <si>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</si>
  <si>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</si>
  <si>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</si>
  <si>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</si>
  <si>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</si>
  <si>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</si>
  <si>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</si>
  <si>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</si>
  <si>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</si>
  <si>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</si>
  <si>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</si>
  <si>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</si>
  <si>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</si>
  <si>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</si>
  <si>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</si>
  <si>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</si>
  <si>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</si>
  <si>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</si>
  <si>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</si>
  <si>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</si>
  <si>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</si>
  <si>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</si>
  <si>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</si>
  <si>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</si>
  <si>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</si>
  <si>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</si>
  <si>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</si>
  <si>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</si>
  <si>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</si>
  <si>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</si>
  <si>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</si>
  <si>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</si>
  <si>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</si>
  <si>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</si>
  <si>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</si>
  <si>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</si>
  <si>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</si>
  <si>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</si>
  <si>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</si>
  <si>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</si>
  <si>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</si>
  <si>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</si>
  <si>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</si>
  <si>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</si>
  <si>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</si>
  <si>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</si>
  <si>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</si>
  <si>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</si>
  <si>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</si>
  <si>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</si>
  <si>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</si>
  <si>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</si>
  <si>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</si>
  <si>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</si>
  <si>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</si>
  <si>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</si>
  <si>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</si>
  <si>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</si>
  <si>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</si>
  <si>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</si>
  <si>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</si>
  <si>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</si>
  <si>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</si>
  <si>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</si>
  <si>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</si>
  <si>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</si>
  <si>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</si>
  <si>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</si>
  <si>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</si>
  <si>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</si>
  <si>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</si>
  <si>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</si>
  <si>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</si>
  <si>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</si>
  <si>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</si>
  <si>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</si>
  <si>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</si>
  <si>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</si>
  <si>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</si>
  <si>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</si>
  <si>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</si>
  <si>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</si>
  <si>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</si>
  <si>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</si>
  <si>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</si>
  <si>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</si>
  <si>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</si>
  <si>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</si>
  <si>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</si>
  <si>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</si>
  <si>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</si>
  <si>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</si>
  <si>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</si>
  <si>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</si>
  <si>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</si>
  <si>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</si>
  <si>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</si>
  <si>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</si>
  <si>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</si>
  <si>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</si>
  <si>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</si>
  <si>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</si>
  <si>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</si>
  <si>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</si>
  <si>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</si>
  <si>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</si>
  <si>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</si>
  <si>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</si>
  <si>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</si>
  <si>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</si>
  <si>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</si>
  <si>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</si>
  <si>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</si>
  <si>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</si>
  <si>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</si>
  <si>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</si>
  <si>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</si>
  <si>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</si>
  <si>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</si>
  <si>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</si>
  <si>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</si>
  <si>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</si>
  <si>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</si>
  <si>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</si>
  <si>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</si>
  <si>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</si>
  <si>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</si>
  <si>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</si>
  <si>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</si>
  <si>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</si>
  <si>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</si>
  <si>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</si>
  <si>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</si>
  <si>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</si>
  <si>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</si>
  <si>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</si>
  <si>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</si>
  <si>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</si>
  <si>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</si>
  <si>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</si>
  <si>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</si>
  <si>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</si>
  <si>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</si>
  <si>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</si>
  <si>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</si>
  <si>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</si>
  <si>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</si>
  <si>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</si>
  <si>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</si>
  <si>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</si>
  <si>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</si>
  <si>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</si>
  <si>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</si>
  <si>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</si>
  <si>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</si>
  <si>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</si>
  <si>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</si>
  <si>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</si>
  <si>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</si>
  <si>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</si>
  <si>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</si>
  <si>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</si>
  <si>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</si>
  <si>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</si>
  <si>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</si>
  <si>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</si>
  <si>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</si>
  <si>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</si>
  <si>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</si>
  <si>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</si>
  <si>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</si>
  <si>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</si>
  <si>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</si>
  <si>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</si>
  <si>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</si>
  <si>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</si>
  <si>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</si>
  <si>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</si>
  <si>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</si>
  <si>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</si>
  <si>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</si>
  <si>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</si>
  <si>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</si>
  <si>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</si>
  <si>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</si>
  <si>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</si>
  <si>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</si>
  <si>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</si>
  <si>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</si>
  <si>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</si>
  <si>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</si>
  <si>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</si>
  <si>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</si>
  <si>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</si>
  <si>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</si>
  <si>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</si>
  <si>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</si>
  <si>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</si>
  <si>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</si>
  <si>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</si>
  <si>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</si>
  <si>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</si>
  <si>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</si>
  <si>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</si>
  <si>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</si>
  <si>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</si>
  <si>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</si>
  <si>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</si>
  <si>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</si>
  <si>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</si>
  <si>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</si>
  <si>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</si>
  <si>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</si>
  <si>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</si>
  <si>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</si>
  <si>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</si>
  <si>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</si>
  <si>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</si>
  <si>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</si>
  <si>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</si>
  <si>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</si>
  <si>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</si>
  <si>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</si>
  <si>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</si>
  <si>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</si>
  <si>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</si>
  <si>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</si>
  <si>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</si>
  <si>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</si>
  <si>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</si>
  <si>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</si>
  <si>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</si>
  <si>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</si>
  <si>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</si>
  <si>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</si>
  <si>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</si>
  <si>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</si>
  <si>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</si>
  <si>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</si>
  <si>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</si>
  <si>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</si>
  <si>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</si>
  <si>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</si>
  <si>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</si>
  <si>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</si>
  <si>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</si>
  <si>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</si>
  <si>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</si>
  <si>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</si>
  <si>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</si>
  <si>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</si>
  <si>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</si>
  <si>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</si>
  <si>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</si>
  <si>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</si>
  <si>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</si>
  <si>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</si>
  <si>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</si>
  <si>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</si>
  <si>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</si>
  <si>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</si>
  <si>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</si>
  <si>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</si>
  <si>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</si>
  <si>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</si>
  <si>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</si>
  <si>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</si>
  <si>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</si>
  <si>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</si>
  <si>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</si>
  <si>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</si>
  <si>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</si>
  <si>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</si>
  <si>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</si>
  <si>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</si>
  <si>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</si>
  <si>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</si>
  <si>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</si>
  <si>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</si>
  <si>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</si>
  <si>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</si>
  <si>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</si>
  <si>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</si>
  <si>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</si>
  <si>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</si>
  <si>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</si>
  <si>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</si>
  <si>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</si>
  <si>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</si>
  <si>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</si>
  <si>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</si>
  <si>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</si>
  <si>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</si>
  <si>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</si>
  <si>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</si>
  <si>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</si>
  <si>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</si>
  <si>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</si>
  <si>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</si>
  <si>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</si>
  <si>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</si>
  <si>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</si>
  <si>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</si>
  <si>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</si>
  <si>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</si>
  <si>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</si>
  <si>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</si>
  <si>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</si>
  <si>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</si>
  <si>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</si>
  <si>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</si>
  <si>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</si>
  <si>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</si>
  <si>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</si>
  <si>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</si>
  <si>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</si>
  <si>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</si>
  <si>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</si>
  <si>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</si>
  <si>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</si>
  <si>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</si>
  <si>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</si>
  <si>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</si>
  <si>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</si>
  <si>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</si>
  <si>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</si>
  <si>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</si>
  <si>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</si>
  <si>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</si>
  <si>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</si>
  <si>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</si>
  <si>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</si>
  <si>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</si>
  <si>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</si>
  <si>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</si>
  <si>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</si>
  <si>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</si>
  <si>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</si>
  <si>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</si>
  <si>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</si>
  <si>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</si>
  <si>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</si>
  <si>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</si>
  <si>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</si>
  <si>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</si>
  <si>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</si>
  <si>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</si>
  <si>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</si>
  <si>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</si>
  <si>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</si>
  <si>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</si>
  <si>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</si>
  <si>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</si>
  <si>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</si>
  <si>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</si>
  <si>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</si>
  <si>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</si>
  <si>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</si>
  <si>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</si>
  <si>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</si>
  <si>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</si>
  <si>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</si>
  <si>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</si>
  <si>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</si>
  <si>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</si>
  <si>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</si>
  <si>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</si>
  <si>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</si>
  <si>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</si>
  <si>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</si>
  <si>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</si>
  <si>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</si>
  <si>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</si>
  <si>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</si>
  <si>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</si>
  <si>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</si>
  <si>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</si>
  <si>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</si>
  <si>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</si>
  <si>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</si>
  <si>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</si>
  <si>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</si>
  <si>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</si>
  <si>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</si>
  <si>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</si>
  <si>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</si>
  <si>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</si>
  <si>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</si>
  <si>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</si>
  <si>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</si>
  <si>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</si>
  <si>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</si>
  <si>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</si>
  <si>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</si>
  <si>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</si>
  <si>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</si>
  <si>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</si>
  <si>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</si>
  <si>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</si>
  <si>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</si>
  <si>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</si>
  <si>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</si>
  <si>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</si>
  <si>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</si>
  <si>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</si>
  <si>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</si>
  <si>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</si>
  <si>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</si>
  <si>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</si>
  <si>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</si>
  <si>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</si>
  <si>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</si>
  <si>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</si>
  <si>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</si>
  <si>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</si>
  <si>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</si>
  <si>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</si>
  <si>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</si>
  <si>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</si>
  <si>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</si>
  <si>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</si>
  <si>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</si>
  <si>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</si>
  <si>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</si>
  <si>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</si>
  <si>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</si>
  <si>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</si>
  <si>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</si>
  <si>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</si>
  <si>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</si>
  <si>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</si>
  <si>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</si>
  <si>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</si>
  <si>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</si>
  <si>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</si>
  <si>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</si>
  <si>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</si>
  <si>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</si>
  <si>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</si>
  <si>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</si>
  <si>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</si>
  <si>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</si>
  <si>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</si>
  <si>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</si>
  <si>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</si>
  <si>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</si>
  <si>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</si>
  <si>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</si>
  <si>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</si>
  <si>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</si>
  <si>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</si>
  <si>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</si>
  <si>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</si>
  <si>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</si>
  <si>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</si>
  <si>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</si>
  <si>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</si>
  <si>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</si>
  <si>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</si>
  <si>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</si>
  <si>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</si>
  <si>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</si>
  <si>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</si>
  <si>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</si>
  <si>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</si>
  <si>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</si>
  <si>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</si>
  <si>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</si>
  <si>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</si>
  <si>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</si>
  <si>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</si>
  <si>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</si>
  <si>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</si>
  <si>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</si>
  <si>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</si>
  <si>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</si>
  <si>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</si>
  <si>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</si>
  <si>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</si>
  <si>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</si>
  <si>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</si>
  <si>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</si>
  <si>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</si>
  <si>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</si>
  <si>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</si>
  <si>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</si>
  <si>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</si>
  <si>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</si>
  <si>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</si>
  <si>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</si>
  <si>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</si>
  <si>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</si>
  <si>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</si>
  <si>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</si>
  <si>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</si>
  <si>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</si>
  <si>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</si>
  <si>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</si>
  <si>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</si>
  <si>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</si>
  <si>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</si>
  <si>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</si>
  <si>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</si>
  <si>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</si>
  <si>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</si>
  <si>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</si>
  <si>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</si>
  <si>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</si>
  <si>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</si>
  <si>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</si>
  <si>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</si>
  <si>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</si>
  <si>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</si>
  <si>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</si>
  <si>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</si>
  <si>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</si>
  <si>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</si>
  <si>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</si>
  <si>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</si>
  <si>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</si>
  <si>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</si>
  <si>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</si>
  <si>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</si>
  <si>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</si>
  <si>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</si>
  <si>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</si>
  <si>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</si>
  <si>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</si>
  <si>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</si>
  <si>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</si>
  <si>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</si>
  <si>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</si>
  <si>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</si>
  <si>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</si>
  <si>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</si>
  <si>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</si>
  <si>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</si>
  <si>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</si>
  <si>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</si>
  <si>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</si>
  <si>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</si>
  <si>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</si>
  <si>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</si>
  <si>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</si>
  <si>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</si>
  <si>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</si>
  <si>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</si>
  <si>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</si>
  <si>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</si>
  <si>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</si>
  <si>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</si>
  <si>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</si>
  <si>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</si>
  <si>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</si>
  <si>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</si>
  <si>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</si>
  <si>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</si>
  <si>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</si>
  <si>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</si>
  <si>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</si>
  <si>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</si>
  <si>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</si>
  <si>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</si>
  <si>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</si>
  <si>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</si>
  <si>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</si>
  <si>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</si>
  <si>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</si>
  <si>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</si>
  <si>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</si>
  <si>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</si>
  <si>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</si>
  <si>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</si>
  <si>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</si>
  <si>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</si>
  <si>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</si>
  <si>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</si>
  <si>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</si>
  <si>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</si>
  <si>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</si>
  <si>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</si>
  <si>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</si>
  <si>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</si>
  <si>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</si>
  <si>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</si>
  <si>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</si>
  <si>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</si>
  <si>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</si>
  <si>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</si>
  <si>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</si>
  <si>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</si>
  <si>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</si>
  <si>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</si>
  <si>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</si>
  <si>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</si>
  <si>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</si>
  <si>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</si>
  <si>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</si>
  <si>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</si>
  <si>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</si>
  <si>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</si>
  <si>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</si>
  <si>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</si>
  <si>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</si>
  <si>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</si>
  <si>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</si>
  <si>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</si>
  <si>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</si>
  <si>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</si>
  <si>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</si>
  <si>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</si>
  <si>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</si>
  <si>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</si>
  <si>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</si>
  <si>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</si>
  <si>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</si>
  <si>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</si>
  <si>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</si>
  <si>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</si>
  <si>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</si>
  <si>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</si>
  <si>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</si>
  <si>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</si>
  <si>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</si>
  <si>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</si>
  <si>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</si>
  <si>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</si>
  <si>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</si>
  <si>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</si>
  <si>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</si>
  <si>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</si>
  <si>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</si>
  <si>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</si>
  <si>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</si>
  <si>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</si>
  <si>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</si>
  <si>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</si>
  <si>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</si>
  <si>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</si>
  <si>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</si>
  <si>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</si>
  <si>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</si>
  <si>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</si>
  <si>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</si>
  <si>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</si>
  <si>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</si>
  <si>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</si>
  <si>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</si>
  <si>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</si>
  <si>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</si>
  <si>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</si>
  <si>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</si>
  <si>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</si>
  <si>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</si>
  <si>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</si>
  <si>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</si>
  <si>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</si>
  <si>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</si>
  <si>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</si>
  <si>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</si>
  <si>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</si>
  <si>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</si>
  <si>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</si>
  <si>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</si>
  <si>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</si>
  <si>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</si>
  <si>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</si>
  <si>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</si>
  <si>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</si>
  <si>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</si>
  <si>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</si>
  <si>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</si>
  <si>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</si>
  <si>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</si>
  <si>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</si>
  <si>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</si>
  <si>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</si>
  <si>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</si>
  <si>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</si>
  <si>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</si>
  <si>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</si>
  <si>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</si>
  <si>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</si>
  <si>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</si>
  <si>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</si>
  <si>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</si>
  <si>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</si>
  <si>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</si>
  <si>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</si>
  <si>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</si>
  <si>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</si>
  <si>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</si>
  <si>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</si>
  <si>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</si>
  <si>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</si>
  <si>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</si>
  <si>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</si>
  <si>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</si>
  <si>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</si>
  <si>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</si>
  <si>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</si>
  <si>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</si>
  <si>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</si>
  <si>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</si>
  <si>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</si>
  <si>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</si>
  <si>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</si>
  <si>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</si>
  <si>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</si>
  <si>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</si>
  <si>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</si>
  <si>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</si>
  <si>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</si>
  <si>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</si>
  <si>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</si>
  <si>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</si>
  <si>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</si>
  <si>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</si>
  <si>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</si>
  <si>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</si>
  <si>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</si>
  <si>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</si>
  <si>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</si>
  <si>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</si>
  <si>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</si>
  <si>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</si>
  <si>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</si>
  <si>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</si>
  <si>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</si>
  <si>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</si>
  <si>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</si>
  <si>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</si>
  <si>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</si>
  <si>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</si>
  <si>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</si>
  <si>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</si>
  <si>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</si>
  <si>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</si>
  <si>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</si>
  <si>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</si>
  <si>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</si>
  <si>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</si>
  <si>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</si>
  <si>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</si>
  <si>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</si>
  <si>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</si>
  <si>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</si>
  <si>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</si>
  <si>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</si>
  <si>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</si>
  <si>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</si>
  <si>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</si>
  <si>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</si>
  <si>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</si>
  <si>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</si>
  <si>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</si>
  <si>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</si>
  <si>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</si>
  <si>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</si>
  <si>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</si>
  <si>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</si>
  <si>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</si>
  <si>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</si>
  <si>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</si>
  <si>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</si>
  <si>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</si>
  <si>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</si>
  <si>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</si>
  <si>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</si>
  <si>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</si>
  <si>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</si>
  <si>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</si>
  <si>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</si>
  <si>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</si>
  <si>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</si>
  <si>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</si>
  <si>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</si>
  <si>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</si>
  <si>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</si>
  <si>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</si>
  <si>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</si>
  <si>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</si>
  <si>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</si>
  <si>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</si>
  <si>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</si>
  <si>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</si>
  <si>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</si>
  <si>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</si>
  <si>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</si>
  <si>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</si>
  <si>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</si>
  <si>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</si>
  <si>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</si>
  <si>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</si>
  <si>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</si>
  <si>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</si>
  <si>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</si>
  <si>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</si>
  <si>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</si>
  <si>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</si>
  <si>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</si>
  <si>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</si>
  <si>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</si>
  <si>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</si>
  <si>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</si>
  <si>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</si>
  <si>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</si>
  <si>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</si>
  <si>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</si>
  <si>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</si>
  <si>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</si>
  <si>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</si>
  <si>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</si>
  <si>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</si>
  <si>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</si>
  <si>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</si>
  <si>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</si>
  <si>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</si>
  <si>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</si>
  <si>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</si>
  <si>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</si>
  <si>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</si>
  <si>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</si>
  <si>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</si>
  <si>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</si>
  <si>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</si>
  <si>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</si>
  <si>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</si>
  <si>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</si>
  <si>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</si>
  <si>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</si>
  <si>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</si>
  <si>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</si>
  <si>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</si>
  <si>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</si>
  <si>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</si>
  <si>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</si>
  <si>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</si>
  <si>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</si>
  <si>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</si>
  <si>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</si>
  <si>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</si>
  <si>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</si>
  <si>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</si>
  <si>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</si>
  <si>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</si>
  <si>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</si>
  <si>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</si>
  <si>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</si>
  <si>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</si>
  <si>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</si>
  <si>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</si>
  <si>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</si>
  <si>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</si>
  <si>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</si>
  <si>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</si>
  <si>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</si>
  <si>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</si>
  <si>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</si>
  <si>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</si>
  <si>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</si>
  <si>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</si>
  <si>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</si>
  <si>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</si>
  <si>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</si>
  <si>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</si>
  <si>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</si>
  <si>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</si>
  <si>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</si>
  <si>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</si>
  <si>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</si>
  <si>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</si>
  <si>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</si>
  <si>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</si>
  <si>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</si>
  <si>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</si>
  <si>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</si>
  <si>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</si>
  <si>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</si>
  <si>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</si>
  <si>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</si>
  <si>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</si>
  <si>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</si>
  <si>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</si>
  <si>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</si>
  <si>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</si>
  <si>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</si>
  <si>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</si>
  <si>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</si>
  <si>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</si>
  <si>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</si>
  <si>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</si>
  <si>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</si>
  <si>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</si>
  <si>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</si>
  <si>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</si>
  <si>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</si>
  <si>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</si>
  <si>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</si>
  <si>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</si>
  <si>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</si>
  <si>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</si>
  <si>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</si>
  <si>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</si>
  <si>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</si>
  <si>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</si>
  <si>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</si>
  <si>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</si>
  <si>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</si>
  <si>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</si>
  <si>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</si>
  <si>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</si>
  <si>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</si>
  <si>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</si>
  <si>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</si>
  <si>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</si>
  <si>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</si>
  <si>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</si>
  <si>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</si>
  <si>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</si>
  <si>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</si>
  <si>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</si>
  <si>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</si>
  <si>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</si>
  <si>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</si>
  <si>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</si>
  <si>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</si>
  <si>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</si>
  <si>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</si>
  <si>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</si>
  <si>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</si>
  <si>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</si>
  <si>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</si>
  <si>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</si>
  <si>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</si>
  <si>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</si>
  <si>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</si>
  <si>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</si>
  <si>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</si>
  <si>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</si>
  <si>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</si>
  <si>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</si>
  <si>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</si>
  <si>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</si>
  <si>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</si>
  <si>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</si>
  <si>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</si>
  <si>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</si>
  <si>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</si>
  <si>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</si>
  <si>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</si>
  <si>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</si>
  <si>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</si>
  <si>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</si>
  <si>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</si>
  <si>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</si>
  <si>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</si>
  <si>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</si>
  <si>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</si>
  <si>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</si>
  <si>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</si>
  <si>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</si>
  <si>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</si>
  <si>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</si>
  <si>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</si>
  <si>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</si>
  <si>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</si>
  <si>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</si>
  <si>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</si>
  <si>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</si>
  <si>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</si>
  <si>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</si>
  <si>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</si>
  <si>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</si>
  <si>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</si>
  <si>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</si>
  <si>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</si>
  <si>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</si>
  <si>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</si>
  <si>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</si>
  <si>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</si>
  <si>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</si>
  <si>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</si>
  <si>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</si>
  <si>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</si>
  <si>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</si>
  <si>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</si>
  <si>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</si>
  <si>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</si>
  <si>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</si>
  <si>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</si>
  <si>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</si>
  <si>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</si>
  <si>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</si>
  <si>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</si>
  <si>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</si>
  <si>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</si>
  <si>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</si>
  <si>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</si>
  <si>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</si>
  <si>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</si>
  <si>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</si>
  <si>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</si>
  <si>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</si>
  <si>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</si>
  <si>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</si>
  <si>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</si>
  <si>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</si>
  <si>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</si>
  <si>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</si>
  <si>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</si>
  <si>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</si>
  <si>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</si>
  <si>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</si>
  <si>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</si>
  <si>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</si>
  <si>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</si>
  <si>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</si>
  <si>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</si>
  <si>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</si>
  <si>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</si>
  <si>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</si>
  <si>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</si>
  <si>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</si>
  <si>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</si>
  <si>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</si>
  <si>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</si>
  <si>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</si>
  <si>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</si>
  <si>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</si>
  <si>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</si>
  <si>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</si>
  <si>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</si>
  <si>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</si>
  <si>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</si>
  <si>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</si>
  <si>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</si>
  <si>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</si>
  <si>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</si>
  <si>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</si>
  <si>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</si>
  <si>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</si>
  <si>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</si>
  <si>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</si>
  <si>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</si>
  <si>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</si>
  <si>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</si>
  <si>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</si>
  <si>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</si>
  <si>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</si>
  <si>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</si>
  <si>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</si>
  <si>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</si>
  <si>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</si>
  <si>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</si>
  <si>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</si>
  <si>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</si>
  <si>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</si>
  <si>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</si>
  <si>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</si>
  <si>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</si>
  <si>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</si>
  <si>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</si>
  <si>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</si>
  <si>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</si>
  <si>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</si>
  <si>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</si>
  <si>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</si>
  <si>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</si>
  <si>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</si>
  <si>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</si>
  <si>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</si>
  <si>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</si>
  <si>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</si>
  <si>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</si>
  <si>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</si>
  <si>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</si>
  <si>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</si>
  <si>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</si>
  <si>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</si>
  <si>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</si>
  <si>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</si>
  <si>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</si>
  <si>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</si>
  <si>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</si>
  <si>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</si>
  <si>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</si>
  <si>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</si>
  <si>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</si>
  <si>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</si>
  <si>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</si>
  <si>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</si>
  <si>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</si>
  <si>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</si>
  <si>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</si>
  <si>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</si>
  <si>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</si>
  <si>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</si>
  <si>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</si>
  <si>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</si>
  <si>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</si>
  <si>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</si>
  <si>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</si>
  <si>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</si>
  <si>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</si>
  <si>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</si>
  <si>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</si>
  <si>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</si>
  <si>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</si>
  <si>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</si>
  <si>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</si>
  <si>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</si>
  <si>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</si>
  <si>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</si>
  <si>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</si>
  <si>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</si>
  <si>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</si>
  <si>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</si>
  <si>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</si>
  <si>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</si>
  <si>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</si>
  <si>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</si>
  <si>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</si>
  <si>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</si>
  <si>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</si>
  <si>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</si>
  <si>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</si>
  <si>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</si>
  <si>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</si>
  <si>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</si>
  <si>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</si>
  <si>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</si>
  <si>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</si>
  <si>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</si>
  <si>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</si>
  <si>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</si>
  <si>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</si>
  <si>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</si>
  <si>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</si>
  <si>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</si>
  <si>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</si>
  <si>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</si>
  <si>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</si>
  <si>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</si>
  <si>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</si>
  <si>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</si>
  <si>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</si>
  <si>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</si>
  <si>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</si>
  <si>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</si>
  <si>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</si>
  <si>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</si>
  <si>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</si>
  <si>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</si>
  <si>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</si>
  <si>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</si>
  <si>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</si>
  <si>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</si>
  <si>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</si>
  <si>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</si>
  <si>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</si>
  <si>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</si>
  <si>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</si>
  <si>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</si>
  <si>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</si>
  <si>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</si>
  <si>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</si>
  <si>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</si>
  <si>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</si>
  <si>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</si>
  <si>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</si>
  <si>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</si>
  <si>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</si>
  <si>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</si>
  <si>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</si>
  <si>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</si>
  <si>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</si>
  <si>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</si>
  <si>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</si>
  <si>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</si>
  <si>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</si>
  <si>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</si>
  <si>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</si>
  <si>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</si>
  <si>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</si>
  <si>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</si>
  <si>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</si>
  <si>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</si>
  <si>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</si>
  <si>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</si>
  <si>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</si>
  <si>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</si>
  <si>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</si>
  <si>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</si>
  <si>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</si>
  <si>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</si>
  <si>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</si>
  <si>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</si>
  <si>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</si>
  <si>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</si>
  <si>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</si>
  <si>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</si>
  <si>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</si>
  <si>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</si>
  <si>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</si>
  <si>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</si>
  <si>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</si>
  <si>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</si>
  <si>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</si>
  <si>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</si>
  <si>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</si>
  <si>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</si>
  <si>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</si>
  <si>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</si>
  <si>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</si>
  <si>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</si>
  <si>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</si>
  <si>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</si>
  <si>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</si>
  <si>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</si>
  <si>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</si>
  <si>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</si>
  <si>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</si>
  <si>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</si>
  <si>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</si>
  <si>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</si>
  <si>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</si>
  <si>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</si>
  <si>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</si>
  <si>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</si>
  <si>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</si>
  <si>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</si>
  <si>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</si>
  <si>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</si>
  <si>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</si>
  <si>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</si>
  <si>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</si>
  <si>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</si>
  <si>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</si>
  <si>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</si>
  <si>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</si>
  <si>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</si>
  <si>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</si>
  <si>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</si>
  <si>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</si>
  <si>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</si>
  <si>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</si>
  <si>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</si>
  <si>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</si>
  <si>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</si>
  <si>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</si>
  <si>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</si>
  <si>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</si>
  <si>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</si>
  <si>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</si>
  <si>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</si>
  <si>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</si>
  <si>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</si>
  <si>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</si>
  <si>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</si>
  <si>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</si>
  <si>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</si>
  <si>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</si>
  <si>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</si>
  <si>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</si>
  <si>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</si>
  <si>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</si>
  <si>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</si>
  <si>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</si>
  <si>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</si>
  <si>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</si>
  <si>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</si>
  <si>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</si>
  <si>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</si>
  <si>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</si>
  <si>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</si>
  <si>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</si>
  <si>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</si>
  <si>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</si>
  <si>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</si>
  <si>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</si>
  <si>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</si>
  <si>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</si>
  <si>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</si>
  <si>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</si>
  <si>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</si>
  <si>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</si>
  <si>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</si>
  <si>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</si>
  <si>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</si>
  <si>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</si>
  <si>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</si>
  <si>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</si>
  <si>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</si>
  <si>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</si>
  <si>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</si>
  <si>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</si>
  <si>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</si>
  <si>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</si>
  <si>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</si>
  <si>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</si>
  <si>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</si>
  <si>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</si>
  <si>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</si>
  <si>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</si>
  <si>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</si>
  <si>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</si>
  <si>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</si>
  <si>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</si>
  <si>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</si>
  <si>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</si>
  <si>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</si>
  <si>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</si>
  <si>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</si>
  <si>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</si>
  <si>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</si>
  <si>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</si>
  <si>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</si>
  <si>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</si>
  <si>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</si>
  <si>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</si>
  <si>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</si>
  <si>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</si>
  <si>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</si>
  <si>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</si>
  <si>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</si>
  <si>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</si>
  <si>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</si>
  <si>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</si>
  <si>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</si>
  <si>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</si>
  <si>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</si>
  <si>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</si>
  <si>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</si>
  <si>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</si>
  <si>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</si>
  <si>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</si>
  <si>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</si>
  <si>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</si>
  <si>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</si>
  <si>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</si>
  <si>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</si>
  <si>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</si>
  <si>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</si>
  <si>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</si>
  <si>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</si>
  <si>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</si>
  <si>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</si>
  <si>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</si>
  <si>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</si>
  <si>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</si>
  <si>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</si>
  <si>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</si>
  <si>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</si>
  <si>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</si>
  <si>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</si>
  <si>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</si>
  <si>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</si>
  <si>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</si>
  <si>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</si>
  <si>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</si>
  <si>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</si>
  <si>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</si>
  <si>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</si>
  <si>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</si>
  <si>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</si>
  <si>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</si>
  <si>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</si>
  <si>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</si>
  <si>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</si>
  <si>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</si>
  <si>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</si>
  <si>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</si>
  <si>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</si>
  <si>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</si>
  <si>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</si>
  <si>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</si>
  <si>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</si>
  <si>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</si>
  <si>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</si>
  <si>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</si>
  <si>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</si>
  <si>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</si>
  <si>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</si>
  <si>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</si>
  <si>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</si>
  <si>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</si>
  <si>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</si>
  <si>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</si>
  <si>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</si>
  <si>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</si>
  <si>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</si>
  <si>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</si>
  <si>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</si>
  <si>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</si>
  <si>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</si>
  <si>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</si>
  <si>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</si>
  <si>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</si>
  <si>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</si>
  <si>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</si>
  <si>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</si>
  <si>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</si>
  <si>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</si>
  <si>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</si>
  <si>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</si>
  <si>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</si>
  <si>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</si>
  <si>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</si>
  <si>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</si>
  <si>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</si>
  <si>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</si>
  <si>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</si>
  <si>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</si>
  <si>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</si>
  <si>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</si>
  <si>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</si>
  <si>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</si>
  <si>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</si>
  <si>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</si>
  <si>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</si>
  <si>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</si>
  <si>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</si>
  <si>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</si>
  <si>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</si>
  <si>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</si>
  <si>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</si>
  <si>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</si>
  <si>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</si>
  <si>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</si>
  <si>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</si>
  <si>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</si>
  <si>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</si>
  <si>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</si>
  <si>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</si>
  <si>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</si>
  <si>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</si>
  <si>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</si>
  <si>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</si>
  <si>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</si>
  <si>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</si>
  <si>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</si>
  <si>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</si>
  <si>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</si>
  <si>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</si>
  <si>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</si>
  <si>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</si>
  <si>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</si>
  <si>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</si>
  <si>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</si>
  <si>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</si>
  <si>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</si>
  <si>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</si>
  <si>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</si>
  <si>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</si>
  <si>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</si>
  <si>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</si>
  <si>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</si>
  <si>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</si>
  <si>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</si>
  <si>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</si>
  <si>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</si>
  <si>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</si>
  <si>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</si>
  <si>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</si>
  <si>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</si>
  <si>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</si>
  <si>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</si>
  <si>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</si>
  <si>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</si>
  <si>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</si>
  <si>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</si>
  <si>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</si>
  <si>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</si>
  <si>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</si>
  <si>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</si>
  <si>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</si>
  <si>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</si>
  <si>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</si>
  <si>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</si>
  <si>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</si>
  <si>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</si>
  <si>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</si>
  <si>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</si>
  <si>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</si>
  <si>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</si>
  <si>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</si>
  <si>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</si>
  <si>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</si>
  <si>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</si>
  <si>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</si>
  <si>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</si>
  <si>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</si>
  <si>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</si>
  <si>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</si>
  <si>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</si>
  <si>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</si>
  <si>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</si>
  <si>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</si>
  <si>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</si>
  <si>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</si>
  <si>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</si>
  <si>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</si>
  <si>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</si>
  <si>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</si>
  <si>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</si>
  <si>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</si>
  <si>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</si>
  <si>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</si>
  <si>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</si>
  <si>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</si>
  <si>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</si>
  <si>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</si>
  <si>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</si>
  <si>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</si>
  <si>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</si>
  <si>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</si>
  <si>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</si>
  <si>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</si>
  <si>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</si>
  <si>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</si>
  <si>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</si>
  <si>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</si>
  <si>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</si>
  <si>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</si>
  <si>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</si>
  <si>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</si>
  <si>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</si>
  <si>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</si>
  <si>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</si>
  <si>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</si>
  <si>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</si>
  <si>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</si>
  <si>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</si>
  <si>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</si>
  <si>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</si>
  <si>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</si>
  <si>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</si>
  <si>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</si>
  <si>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</si>
  <si>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</si>
  <si>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</si>
  <si>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</si>
  <si>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</si>
  <si>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</si>
  <si>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</si>
  <si>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</si>
  <si>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</si>
  <si>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</si>
  <si>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</si>
  <si>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</si>
  <si>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</si>
  <si>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</si>
  <si>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</si>
  <si>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</si>
  <si>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</si>
  <si>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</si>
  <si>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</si>
  <si>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</si>
  <si>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</si>
  <si>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</si>
  <si>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</si>
  <si>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</si>
  <si>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</si>
  <si>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</si>
  <si>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</si>
  <si>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</si>
  <si>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</si>
  <si>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</si>
  <si>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</si>
  <si>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</si>
  <si>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</si>
  <si>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</si>
  <si>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</si>
  <si>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</si>
  <si>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</si>
  <si>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</si>
  <si>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</si>
  <si>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</si>
  <si>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</si>
  <si>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</si>
  <si>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</si>
  <si>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</si>
  <si>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</si>
  <si>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</si>
  <si>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</si>
  <si>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</si>
  <si>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</si>
  <si>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</si>
  <si>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</si>
  <si>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</si>
  <si>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</si>
  <si>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</si>
  <si>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</si>
  <si>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</si>
  <si>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</si>
  <si>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</si>
  <si>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</si>
  <si>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</si>
  <si>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</si>
  <si>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</si>
  <si>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</si>
  <si>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</si>
  <si>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</si>
  <si>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</si>
  <si>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</si>
  <si>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</si>
  <si>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</si>
  <si>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</si>
  <si>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</si>
  <si>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</si>
  <si>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</si>
  <si>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</si>
  <si>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</si>
  <si>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</si>
  <si>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</si>
  <si>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</si>
  <si>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</si>
  <si>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</si>
  <si>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</si>
  <si>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</si>
  <si>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</si>
  <si>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</si>
  <si>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</si>
  <si>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</si>
  <si>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</si>
  <si>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</si>
  <si>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</si>
  <si>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</si>
  <si>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</si>
  <si>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</si>
  <si>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</si>
  <si>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</si>
  <si>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</si>
  <si>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</si>
  <si>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</si>
  <si>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</si>
  <si>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</si>
  <si>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</si>
  <si>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</si>
  <si>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</si>
  <si>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</si>
  <si>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</si>
  <si>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</si>
  <si>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</si>
  <si>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</si>
  <si>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</si>
  <si>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</si>
  <si>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</si>
  <si>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</si>
  <si>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</si>
  <si>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</si>
  <si>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</si>
  <si>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</si>
  <si>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</si>
  <si>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</si>
  <si>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</si>
  <si>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</si>
  <si>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</si>
  <si>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</si>
  <si>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</si>
  <si>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</si>
  <si>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</si>
  <si>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</si>
  <si>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</si>
  <si>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</si>
  <si>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</si>
  <si>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</si>
  <si>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</si>
  <si>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</si>
  <si>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</si>
  <si>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</si>
  <si>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</si>
  <si>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</si>
  <si>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</si>
  <si>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</si>
  <si>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</si>
  <si>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</si>
  <si>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</si>
  <si>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</si>
  <si>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</si>
  <si>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</si>
  <si>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</si>
  <si>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</si>
  <si>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</si>
  <si>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</si>
  <si>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</si>
  <si>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</si>
  <si>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</si>
  <si>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</si>
  <si>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</si>
  <si>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</si>
  <si>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</si>
  <si>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</si>
  <si>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</si>
  <si>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</si>
  <si>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</si>
  <si>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</si>
  <si>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</si>
  <si>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</si>
  <si>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</si>
  <si>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</si>
  <si>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</si>
  <si>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陈颖</t>
  </si>
  <si>
    <t>核定资产</t>
  </si>
  <si>
    <t>房地产市场价值</t>
  </si>
  <si>
    <t>北京市</t>
  </si>
  <si>
    <t>企业</t>
  </si>
  <si>
    <t>商业</t>
    <phoneticPr fontId="6" type="noConversion"/>
  </si>
  <si>
    <t>Ⅷ-密1</t>
  </si>
  <si>
    <t>是</t>
  </si>
  <si>
    <t>否</t>
  </si>
  <si>
    <t>地上</t>
  </si>
  <si>
    <t>商业</t>
    <phoneticPr fontId="7" type="noConversion"/>
  </si>
  <si>
    <t>收益法 (元)</t>
  </si>
  <si>
    <t>成新度</t>
  </si>
  <si>
    <t>押三</t>
  </si>
  <si>
    <t>钢混</t>
  </si>
  <si>
    <t>非生产用房</t>
  </si>
  <si>
    <t>比较法</t>
  </si>
  <si>
    <t>批发零售用地</t>
  </si>
  <si>
    <t>自定义容积率</t>
  </si>
  <si>
    <t>不临58条商业街</t>
  </si>
  <si>
    <t>无</t>
  </si>
  <si>
    <t>1000米以外</t>
  </si>
  <si>
    <t>与级别开发程度不一致</t>
  </si>
  <si>
    <t>通热</t>
  </si>
  <si>
    <t>按公示增长率计算</t>
  </si>
  <si>
    <t>一般</t>
  </si>
  <si>
    <t>较好</t>
  </si>
  <si>
    <t>未包含在土地购买价格中</t>
  </si>
  <si>
    <t>已包含在土地取得成本中</t>
  </si>
  <si>
    <t>现房</t>
  </si>
  <si>
    <t>项目局部</t>
  </si>
  <si>
    <t>成本法 (元)</t>
  </si>
  <si>
    <t>朝向</t>
    <phoneticPr fontId="3"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</si>
  <si>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</si>
  <si>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</si>
  <si>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</si>
  <si>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</si>
  <si>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</si>
  <si>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</si>
  <si>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</si>
  <si>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</si>
  <si>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东西</t>
    <phoneticPr fontId="3" type="noConversion"/>
  </si>
  <si>
    <t>西北</t>
    <phoneticPr fontId="3" type="noConversion"/>
  </si>
  <si>
    <t>通电</t>
  </si>
  <si>
    <t>通路</t>
  </si>
  <si>
    <t>通讯</t>
  </si>
  <si>
    <t>通上水</t>
  </si>
  <si>
    <t>通下水</t>
  </si>
  <si>
    <t>评估价</t>
    <phoneticPr fontId="143" type="noConversion"/>
  </si>
  <si>
    <t>成交价</t>
    <phoneticPr fontId="143" type="noConversion"/>
  </si>
  <si>
    <t>位置</t>
    <phoneticPr fontId="143" type="noConversion"/>
  </si>
  <si>
    <t>出让</t>
  </si>
  <si>
    <t>北</t>
  </si>
  <si>
    <t>北</t>
    <phoneticPr fontId="3" type="noConversion"/>
  </si>
  <si>
    <t>南</t>
  </si>
  <si>
    <t>杨红英</t>
  </si>
  <si>
    <t>楼层修正</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</si>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</sst>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5" borderId="2" xfId="0" applyFont="1" applyFill="1" applyBorder="1" applyAlignment="1" applyProtection="1">
      <alignment horizontal="center" vertical="center" wrapText="1"/>
      <protection locked="0"/>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99" fillId="0" borderId="0" xfId="0" applyFont="1">
      <alignment vertical="center"/>
    </xf>
    <xf numFmtId="179" fontId="148" fillId="6" borderId="24" xfId="0" applyNumberFormat="1" applyFont="1" applyFill="1" applyBorder="1" applyAlignment="1" applyProtection="1">
      <alignment horizontal="center" vertical="center"/>
    </xf>
    <xf numFmtId="0" fontId="56" fillId="8" borderId="9" xfId="0" applyFont="1" applyFill="1" applyBorder="1" applyAlignment="1" applyProtection="1">
      <alignment horizontal="center" vertical="center" wrapText="1"/>
      <protection locked="0"/>
    </xf>
    <xf numFmtId="0" fontId="55" fillId="8" borderId="32" xfId="0" applyFont="1" applyFill="1" applyBorder="1" applyAlignment="1" applyProtection="1">
      <alignment horizontal="right" vertical="center"/>
    </xf>
    <xf numFmtId="0" fontId="60" fillId="8" borderId="13" xfId="1" applyFont="1" applyFill="1" applyBorder="1" applyAlignment="1" applyProtection="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360791</xdr:colOff>
      <xdr:row>31</xdr:row>
      <xdr:rowOff>56479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276191" cy="5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390525</xdr:colOff>
      <xdr:row>26</xdr:row>
      <xdr:rowOff>66110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620125" cy="4523810"/>
        </a:xfrm>
        <a:prstGeom prst="rect">
          <a:avLst/>
        </a:prstGeom>
      </xdr:spPr>
    </xdr:pic>
    <xdr:clientData/>
  </xdr:twoCellAnchor>
  <xdr:twoCellAnchor editAs="oneCell">
    <xdr:from>
      <xdr:col>0</xdr:col>
      <xdr:colOff>1</xdr:colOff>
      <xdr:row>27</xdr:row>
      <xdr:rowOff>0</xdr:rowOff>
    </xdr:from>
    <xdr:to>
      <xdr:col>12</xdr:col>
      <xdr:colOff>381001</xdr:colOff>
      <xdr:row>48</xdr:row>
      <xdr:rowOff>170979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 y="4629150"/>
          <a:ext cx="8610600" cy="3771429"/>
        </a:xfrm>
        <a:prstGeom prst="rect">
          <a:avLst/>
        </a:prstGeom>
      </xdr:spPr>
    </xdr:pic>
    <xdr:clientData/>
  </xdr:twoCellAnchor>
  <xdr:twoCellAnchor editAs="oneCell">
    <xdr:from>
      <xdr:col>0</xdr:col>
      <xdr:colOff>0</xdr:colOff>
      <xdr:row>50</xdr:row>
      <xdr:rowOff>0</xdr:rowOff>
    </xdr:from>
    <xdr:to>
      <xdr:col>12</xdr:col>
      <xdr:colOff>523875</xdr:colOff>
      <xdr:row>75</xdr:row>
      <xdr:rowOff>28036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572500"/>
          <a:ext cx="8753475" cy="4314286"/>
        </a:xfrm>
        <a:prstGeom prst="rect">
          <a:avLst/>
        </a:prstGeom>
      </xdr:spPr>
    </xdr:pic>
    <xdr:clientData/>
  </xdr:twoCellAnchor>
  <xdr:twoCellAnchor editAs="oneCell">
    <xdr:from>
      <xdr:col>0</xdr:col>
      <xdr:colOff>0</xdr:colOff>
      <xdr:row>76</xdr:row>
      <xdr:rowOff>0</xdr:rowOff>
    </xdr:from>
    <xdr:to>
      <xdr:col>17</xdr:col>
      <xdr:colOff>408067</xdr:colOff>
      <xdr:row>103</xdr:row>
      <xdr:rowOff>142279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030200"/>
          <a:ext cx="12066667" cy="4771429"/>
        </a:xfrm>
        <a:prstGeom prst="rect">
          <a:avLst/>
        </a:prstGeom>
      </xdr:spPr>
    </xdr:pic>
    <xdr:clientData/>
  </xdr:twoCellAnchor>
  <xdr:twoCellAnchor editAs="oneCell">
    <xdr:from>
      <xdr:col>0</xdr:col>
      <xdr:colOff>0</xdr:colOff>
      <xdr:row>104</xdr:row>
      <xdr:rowOff>0</xdr:rowOff>
    </xdr:from>
    <xdr:to>
      <xdr:col>17</xdr:col>
      <xdr:colOff>179496</xdr:colOff>
      <xdr:row>131</xdr:row>
      <xdr:rowOff>151803</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7830800"/>
          <a:ext cx="11838096" cy="4780953"/>
        </a:xfrm>
        <a:prstGeom prst="rect">
          <a:avLst/>
        </a:prstGeom>
      </xdr:spPr>
    </xdr:pic>
    <xdr:clientData/>
  </xdr:twoCellAnchor>
  <xdr:twoCellAnchor editAs="oneCell">
    <xdr:from>
      <xdr:col>13</xdr:col>
      <xdr:colOff>0</xdr:colOff>
      <xdr:row>13</xdr:row>
      <xdr:rowOff>0</xdr:rowOff>
    </xdr:from>
    <xdr:to>
      <xdr:col>30</xdr:col>
      <xdr:colOff>522353</xdr:colOff>
      <xdr:row>36</xdr:row>
      <xdr:rowOff>94746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8915400" y="2228850"/>
          <a:ext cx="12180953" cy="4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189277</xdr:colOff>
      <xdr:row>24</xdr:row>
      <xdr:rowOff>151867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790477" cy="4266667"/>
        </a:xfrm>
        <a:prstGeom prst="rect">
          <a:avLst/>
        </a:prstGeom>
      </xdr:spPr>
    </xdr:pic>
    <xdr:clientData/>
  </xdr:twoCellAnchor>
  <xdr:twoCellAnchor editAs="oneCell">
    <xdr:from>
      <xdr:col>0</xdr:col>
      <xdr:colOff>0</xdr:colOff>
      <xdr:row>25</xdr:row>
      <xdr:rowOff>0</xdr:rowOff>
    </xdr:from>
    <xdr:to>
      <xdr:col>13</xdr:col>
      <xdr:colOff>389363</xdr:colOff>
      <xdr:row>52</xdr:row>
      <xdr:rowOff>8946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286250"/>
          <a:ext cx="9304763" cy="4638096"/>
        </a:xfrm>
        <a:prstGeom prst="rect">
          <a:avLst/>
        </a:prstGeom>
      </xdr:spPr>
    </xdr:pic>
    <xdr:clientData/>
  </xdr:twoCellAnchor>
  <xdr:twoCellAnchor editAs="oneCell">
    <xdr:from>
      <xdr:col>0</xdr:col>
      <xdr:colOff>0</xdr:colOff>
      <xdr:row>52</xdr:row>
      <xdr:rowOff>0</xdr:rowOff>
    </xdr:from>
    <xdr:to>
      <xdr:col>13</xdr:col>
      <xdr:colOff>236982</xdr:colOff>
      <xdr:row>80</xdr:row>
      <xdr:rowOff>8924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915400"/>
          <a:ext cx="9152382" cy="4809524"/>
        </a:xfrm>
        <a:prstGeom prst="rect">
          <a:avLst/>
        </a:prstGeom>
      </xdr:spPr>
    </xdr:pic>
    <xdr:clientData/>
  </xdr:twoCellAnchor>
  <xdr:twoCellAnchor editAs="oneCell">
    <xdr:from>
      <xdr:col>0</xdr:col>
      <xdr:colOff>0</xdr:colOff>
      <xdr:row>80</xdr:row>
      <xdr:rowOff>0</xdr:rowOff>
    </xdr:from>
    <xdr:to>
      <xdr:col>12</xdr:col>
      <xdr:colOff>465639</xdr:colOff>
      <xdr:row>107</xdr:row>
      <xdr:rowOff>47041</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716000"/>
          <a:ext cx="8695239" cy="4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北京市房地产市场价值预评估</v>
      </c>
    </row>
    <row r="3" spans="1:2" s="1592" customFormat="1">
      <c r="A3" s="1590" t="s">
        <v>1217</v>
      </c>
      <c r="B3" s="1591">
        <f>'预评函-封皮'!B40</f>
        <v>0</v>
      </c>
    </row>
    <row r="4" spans="1:2" s="1592" customFormat="1">
      <c r="A4" s="1590" t="s">
        <v>1218</v>
      </c>
      <c r="B4" s="1591" t="str">
        <f ca="1">'预评函-封皮'!B46</f>
        <v>陈颖（注册号：1120060040)、杨红英（注册号：1120070085)</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受贵公司委托，我公司对北京市房地产市场价值进行了预评估。</v>
      </c>
    </row>
    <row r="7" spans="1:2" s="1592" customFormat="1">
      <c r="A7" s="1590" t="s">
        <v>1260</v>
      </c>
      <c r="B7" s="1591" t="str">
        <f>'预评函-1'!A7</f>
        <v>估价对象为北京市房地产，为所有。根据《国有土地使用证》[]，估价对象（分摊）出让国有建设用地使用权面积为0平方米，建筑面积为81.84平方米。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估价对象为北京市房地产,属开发建设的，该项目尚在开发建设中。根据《国有土地使用证》[]，估价对象（分摊）出让国有建设用地使用权面积为0平方米，规划建筑面积为81.84平方米。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2019年6月27日（评估专业人员实地查勘之日）</v>
      </c>
    </row>
    <row r="13" spans="1:2" s="1592" customFormat="1">
      <c r="A13" s="1590" t="s">
        <v>1223</v>
      </c>
      <c r="B13" s="1591" t="str">
        <f>'预评函-1'!A18</f>
        <v>本次估价的“房地产价值”是指在正常市场情况下，在价值时点2019年6月27日，估价对象规划用途为商业，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91</v>
      </c>
    </row>
    <row r="21" spans="1:2" s="1592" customFormat="1">
      <c r="A21" s="1590" t="s">
        <v>1231</v>
      </c>
      <c r="B21" s="1591">
        <f ca="1">'预评函-2'!D7</f>
        <v>11119</v>
      </c>
    </row>
    <row r="22" spans="1:2" s="1592" customFormat="1">
      <c r="A22" s="1590" t="s">
        <v>1232</v>
      </c>
      <c r="B22" s="1591" t="str">
        <f ca="1">'预评函-2'!D6</f>
        <v>玖拾壹万元整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91</v>
      </c>
    </row>
    <row r="31" spans="1:2" s="1592" customFormat="1">
      <c r="A31" s="1590" t="s">
        <v>1270</v>
      </c>
      <c r="B31" s="1591">
        <f ca="1">'预评函-2'!D15</f>
        <v>11119</v>
      </c>
    </row>
    <row r="32" spans="1:2" s="1592" customFormat="1">
      <c r="A32" s="1590" t="s">
        <v>1237</v>
      </c>
      <c r="B32" s="1591" t="str">
        <f ca="1">'预评函-2'!D14</f>
        <v>玖拾壹万元整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81.84</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陈颖</v>
      </c>
    </row>
    <row r="71" spans="1:2">
      <c r="A71" s="1590" t="s">
        <v>1257</v>
      </c>
      <c r="B71" s="1591">
        <f ca="1">'预评函-4'!B4</f>
        <v>1120060040</v>
      </c>
    </row>
    <row r="72" spans="1:2">
      <c r="A72" s="1590" t="s">
        <v>1258</v>
      </c>
      <c r="B72" s="1599" t="str">
        <f>'预评函-4'!A5</f>
        <v>杨红英</v>
      </c>
    </row>
    <row r="73" spans="1:2" s="1586" customFormat="1" ht="15" thickBot="1">
      <c r="A73" s="1593" t="s">
        <v>1259</v>
      </c>
      <c r="B73" s="1594">
        <f ca="1">'预评函-4'!B5</f>
        <v>1120070085</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0" t="s">
        <v>861</v>
      </c>
      <c r="C54" s="2017" t="s">
        <v>1277</v>
      </c>
    </row>
    <row r="55" spans="1:4">
      <c r="A55" s="3006"/>
      <c r="B55" s="2020" t="s">
        <v>862</v>
      </c>
      <c r="C55" s="2017" t="s">
        <v>1278</v>
      </c>
    </row>
    <row r="56" spans="1:4">
      <c r="A56" s="3006"/>
      <c r="B56" s="2020" t="s">
        <v>863</v>
      </c>
      <c r="C56" s="2017" t="s">
        <v>1282</v>
      </c>
    </row>
    <row r="57" spans="1:4">
      <c r="A57" s="300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07" t="str">
        <f>IF(B10="北京市","北京市",C10)&amp;F10&amp;IF(结果表!G1="在建","出让国有建设用地使用权及在建建筑物",IF(结果表!G1="土地","出让国有建设用地使用权",))&amp;B9&amp;"预评估"</f>
        <v>北京市房地产市场价值预评估</v>
      </c>
      <c r="C1" s="3008"/>
      <c r="D1" s="3008"/>
      <c r="E1" s="3008"/>
      <c r="F1" s="3008"/>
      <c r="G1" s="3008"/>
      <c r="H1" s="3008"/>
      <c r="I1" s="300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1773</v>
      </c>
      <c r="B3" s="2034">
        <v>43643</v>
      </c>
      <c r="C3" s="2035" t="s">
        <v>1774</v>
      </c>
      <c r="D3" s="2034">
        <v>43643</v>
      </c>
      <c r="E3" s="2024"/>
      <c r="F3" s="2024"/>
      <c r="G3" s="2024"/>
      <c r="H3" s="2024"/>
      <c r="I3" s="2024"/>
      <c r="J3" s="2024"/>
      <c r="K3" s="2025"/>
      <c r="L3" s="2026"/>
      <c r="M3" s="2026"/>
      <c r="N3" s="2027"/>
      <c r="O3" s="2028"/>
      <c r="P3" s="2027"/>
      <c r="Q3" s="2027"/>
      <c r="R3" s="2027"/>
      <c r="S3" s="2029"/>
    </row>
    <row r="4" spans="1:19" ht="18" customHeight="1" thickBot="1">
      <c r="A4" s="2036" t="s">
        <v>1775</v>
      </c>
      <c r="B4" s="2037" t="s">
        <v>3052</v>
      </c>
      <c r="C4" s="1036">
        <f ca="1">SUMIF(注册房地产估价师,B4,估价师及机构信息!B3:B24)</f>
        <v>1120060040</v>
      </c>
      <c r="D4" s="2037" t="s">
        <v>3107</v>
      </c>
      <c r="E4" s="1037">
        <f ca="1">SUMIF(注册房地产估价师,D4,估价师及机构信息!B3:B24)</f>
        <v>1120070085</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陈颖（注册号：1120060040)、杨红英（注册号：1120070085)</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3053</v>
      </c>
      <c r="C8" s="2054"/>
      <c r="D8" s="3010" t="s">
        <v>1780</v>
      </c>
      <c r="E8" s="2055"/>
      <c r="F8" s="2056"/>
      <c r="G8" s="2024"/>
      <c r="H8" s="2024"/>
      <c r="I8" s="2024"/>
      <c r="J8" s="2040"/>
      <c r="K8" s="2041"/>
      <c r="L8" s="2026"/>
      <c r="M8" s="2026"/>
      <c r="N8" s="2027"/>
      <c r="O8" s="2028"/>
      <c r="P8" s="2027"/>
      <c r="Q8" s="2027"/>
      <c r="R8" s="2027"/>
    </row>
    <row r="9" spans="1:19" ht="18" customHeight="1" thickBot="1">
      <c r="A9" s="2038" t="s">
        <v>1781</v>
      </c>
      <c r="B9" s="2057" t="s">
        <v>3054</v>
      </c>
      <c r="C9" s="2058"/>
      <c r="D9" s="3011"/>
      <c r="E9" s="2057"/>
      <c r="F9" s="2059"/>
      <c r="G9" s="2060"/>
      <c r="H9" s="2060"/>
      <c r="I9" s="2060"/>
      <c r="J9" s="2040"/>
      <c r="K9" s="2052"/>
      <c r="L9" s="2026"/>
      <c r="M9" s="2026"/>
      <c r="N9" s="2027"/>
      <c r="O9" s="2028"/>
      <c r="P9" s="2027"/>
      <c r="Q9" s="2027"/>
      <c r="R9" s="2027"/>
    </row>
    <row r="10" spans="1:19" ht="18" customHeight="1" thickTop="1">
      <c r="A10" s="2061" t="s">
        <v>1782</v>
      </c>
      <c r="B10" s="2062" t="s">
        <v>3055</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3103</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v>54777</v>
      </c>
      <c r="F13" s="2078"/>
      <c r="G13" s="2078"/>
      <c r="H13" s="2078"/>
      <c r="I13" s="1046"/>
      <c r="J13" s="2040"/>
      <c r="K13" s="2052"/>
      <c r="L13" s="2026"/>
      <c r="M13" s="2026"/>
      <c r="N13" s="2027"/>
      <c r="O13" s="2028"/>
      <c r="P13" s="2027"/>
      <c r="Q13" s="2027"/>
      <c r="R13" s="2027"/>
    </row>
    <row r="14" spans="1:19" ht="18" customHeight="1">
      <c r="A14" s="2075"/>
      <c r="B14" s="2076"/>
      <c r="C14" s="2077" t="s">
        <v>1794</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1795</v>
      </c>
      <c r="D15" s="1048" t="str">
        <f>IF(B12="出让",IF(D13="","",ROUNDDOWN(MIN((D13-$D$3)/365,D14),2)),D14)</f>
        <v/>
      </c>
      <c r="E15" s="1048">
        <f>IF(B12="出让",IF(E13="","",ROUNDDOWN(MIN((E13-$D$3)/365,E14),2)),E14)</f>
        <v>30.5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1796</v>
      </c>
      <c r="B16" s="3017" t="s">
        <v>3057</v>
      </c>
      <c r="C16" s="3018"/>
      <c r="D16" s="3019"/>
      <c r="E16" s="2084" t="s">
        <v>1797</v>
      </c>
      <c r="F16" s="3020"/>
      <c r="G16" s="3021"/>
      <c r="H16" s="3021"/>
      <c r="I16" s="3022"/>
      <c r="J16" s="2027"/>
      <c r="K16" s="2081"/>
      <c r="L16" s="2082"/>
      <c r="M16" s="2082"/>
      <c r="N16" s="2083"/>
      <c r="O16" s="2082"/>
      <c r="P16" s="2083"/>
      <c r="Q16" s="2027"/>
      <c r="R16" s="2027"/>
    </row>
    <row r="17" spans="1:22" ht="18" customHeight="1">
      <c r="A17" s="2085" t="s">
        <v>1798</v>
      </c>
      <c r="B17" s="2033" t="s">
        <v>1799</v>
      </c>
      <c r="C17" s="1053">
        <f>'数据-汇总表'!E3</f>
        <v>81.84</v>
      </c>
      <c r="D17" s="2086" t="s">
        <v>1800</v>
      </c>
      <c r="E17" s="3023" t="s">
        <v>1801</v>
      </c>
      <c r="F17" s="3024"/>
      <c r="G17" s="3024"/>
      <c r="H17" s="3024"/>
      <c r="I17" s="3025"/>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0</v>
      </c>
      <c r="D18" s="2089" t="s">
        <v>1800</v>
      </c>
      <c r="E18" s="3026" t="s">
        <v>1804</v>
      </c>
      <c r="F18" s="3027"/>
      <c r="G18" s="3027"/>
      <c r="H18" s="3027"/>
      <c r="I18" s="3028"/>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13" t="s">
        <v>1809</v>
      </c>
      <c r="C20" s="3014"/>
      <c r="D20" s="3015" t="s">
        <v>1810</v>
      </c>
      <c r="E20" s="3016"/>
      <c r="F20" s="2096" t="s">
        <v>1811</v>
      </c>
      <c r="G20" s="2040"/>
      <c r="H20" s="2040"/>
      <c r="I20" s="2040"/>
      <c r="J20" s="2040"/>
      <c r="K20" s="3012"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1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1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0"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0"/>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0"/>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1"/>
      <c r="B30" s="2033" t="s">
        <v>1828</v>
      </c>
      <c r="C30" s="3032"/>
      <c r="D30" s="303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4"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3">
        <f>COUNTIF(B34:H34,"——")</f>
        <v>0</v>
      </c>
      <c r="L34" s="2073" t="s">
        <v>1831</v>
      </c>
      <c r="M34" s="2073" t="s">
        <v>1832</v>
      </c>
      <c r="N34" s="2073" t="s">
        <v>1833</v>
      </c>
      <c r="O34" s="2073" t="s">
        <v>1834</v>
      </c>
      <c r="P34" s="2073" t="s">
        <v>1835</v>
      </c>
      <c r="Q34" s="2073" t="s">
        <v>1836</v>
      </c>
      <c r="R34" s="2073" t="s">
        <v>1837</v>
      </c>
      <c r="S34" s="3029" t="s">
        <v>1838</v>
      </c>
      <c r="T34" s="2133" t="str">
        <f>NUMBERSTRING(7-K34,1)&amp;"通"</f>
        <v>七通</v>
      </c>
      <c r="U34" s="2027"/>
      <c r="V34" s="2027"/>
    </row>
    <row r="35" spans="1:22" ht="18" customHeight="1">
      <c r="A35" s="2134"/>
      <c r="B35" s="3036" t="s">
        <v>1839</v>
      </c>
      <c r="C35" s="3036"/>
      <c r="D35" s="3036"/>
      <c r="E35" s="3036"/>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9"/>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t="s">
        <v>528</v>
      </c>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t="s">
        <v>3058</v>
      </c>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3" t="s">
        <v>1849</v>
      </c>
      <c r="C42" s="1793" t="s">
        <v>1850</v>
      </c>
      <c r="D42" s="1793" t="s">
        <v>1851</v>
      </c>
      <c r="E42" s="1793" t="s">
        <v>1852</v>
      </c>
      <c r="F42" s="1793" t="s">
        <v>1853</v>
      </c>
      <c r="G42" s="1793" t="s">
        <v>1854</v>
      </c>
      <c r="H42" s="1793" t="s">
        <v>1855</v>
      </c>
      <c r="I42" s="1793" t="s">
        <v>1856</v>
      </c>
      <c r="J42" s="2151" t="s">
        <v>1857</v>
      </c>
      <c r="K42" s="2074" t="s">
        <v>1858</v>
      </c>
      <c r="L42" s="2074" t="s">
        <v>1859</v>
      </c>
      <c r="M42" s="2074" t="s">
        <v>1860</v>
      </c>
      <c r="N42" s="1793" t="s">
        <v>1861</v>
      </c>
      <c r="O42" s="1793" t="s">
        <v>1862</v>
      </c>
      <c r="P42" s="1793"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0" sqref="B3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616.07000000000005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1"/>
      <c r="C5" s="1801"/>
      <c r="D5" s="1804"/>
      <c r="E5" s="16" t="s">
        <v>1</v>
      </c>
      <c r="F5" s="16">
        <f>SUM(F13:F587)</f>
        <v>0</v>
      </c>
      <c r="G5" s="16">
        <f>SUM(G13:G587)</f>
        <v>616.07000000000005</v>
      </c>
      <c r="H5" s="16">
        <f t="shared" ref="H5:AT5" si="0">SUM(H13:H656)</f>
        <v>616.07000000000005</v>
      </c>
      <c r="I5" s="16">
        <f t="shared" si="0"/>
        <v>616.07000000000005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81.84</v>
      </c>
      <c r="BA5" s="18">
        <f t="shared" si="1"/>
        <v>81.84</v>
      </c>
      <c r="BB5" s="18">
        <f t="shared" si="1"/>
        <v>81.84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1884</v>
      </c>
      <c r="AV7" s="23" t="s">
        <v>1885</v>
      </c>
      <c r="AW7" s="2165" t="s">
        <v>1886</v>
      </c>
      <c r="AX7" s="23" t="s">
        <v>1879</v>
      </c>
      <c r="AY7" s="1801"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6"/>
      <c r="K8" s="1816"/>
      <c r="L8" s="1816"/>
      <c r="M8" s="1816"/>
      <c r="N8" s="1816"/>
      <c r="O8" s="1816"/>
      <c r="P8" s="1816"/>
      <c r="Q8" s="1816"/>
      <c r="R8" s="1816"/>
      <c r="S8" s="1816"/>
      <c r="T8" s="1816"/>
      <c r="U8" s="1816"/>
      <c r="V8" s="2185"/>
      <c r="W8" s="1816"/>
      <c r="X8" s="1816"/>
      <c r="Y8" s="1816"/>
      <c r="Z8" s="1816"/>
      <c r="AA8" s="2185"/>
      <c r="AB8" s="2186"/>
      <c r="AC8" s="980" t="s">
        <v>1890</v>
      </c>
      <c r="AD8" s="2187"/>
      <c r="AE8" s="2179"/>
      <c r="AF8" s="1816"/>
      <c r="AG8" s="1816"/>
      <c r="AH8" s="1816"/>
      <c r="AI8" s="1816"/>
      <c r="AJ8" s="1816"/>
      <c r="AK8" s="1816"/>
      <c r="AL8" s="1816"/>
      <c r="AM8" s="1816"/>
      <c r="AN8" s="1816"/>
      <c r="AO8" s="1816"/>
      <c r="AP8" s="1816"/>
      <c r="AQ8" s="1816"/>
      <c r="AR8" s="1816"/>
      <c r="AS8" s="1816"/>
      <c r="AT8" s="1291" t="s">
        <v>1891</v>
      </c>
      <c r="AU8" s="2181" t="s">
        <v>1892</v>
      </c>
      <c r="AV8" s="1291"/>
      <c r="AW8" s="2164"/>
      <c r="AX8" s="1291"/>
      <c r="AY8" s="2165"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1"/>
      <c r="H9" s="2189" t="s">
        <v>1895</v>
      </c>
      <c r="I9" s="2190" t="s">
        <v>3061</v>
      </c>
      <c r="J9" s="980"/>
      <c r="K9" s="2190"/>
      <c r="L9" s="980"/>
      <c r="M9" s="2190"/>
      <c r="N9" s="980"/>
      <c r="O9" s="2190"/>
      <c r="P9" s="980"/>
      <c r="Q9" s="2190"/>
      <c r="R9" s="980"/>
      <c r="S9" s="2190"/>
      <c r="T9" s="980"/>
      <c r="U9" s="2190"/>
      <c r="V9" s="980"/>
      <c r="W9" s="2190"/>
      <c r="X9" s="2191"/>
      <c r="Y9" s="2190"/>
      <c r="Z9" s="980"/>
      <c r="AA9" s="2190"/>
      <c r="AB9" s="980"/>
      <c r="AC9" s="2182"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2"/>
      <c r="AT9" s="2181"/>
      <c r="AU9" s="2181" t="s">
        <v>1898</v>
      </c>
      <c r="AV9" s="1291"/>
      <c r="AW9" s="2164"/>
      <c r="AX9" s="1291"/>
      <c r="AY9" s="28"/>
      <c r="AZ9" s="28" t="s">
        <v>1888</v>
      </c>
      <c r="BA9" s="2193" t="s">
        <v>1899</v>
      </c>
      <c r="BB9" s="2194"/>
      <c r="BC9" s="1337"/>
      <c r="BD9" s="1337"/>
      <c r="BE9" s="1337"/>
      <c r="BF9" s="1337"/>
      <c r="BG9" s="1337"/>
      <c r="BH9" s="1337"/>
      <c r="BI9" s="1337"/>
      <c r="BJ9" s="1337"/>
      <c r="BK9" s="2195"/>
      <c r="BL9" s="15" t="s">
        <v>1900</v>
      </c>
      <c r="BM9" s="1816"/>
      <c r="BN9" s="2184"/>
      <c r="BO9" s="1816"/>
      <c r="BP9" s="1816"/>
      <c r="BQ9" s="1816"/>
      <c r="BR9" s="1816"/>
      <c r="BS9" s="1816"/>
      <c r="BT9" s="26"/>
    </row>
    <row r="10" spans="1:72" s="2188" customFormat="1" ht="12.75">
      <c r="A10" s="2181"/>
      <c r="B10" s="2181"/>
      <c r="C10" s="2181"/>
      <c r="D10" s="2181"/>
      <c r="E10" s="2181"/>
      <c r="F10" s="2181"/>
      <c r="G10" s="1291"/>
      <c r="H10" s="28"/>
      <c r="I10" s="2190" t="s">
        <v>1373</v>
      </c>
      <c r="J10" s="980"/>
      <c r="K10" s="2196"/>
      <c r="L10" s="980"/>
      <c r="M10" s="2196"/>
      <c r="N10" s="980"/>
      <c r="O10" s="2196"/>
      <c r="P10" s="980"/>
      <c r="Q10" s="2196"/>
      <c r="R10" s="980"/>
      <c r="S10" s="2196"/>
      <c r="T10" s="980"/>
      <c r="U10" s="2196"/>
      <c r="V10" s="980"/>
      <c r="W10" s="2196"/>
      <c r="X10" s="980"/>
      <c r="Y10" s="2196"/>
      <c r="Z10" s="980"/>
      <c r="AA10" s="2196"/>
      <c r="AB10" s="980"/>
      <c r="AC10" s="1291"/>
      <c r="AD10" s="15" t="s">
        <v>1901</v>
      </c>
      <c r="AE10" s="2197"/>
      <c r="AF10" s="15" t="s">
        <v>1901</v>
      </c>
      <c r="AG10" s="2197"/>
      <c r="AH10" s="15" t="s">
        <v>1902</v>
      </c>
      <c r="AI10" s="2197"/>
      <c r="AJ10" s="15" t="s">
        <v>1902</v>
      </c>
      <c r="AK10" s="2197"/>
      <c r="AL10" s="15" t="s">
        <v>1903</v>
      </c>
      <c r="AM10" s="1297"/>
      <c r="AN10" s="15" t="s">
        <v>1903</v>
      </c>
      <c r="AO10" s="1297"/>
      <c r="AP10" s="15" t="s">
        <v>1904</v>
      </c>
      <c r="AQ10" s="1297"/>
      <c r="AR10" s="15" t="s">
        <v>1904</v>
      </c>
      <c r="AS10" s="1297"/>
      <c r="AT10" s="2181"/>
      <c r="AU10" s="2181"/>
      <c r="AV10" s="1291"/>
      <c r="AW10" s="2164"/>
      <c r="AX10" s="1291"/>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7"/>
      <c r="AF11" s="2203" t="s">
        <v>1905</v>
      </c>
      <c r="AG11" s="1817"/>
      <c r="AH11" s="2203" t="s">
        <v>1906</v>
      </c>
      <c r="AI11" s="2204"/>
      <c r="AJ11" s="2203" t="s">
        <v>1906</v>
      </c>
      <c r="AK11" s="1817"/>
      <c r="AL11" s="1815"/>
      <c r="AM11" s="1817"/>
      <c r="AN11" s="1815"/>
      <c r="AO11" s="1817"/>
      <c r="AP11" s="1815"/>
      <c r="AQ11" s="1817"/>
      <c r="AR11" s="1815"/>
      <c r="AS11" s="1817"/>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8"/>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6118</v>
      </c>
      <c r="D13" s="2212" t="s">
        <v>3059</v>
      </c>
      <c r="E13" s="16">
        <f>IF($C$3="是",ROUND($A$3*G13/$B$3,2),ROUND($A$3*(G13-AT13)/$B$3,2))</f>
        <v>0</v>
      </c>
      <c r="F13" s="32"/>
      <c r="G13" s="33">
        <f>H13+AC13+AT13</f>
        <v>81.84</v>
      </c>
      <c r="H13" s="20">
        <f>SUMIF(I$12:AB$12,"总值",I13:AB13)</f>
        <v>81.84</v>
      </c>
      <c r="I13" s="2213">
        <v>81.84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6118</v>
      </c>
      <c r="AY13" s="1804">
        <f>ROUND($AY$6*AZ13/$AZ$5,2)</f>
        <v>0</v>
      </c>
      <c r="AZ13" s="16">
        <f>BA13+BL13</f>
        <v>81.84</v>
      </c>
      <c r="BA13" s="16">
        <f>SUM(BB13:BK13)</f>
        <v>81.84</v>
      </c>
      <c r="BB13" s="16">
        <f>IF($D13="是",I13-J13,0)</f>
        <v>81.84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1271">
        <v>9111</v>
      </c>
      <c r="D14" s="2212" t="s">
        <v>3060</v>
      </c>
      <c r="E14" s="16">
        <f>IF($C$3="是",ROUND($A$3*G14/$B$3,2),ROUND($A$3*(G14-AT14)/$B$3,2))</f>
        <v>0</v>
      </c>
      <c r="F14" s="32"/>
      <c r="G14" s="33">
        <f>H14+AC14+AT14</f>
        <v>70.84</v>
      </c>
      <c r="H14" s="20">
        <f>SUMIF(I$12:AB$12,"总值",I14:AB14)</f>
        <v>70.84</v>
      </c>
      <c r="I14" s="2213">
        <v>70.84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9111</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1271">
        <v>6112</v>
      </c>
      <c r="D15" s="2212" t="s">
        <v>3060</v>
      </c>
      <c r="E15" s="16">
        <f>IF($C$3="是",ROUND($A$3*G15/$B$3,2),ROUND($A$3*(G15-AT15)/$B$3,2))</f>
        <v>0</v>
      </c>
      <c r="F15" s="32"/>
      <c r="G15" s="33">
        <f>H15+AC15+AT15</f>
        <v>81.84</v>
      </c>
      <c r="H15" s="20">
        <f>SUMIF(I$12:AB$12,"总值",I15:AB15)</f>
        <v>81.84</v>
      </c>
      <c r="I15" s="2213">
        <v>81.84</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6112</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1271">
        <v>6103</v>
      </c>
      <c r="D16" s="2212" t="s">
        <v>3060</v>
      </c>
      <c r="E16" s="16">
        <f>IF($C$3="是",ROUND($A$3*G16/$B$3,2),ROUND($A$3*(G16-AT16)/$B$3,2))</f>
        <v>0</v>
      </c>
      <c r="F16" s="32"/>
      <c r="G16" s="33">
        <f>H16+AC16+AT16</f>
        <v>70.84</v>
      </c>
      <c r="H16" s="20">
        <f>SUMIF(I$12:AB$12,"总值",I16:AB16)</f>
        <v>70.84</v>
      </c>
      <c r="I16" s="2213">
        <v>70.84</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6103</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1271">
        <v>6120</v>
      </c>
      <c r="D17" s="2212" t="s">
        <v>3060</v>
      </c>
      <c r="E17" s="16">
        <f>IF($C$3="是",ROUND($A$3*G17/$B$3,2),ROUND($A$3*(G17-AT17)/$B$3,2))</f>
        <v>0</v>
      </c>
      <c r="F17" s="32"/>
      <c r="G17" s="33">
        <f>H17+AC17+AT17</f>
        <v>76.19</v>
      </c>
      <c r="H17" s="20">
        <f>SUMIF(I$12:AB$12,"总值",I17:AB17)</f>
        <v>76.19</v>
      </c>
      <c r="I17" s="2213">
        <v>76.19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6120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v>6108</v>
      </c>
      <c r="D18" s="2950" t="s">
        <v>3060</v>
      </c>
      <c r="E18" s="35">
        <f t="shared" ref="E18:E112" si="7">IF($C$3="是",ROUND($A$3*G18/$B$3,2),ROUND($A$3*(G18-AT18)/$B$3,2))</f>
        <v>0</v>
      </c>
      <c r="F18" s="36"/>
      <c r="G18" s="37">
        <f t="shared" ref="G18:G109" si="8">H18+AC18+AT18</f>
        <v>81.84</v>
      </c>
      <c r="H18" s="38">
        <f t="shared" ref="H18:H109" si="9">SUMIF(I$12:AB$12,"总值",I18:AB18)</f>
        <v>81.84</v>
      </c>
      <c r="I18" s="2213">
        <v>81.84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6108</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v>6113</v>
      </c>
      <c r="D19" s="2950" t="s">
        <v>3060</v>
      </c>
      <c r="E19" s="35">
        <f t="shared" si="7"/>
        <v>0</v>
      </c>
      <c r="F19" s="36"/>
      <c r="G19" s="37">
        <f t="shared" si="8"/>
        <v>70.84</v>
      </c>
      <c r="H19" s="38">
        <f t="shared" si="9"/>
        <v>70.84</v>
      </c>
      <c r="I19" s="2213">
        <v>70.84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6113</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v>6110</v>
      </c>
      <c r="D20" s="2950" t="s">
        <v>3060</v>
      </c>
      <c r="E20" s="35">
        <f t="shared" si="7"/>
        <v>0</v>
      </c>
      <c r="F20" s="36"/>
      <c r="G20" s="37">
        <f t="shared" si="8"/>
        <v>81.84</v>
      </c>
      <c r="H20" s="38">
        <f t="shared" si="9"/>
        <v>81.84</v>
      </c>
      <c r="I20" s="2213">
        <v>81.84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6110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48" t="s">
        <v>1935</v>
      </c>
      <c r="B2" s="3048"/>
      <c r="C2" s="3048"/>
      <c r="D2" s="966" t="s">
        <v>1911</v>
      </c>
      <c r="E2" s="2226" t="s">
        <v>1912</v>
      </c>
      <c r="F2" s="1391"/>
      <c r="G2" s="2227"/>
      <c r="H2" s="2228"/>
      <c r="I2" s="2229" t="s">
        <v>1936</v>
      </c>
      <c r="J2" s="1391"/>
      <c r="K2" s="1391"/>
      <c r="L2" s="1391"/>
      <c r="M2" s="1391"/>
      <c r="N2" s="1426"/>
      <c r="O2" s="1391"/>
      <c r="P2" s="1391"/>
    </row>
    <row r="3" spans="1:16" ht="15.75" thickBot="1">
      <c r="A3" s="3049" t="s">
        <v>1909</v>
      </c>
      <c r="B3" s="3049"/>
      <c r="C3" s="3049"/>
      <c r="D3" s="46">
        <f>'数据-基础表'!AY6</f>
        <v>0</v>
      </c>
      <c r="E3" s="46">
        <f>'数据-基础表'!AZ5</f>
        <v>81.84</v>
      </c>
      <c r="F3" s="1391"/>
      <c r="G3" s="1398"/>
      <c r="H3" s="1246" t="s">
        <v>1910</v>
      </c>
      <c r="I3" s="55" t="e">
        <f>ROUND('数据-基础表'!B3/'数据-基础表'!A3,2)</f>
        <v>#DIV/0!</v>
      </c>
      <c r="J3" s="1391"/>
      <c r="K3" s="1391"/>
      <c r="L3" s="1391"/>
      <c r="M3" s="1391"/>
      <c r="N3" s="1426"/>
      <c r="O3" s="1391"/>
      <c r="P3" s="1391"/>
    </row>
    <row r="4" spans="1:16" ht="15">
      <c r="A4" s="3050"/>
      <c r="B4" s="3051"/>
      <c r="C4" s="3052"/>
      <c r="D4" s="2230" t="s">
        <v>1911</v>
      </c>
      <c r="E4" s="2231" t="s">
        <v>1912</v>
      </c>
      <c r="F4" s="1391"/>
      <c r="G4" s="2232" t="s">
        <v>1937</v>
      </c>
      <c r="H4" s="1246" t="s">
        <v>1917</v>
      </c>
      <c r="I4" s="55" t="e">
        <f>ROUND(SUMIF('数据-基础表'!I9:AS9,"地上",'数据-基础表'!I5:AS5)/'数据-基础表'!A3,2)</f>
        <v>#DIV/0!</v>
      </c>
      <c r="J4" s="1391"/>
      <c r="K4" s="1391"/>
      <c r="L4" s="1391"/>
      <c r="M4" s="1391"/>
      <c r="N4" s="1426"/>
      <c r="O4" s="1391"/>
      <c r="P4" s="1391"/>
    </row>
    <row r="5" spans="1:16">
      <c r="A5" s="47" t="s">
        <v>1913</v>
      </c>
      <c r="B5" s="3053" t="s">
        <v>1914</v>
      </c>
      <c r="C5" s="3053"/>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3"/>
      <c r="B6" s="3053" t="s">
        <v>1915</v>
      </c>
      <c r="C6" s="3053"/>
      <c r="D6" s="48">
        <f>ROUND($D$3*E6/$E$3,2)</f>
        <v>0</v>
      </c>
      <c r="E6" s="49">
        <f>E3-E5</f>
        <v>81.84</v>
      </c>
      <c r="F6" s="1391"/>
      <c r="G6" s="2234" t="s">
        <v>1916</v>
      </c>
      <c r="H6" s="1398" t="s">
        <v>1917</v>
      </c>
      <c r="I6" s="938" t="e">
        <f>ROUND(F31/D31,2)</f>
        <v>#DIV/0!</v>
      </c>
      <c r="J6" s="1391"/>
      <c r="K6" s="1391"/>
      <c r="L6" s="1391"/>
      <c r="M6" s="1391"/>
      <c r="N6" s="1391"/>
      <c r="O6" s="1391"/>
      <c r="P6" s="1391"/>
    </row>
    <row r="7" spans="1:16" ht="15">
      <c r="A7" s="3045"/>
      <c r="B7" s="3046"/>
      <c r="C7" s="3047"/>
      <c r="D7" s="2230" t="s">
        <v>1911</v>
      </c>
      <c r="E7" s="2235" t="s">
        <v>1918</v>
      </c>
      <c r="F7" s="1391"/>
      <c r="G7" s="2227" t="s">
        <v>1919</v>
      </c>
      <c r="H7" s="64"/>
      <c r="I7" s="420">
        <v>2</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81.84</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0</v>
      </c>
      <c r="E16" s="53">
        <f>SUM(E8:E15)</f>
        <v>81.84</v>
      </c>
      <c r="F16" s="1391"/>
      <c r="G16" s="2236"/>
      <c r="H16" s="2239" t="s">
        <v>1939</v>
      </c>
      <c r="I16" s="2240"/>
      <c r="J16" s="1391"/>
      <c r="K16" s="3042" t="s">
        <v>1939</v>
      </c>
      <c r="L16" s="3043"/>
      <c r="M16" s="3043"/>
      <c r="N16" s="3043"/>
      <c r="O16" s="3043"/>
      <c r="P16" s="3044"/>
    </row>
    <row r="17" spans="1:19" ht="15">
      <c r="A17" s="2241" t="s">
        <v>1940</v>
      </c>
      <c r="B17" s="2242" t="s">
        <v>1941</v>
      </c>
      <c r="C17" s="2243" t="s">
        <v>1942</v>
      </c>
      <c r="D17" s="2244" t="s">
        <v>1930</v>
      </c>
      <c r="E17" s="2245" t="s">
        <v>1931</v>
      </c>
      <c r="F17" s="2246"/>
      <c r="G17" s="2247"/>
      <c r="H17" s="2248" t="s">
        <v>1943</v>
      </c>
      <c r="I17" s="2249" t="s">
        <v>1928</v>
      </c>
      <c r="J17" s="1391"/>
      <c r="K17" s="3039" t="s">
        <v>1944</v>
      </c>
      <c r="L17" s="3040"/>
      <c r="M17" s="3041"/>
      <c r="N17" s="3039" t="s">
        <v>1945</v>
      </c>
      <c r="O17" s="3040"/>
      <c r="P17" s="3041"/>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5" t="s">
        <v>1954</v>
      </c>
      <c r="N18" s="1261" t="s">
        <v>1952</v>
      </c>
      <c r="O18" s="2257" t="s">
        <v>1953</v>
      </c>
      <c r="P18" s="1045" t="s">
        <v>1954</v>
      </c>
      <c r="R18" s="1246" t="s">
        <v>1955</v>
      </c>
      <c r="S18" s="1246" t="s">
        <v>1956</v>
      </c>
    </row>
    <row r="19" spans="1:19">
      <c r="A19" s="2258"/>
      <c r="B19" s="50" t="s">
        <v>1929</v>
      </c>
      <c r="C19" s="2953" t="s">
        <v>3062</v>
      </c>
      <c r="D19" s="48">
        <f>ROUND($D$3*E19/$E$3,2)</f>
        <v>0</v>
      </c>
      <c r="E19" s="56">
        <f t="shared" ref="E19:E26" si="1">SUM(F19:G19)</f>
        <v>81.84</v>
      </c>
      <c r="F19" s="57">
        <f>'数据-基础表'!I13</f>
        <v>81.84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0</v>
      </c>
      <c r="S19" s="1247">
        <f t="shared" si="5"/>
        <v>81.84</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2">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0</v>
      </c>
      <c r="E27" s="1393">
        <f>IF(SUM(E19:E26)='数据-基础表'!BA5,SUM(E19:E26),IF(F27="地上面积有误","面积有误","地下面积有误"))</f>
        <v>81.84</v>
      </c>
      <c r="F27" s="1392">
        <f>IF(SUM(F19:F26)=E8,SUM(F19:F26),"地上面积有误")</f>
        <v>81.84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81.84</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1962</v>
      </c>
      <c r="D31" s="728">
        <f>D27+D30</f>
        <v>0</v>
      </c>
      <c r="E31" s="728">
        <f>E27+E30</f>
        <v>81.84</v>
      </c>
      <c r="F31" s="729">
        <f>F27+F30</f>
        <v>81.84</v>
      </c>
      <c r="G31" s="730">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D42" sqref="D4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43643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1373</v>
      </c>
      <c r="D6" s="1050">
        <f>SUMIF(项目基本情况!D$12:I$12,C6,项目基本情况!D$14:I$14)</f>
        <v>40</v>
      </c>
      <c r="E6" s="1047">
        <f>IF(B6="","",SUMIF(项目基本情况!D$12:I$12,C6,项目基本情况!D$13:I$13))</f>
        <v>54777</v>
      </c>
      <c r="F6" s="72">
        <f>SUMIF(项目基本情况!D$12:I$12,C6,项目基本情况!D$15:I$15)</f>
        <v>30.5</v>
      </c>
      <c r="G6" s="73">
        <f>IF(ISERROR(ROUND(POWER(1+H6,D6-F6)*(POWER(1+H6,F6)-1)/(POWER(1+H6,D6)-1),3)),0,ROUND(POWER(1+H6,D6-F6)*(POWER(1+H6,F6)-1)/(POWER(1+H6,D6)-1),3))</f>
        <v>0.88100000000000001</v>
      </c>
      <c r="H6" s="801">
        <v>0.04</v>
      </c>
      <c r="I6" s="801">
        <v>3.5000000000000003E-2</v>
      </c>
      <c r="J6" s="74">
        <v>0.08</v>
      </c>
      <c r="K6" s="1250">
        <f>SUMIF('数据-汇总表'!C$19:C$33,A6,'数据-汇总表'!E$19:E$33)</f>
        <v>81.84</v>
      </c>
      <c r="L6" s="802">
        <v>2800</v>
      </c>
      <c r="M6" s="75">
        <f t="shared" ref="M6:M14" si="0">ROUND(K6*L6/10000,0)</f>
        <v>23</v>
      </c>
      <c r="N6" s="800">
        <v>0.8</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1.7</v>
      </c>
      <c r="V6" s="79">
        <v>2.5000000000000001E-2</v>
      </c>
      <c r="W6" s="79">
        <v>0.1</v>
      </c>
      <c r="X6" s="1260"/>
      <c r="Y6" s="80">
        <f>N6</f>
        <v>0.8</v>
      </c>
      <c r="Z6" s="81"/>
      <c r="AA6" s="74"/>
      <c r="AB6" s="74"/>
      <c r="AC6" s="1260"/>
      <c r="AD6" s="82">
        <f>Y6</f>
        <v>0.8</v>
      </c>
      <c r="AE6" s="1261">
        <f ca="1">IF(AN6="",0,SUMIF(INDIRECT("'"&amp;AN6&amp;"'"&amp;"!E:E"),$AE$5,INDIRECT("'"&amp;AN6&amp;"'"&amp;"!F:F")))</f>
        <v>30.5</v>
      </c>
      <c r="AF6" s="1802"/>
      <c r="AG6" s="147">
        <f>IF(AF6="",0,AE6-AF6)</f>
        <v>0</v>
      </c>
      <c r="AH6" s="83">
        <f>'数据-汇总表'!E19</f>
        <v>81.84</v>
      </c>
      <c r="AI6" s="85">
        <v>365</v>
      </c>
      <c r="AJ6" s="86"/>
      <c r="AK6" s="87">
        <v>5.0000000000000001E-3</v>
      </c>
      <c r="AL6" s="88">
        <v>5.0000000000000001E-4</v>
      </c>
      <c r="AM6" s="89">
        <v>5.0000000000000001E-3</v>
      </c>
      <c r="AN6" s="2308" t="s">
        <v>3063</v>
      </c>
      <c r="AO6" s="55">
        <f ca="1">SUMIF(INDIRECT("'"&amp;AN6&amp;"'"&amp;"!A:A"),"总价",INDIRECT("'"&amp;AN6&amp;"'"&amp;"!B:B"))</f>
        <v>98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4"/>
      <c r="D16" s="2313"/>
      <c r="E16" s="97"/>
      <c r="F16" s="97"/>
      <c r="G16" s="98">
        <f>ROUND(SUMPRODUCT(G6:G13,K6:K13)/SUMPRODUCT((G6:G13&gt;0)*(K6:K13)),3)</f>
        <v>0.88100000000000001</v>
      </c>
      <c r="H16" s="99">
        <f>ROUND(SUMPRODUCT(H6:H13,K6:K13)/SUMPRODUCT((H6:H13&gt;0)*(K6:K13)),3)</f>
        <v>0.04</v>
      </c>
      <c r="I16" s="100"/>
      <c r="J16" s="100"/>
      <c r="K16" s="101">
        <f>SUM(K6:K15)</f>
        <v>81.84</v>
      </c>
      <c r="L16" s="102">
        <f>ROUND(M16*10000/SUM(K6:K14),0)</f>
        <v>2810</v>
      </c>
      <c r="M16" s="102">
        <f>SUM(M6:M14)</f>
        <v>23</v>
      </c>
      <c r="N16" s="103">
        <f>ROUND(SUMPRODUCT(M6:M14,N6:N14)/M16,3)</f>
        <v>0.8</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1.5</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1.5</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1.5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1.5</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150</v>
      </c>
      <c r="C27" s="1762"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2028</v>
      </c>
      <c r="B28" s="119">
        <v>190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2029</v>
      </c>
      <c r="B29" s="121">
        <f ca="1">'成本法 (元)'!C10</f>
        <v>15550</v>
      </c>
      <c r="C29" s="1762"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2031</v>
      </c>
      <c r="B30" s="723">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2032</v>
      </c>
      <c r="B31" s="120">
        <f>B30-B32</f>
        <v>200</v>
      </c>
      <c r="C31" s="1762"/>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2033</v>
      </c>
      <c r="B32" s="724">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2034</v>
      </c>
      <c r="B33" s="725">
        <v>0.03</v>
      </c>
      <c r="C33" s="1761"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2036</v>
      </c>
      <c r="B34" s="122">
        <v>0.05</v>
      </c>
      <c r="C34" s="1761" t="s">
        <v>2037</v>
      </c>
      <c r="D34" s="2277" t="s">
        <v>2038</v>
      </c>
      <c r="E34" s="731"/>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2039</v>
      </c>
      <c r="B35" s="119">
        <v>200</v>
      </c>
      <c r="C35" s="1761"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2041</v>
      </c>
      <c r="B36" s="123">
        <v>1.4999999999999999E-2</v>
      </c>
      <c r="C36" s="1761"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1"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1"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1"/>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1"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5.5000000000000007E-2</v>
      </c>
      <c r="C41" s="1762"/>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5.000000000000001E-3</v>
      </c>
      <c r="C43" s="1762"/>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0.05</v>
      </c>
      <c r="C44" s="1761"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2"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2"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v>0</v>
      </c>
      <c r="C47" s="1762"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69"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69"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0</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528</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4" t="s">
        <v>2080</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3"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3" t="s">
        <v>2092</v>
      </c>
      <c r="C5" s="2373" t="s">
        <v>2093</v>
      </c>
      <c r="D5" s="2370"/>
      <c r="E5" s="2374"/>
      <c r="F5" s="1793" t="s">
        <v>2094</v>
      </c>
      <c r="G5" s="2375" t="s">
        <v>2095</v>
      </c>
      <c r="H5" s="2367"/>
      <c r="I5" s="2367"/>
      <c r="J5" s="2367"/>
      <c r="K5" s="2367"/>
      <c r="L5" s="2367"/>
      <c r="M5" s="2367"/>
      <c r="N5" s="2367"/>
      <c r="O5" s="2367"/>
      <c r="P5" s="2367"/>
      <c r="Q5" s="2367"/>
      <c r="R5" s="2367"/>
    </row>
    <row r="6" spans="1:29" ht="54">
      <c r="A6" s="431"/>
      <c r="B6" s="1793" t="s">
        <v>2096</v>
      </c>
      <c r="C6" s="2375" t="s">
        <v>2091</v>
      </c>
      <c r="D6" s="2370"/>
      <c r="E6" s="2374"/>
      <c r="F6" s="1793" t="s">
        <v>2097</v>
      </c>
      <c r="G6" s="2375" t="s">
        <v>2098</v>
      </c>
      <c r="H6" s="2367"/>
      <c r="I6" s="2367"/>
      <c r="J6" s="2367"/>
      <c r="K6" s="2367"/>
      <c r="L6" s="2367"/>
      <c r="M6" s="2367"/>
      <c r="N6" s="2367"/>
      <c r="O6" s="2367"/>
      <c r="P6" s="2367"/>
      <c r="Q6" s="2367"/>
      <c r="R6" s="2367"/>
    </row>
    <row r="7" spans="1:29" ht="41.25" thickBot="1">
      <c r="A7" s="431"/>
      <c r="B7" s="1793"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3" t="s">
        <v>2097</v>
      </c>
      <c r="C8" s="2375" t="s">
        <v>2098</v>
      </c>
      <c r="D8" s="2376"/>
      <c r="E8" s="2376"/>
      <c r="F8" s="1132"/>
      <c r="G8" s="1132"/>
      <c r="H8" s="2367"/>
      <c r="I8" s="2367"/>
      <c r="J8" s="2367"/>
      <c r="K8" s="2367"/>
      <c r="L8" s="2367"/>
      <c r="M8" s="2367"/>
      <c r="N8" s="2367"/>
      <c r="O8" s="2367"/>
      <c r="P8" s="2367"/>
      <c r="Q8" s="2367"/>
      <c r="R8" s="2367"/>
    </row>
    <row r="9" spans="1:29" ht="27">
      <c r="A9" s="431"/>
      <c r="B9" s="1793" t="s">
        <v>2101</v>
      </c>
      <c r="C9" s="2373" t="s">
        <v>2102</v>
      </c>
      <c r="D9" s="2370"/>
      <c r="E9" s="2376"/>
      <c r="F9" s="1132"/>
      <c r="G9" s="1132"/>
      <c r="H9" s="2367"/>
      <c r="I9" s="2367"/>
      <c r="J9" s="2367"/>
      <c r="K9" s="2367"/>
      <c r="L9" s="2367"/>
      <c r="M9" s="2367"/>
      <c r="N9" s="2367"/>
      <c r="O9" s="2367"/>
      <c r="P9" s="2367"/>
      <c r="Q9" s="2367"/>
      <c r="R9" s="2367"/>
    </row>
    <row r="10" spans="1:29" s="117" customFormat="1" ht="15.75" thickBot="1">
      <c r="A10" s="2380"/>
      <c r="B10" s="2381" t="s">
        <v>2103</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3"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3" t="s">
        <v>2113</v>
      </c>
      <c r="G20" s="136" t="str">
        <f>G6</f>
        <v>估价对象所在区域基础设施水平</v>
      </c>
    </row>
    <row r="21" spans="1:18" ht="28.5">
      <c r="A21" s="645"/>
      <c r="B21" s="1793" t="s">
        <v>2094</v>
      </c>
      <c r="C21" s="136" t="str">
        <f>C7</f>
        <v>估价对象所在区域公共配套设施齐备情况</v>
      </c>
      <c r="D21" s="2370"/>
      <c r="E21" s="2406"/>
      <c r="F21" s="2407" t="s">
        <v>2114</v>
      </c>
      <c r="G21" s="2408"/>
    </row>
    <row r="22" spans="1:18" ht="13.5" customHeight="1">
      <c r="A22" s="645"/>
      <c r="B22" s="1793"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81.84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43643</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91</v>
      </c>
      <c r="C5" s="1741">
        <f ca="1">ROUND(B5*10000/$B$1,0)</f>
        <v>11119</v>
      </c>
      <c r="D5" s="1741" t="e">
        <f ca="1">ROUND(B5*10000/$B$2,0)</f>
        <v>#DIV/0!</v>
      </c>
      <c r="E5" s="1740"/>
      <c r="F5" s="1738"/>
      <c r="G5" s="1738"/>
    </row>
    <row r="6" spans="1:10" ht="16.5">
      <c r="A6" s="1741" t="s">
        <v>1352</v>
      </c>
      <c r="B6" s="1741">
        <f ca="1">SUM(G14:G23)</f>
        <v>91</v>
      </c>
      <c r="C6" s="1741">
        <f ca="1">ROUND(B6*10000/$B$1,0)</f>
        <v>11119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81.84</v>
      </c>
      <c r="C14" s="1739">
        <f>结果表!C118</f>
        <v>0</v>
      </c>
      <c r="D14" s="1739">
        <f ca="1">结果表!H118</f>
        <v>91</v>
      </c>
      <c r="E14" s="1739">
        <f ca="1">ROUND(D14*10000/B14,0)</f>
        <v>11119</v>
      </c>
      <c r="F14" s="1739" t="e">
        <f ca="1">ROUND(D14*10000/C14,0)</f>
        <v>#DIV/0!</v>
      </c>
      <c r="G14" s="1739">
        <f ca="1">结果表!D122</f>
        <v>91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2117</v>
      </c>
      <c r="B1" s="2418"/>
      <c r="C1" s="2419" t="s">
        <v>1373</v>
      </c>
      <c r="D1" s="2418"/>
      <c r="E1" s="2418"/>
      <c r="F1" s="2420" t="s">
        <v>2118</v>
      </c>
      <c r="G1" s="2069" t="s">
        <v>3081</v>
      </c>
      <c r="H1" s="2421" t="str">
        <f>IF(G1="现房","——","估价对象范围")</f>
        <v>——</v>
      </c>
      <c r="I1" s="2422" t="s">
        <v>3082</v>
      </c>
    </row>
    <row r="2" spans="1:12" ht="21.75" customHeight="1" thickBot="1">
      <c r="A2" s="3128" t="str">
        <f>项目基本情况!S2</f>
        <v>北京市房地产</v>
      </c>
      <c r="B2" s="3129"/>
      <c r="C2" s="3129"/>
      <c r="D2" s="3129"/>
      <c r="E2" s="3129"/>
      <c r="F2" s="3129"/>
      <c r="G2" s="3129"/>
      <c r="H2" s="3129"/>
      <c r="I2" s="3130"/>
    </row>
    <row r="3" spans="1:12" ht="12.75">
      <c r="A3" s="3131" t="s">
        <v>2119</v>
      </c>
      <c r="B3" s="3132"/>
      <c r="C3" s="3132"/>
      <c r="D3" s="3132"/>
      <c r="E3" s="3132"/>
      <c r="F3" s="3132"/>
      <c r="G3" s="3132"/>
      <c r="H3" s="3132"/>
      <c r="I3" s="3132"/>
    </row>
    <row r="4" spans="1:12" ht="14.25">
      <c r="A4" s="2425" t="s">
        <v>2120</v>
      </c>
      <c r="B4" s="2426" t="s">
        <v>2121</v>
      </c>
      <c r="C4" s="2427" t="s">
        <v>3083</v>
      </c>
      <c r="D4" s="2427" t="s">
        <v>3063</v>
      </c>
      <c r="E4" s="3112" t="s">
        <v>2122</v>
      </c>
      <c r="F4" s="3125"/>
      <c r="G4" s="3125"/>
      <c r="H4" s="3125"/>
      <c r="I4" s="311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2123</v>
      </c>
      <c r="B5" s="3029">
        <v>25</v>
      </c>
      <c r="C5" s="3133">
        <v>2</v>
      </c>
      <c r="D5" s="3121">
        <f>10-C5</f>
        <v>8</v>
      </c>
      <c r="E5" s="140" t="s">
        <v>2124</v>
      </c>
      <c r="F5" s="2429"/>
      <c r="G5" s="2429"/>
      <c r="H5" s="2429"/>
      <c r="I5" s="1829"/>
    </row>
    <row r="6" spans="1:12" ht="12.75">
      <c r="A6" s="3103"/>
      <c r="B6" s="3029"/>
      <c r="C6" s="3135"/>
      <c r="D6" s="3121"/>
      <c r="E6" s="140" t="s">
        <v>2125</v>
      </c>
      <c r="F6" s="2429"/>
      <c r="G6" s="2429"/>
      <c r="H6" s="2429"/>
      <c r="I6" s="1829"/>
    </row>
    <row r="7" spans="1:12" ht="12.75">
      <c r="A7" s="3103"/>
      <c r="B7" s="3029"/>
      <c r="C7" s="3134"/>
      <c r="D7" s="3121"/>
      <c r="E7" s="140" t="s">
        <v>2126</v>
      </c>
      <c r="F7" s="2429"/>
      <c r="G7" s="2429"/>
      <c r="H7" s="2429"/>
      <c r="I7" s="1829"/>
    </row>
    <row r="8" spans="1:12" ht="12.75">
      <c r="A8" s="3103" t="s">
        <v>2127</v>
      </c>
      <c r="B8" s="3029">
        <v>15</v>
      </c>
      <c r="C8" s="3133"/>
      <c r="D8" s="3121"/>
      <c r="E8" s="140" t="s">
        <v>2128</v>
      </c>
      <c r="F8" s="2429"/>
      <c r="G8" s="2429"/>
      <c r="H8" s="2429"/>
      <c r="I8" s="1829"/>
    </row>
    <row r="9" spans="1:12" ht="12.75">
      <c r="A9" s="3103"/>
      <c r="B9" s="3029"/>
      <c r="C9" s="3134"/>
      <c r="D9" s="3121"/>
      <c r="E9" s="140" t="s">
        <v>2129</v>
      </c>
      <c r="F9" s="2429"/>
      <c r="G9" s="2429"/>
      <c r="H9" s="2429"/>
      <c r="I9" s="1829"/>
    </row>
    <row r="10" spans="1:12" ht="12.75">
      <c r="A10" s="3103" t="s">
        <v>2130</v>
      </c>
      <c r="B10" s="3029">
        <v>15</v>
      </c>
      <c r="C10" s="3133"/>
      <c r="D10" s="3121"/>
      <c r="E10" s="140" t="s">
        <v>2131</v>
      </c>
      <c r="F10" s="2429"/>
      <c r="G10" s="2429"/>
      <c r="H10" s="2429"/>
      <c r="I10" s="1829"/>
    </row>
    <row r="11" spans="1:12" ht="12.75">
      <c r="A11" s="3103"/>
      <c r="B11" s="3029"/>
      <c r="C11" s="3134"/>
      <c r="D11" s="3121"/>
      <c r="E11" s="140" t="s">
        <v>2132</v>
      </c>
      <c r="F11" s="2429"/>
      <c r="G11" s="2429"/>
      <c r="H11" s="2429"/>
      <c r="I11" s="1829"/>
    </row>
    <row r="12" spans="1:12" ht="12.75">
      <c r="A12" s="3103" t="s">
        <v>2133</v>
      </c>
      <c r="B12" s="3029">
        <v>15</v>
      </c>
      <c r="C12" s="3133"/>
      <c r="D12" s="3121"/>
      <c r="E12" s="140" t="s">
        <v>2134</v>
      </c>
      <c r="F12" s="2429"/>
      <c r="G12" s="2429"/>
      <c r="H12" s="2429"/>
      <c r="I12" s="1829"/>
    </row>
    <row r="13" spans="1:12" ht="12.75">
      <c r="A13" s="3103"/>
      <c r="B13" s="3029"/>
      <c r="C13" s="3134"/>
      <c r="D13" s="3121"/>
      <c r="E13" s="140" t="s">
        <v>2135</v>
      </c>
      <c r="F13" s="2429"/>
      <c r="G13" s="2429"/>
      <c r="H13" s="2429"/>
      <c r="I13" s="1829"/>
    </row>
    <row r="14" spans="1:12" ht="12.75">
      <c r="A14" s="3103" t="s">
        <v>2136</v>
      </c>
      <c r="B14" s="3029">
        <v>30</v>
      </c>
      <c r="C14" s="3133"/>
      <c r="D14" s="3121"/>
      <c r="E14" s="140" t="s">
        <v>2137</v>
      </c>
      <c r="F14" s="2429"/>
      <c r="G14" s="2429"/>
      <c r="H14" s="2429"/>
      <c r="I14" s="1829"/>
    </row>
    <row r="15" spans="1:12" ht="12.75">
      <c r="A15" s="3103"/>
      <c r="B15" s="3029"/>
      <c r="C15" s="3135"/>
      <c r="D15" s="3121"/>
      <c r="E15" s="140" t="s">
        <v>2138</v>
      </c>
      <c r="F15" s="2429"/>
      <c r="G15" s="2429"/>
      <c r="H15" s="2429"/>
      <c r="I15" s="1829"/>
    </row>
    <row r="16" spans="1:12" ht="12.75">
      <c r="A16" s="3103"/>
      <c r="B16" s="3029"/>
      <c r="C16" s="3134"/>
      <c r="D16" s="3121"/>
      <c r="E16" s="140" t="s">
        <v>2139</v>
      </c>
      <c r="F16" s="2429"/>
      <c r="G16" s="2429"/>
      <c r="H16" s="2429"/>
      <c r="I16" s="1829"/>
    </row>
    <row r="17" spans="1:35" ht="15">
      <c r="A17" s="2430" t="s">
        <v>2140</v>
      </c>
      <c r="B17" s="64"/>
      <c r="C17" s="141">
        <f>SUM(C5:C16)</f>
        <v>2</v>
      </c>
      <c r="D17" s="141">
        <f>SUM(D5:D16)</f>
        <v>8</v>
      </c>
      <c r="E17" s="138"/>
      <c r="F17" s="138"/>
      <c r="G17" s="138"/>
      <c r="H17" s="138"/>
      <c r="I17" s="138"/>
      <c r="K17" s="2428"/>
      <c r="L17" s="2431" t="s">
        <v>2141</v>
      </c>
      <c r="M17" s="2431" t="s">
        <v>2142</v>
      </c>
    </row>
    <row r="18" spans="1:35" ht="15.75" thickBot="1">
      <c r="A18" s="2432" t="s">
        <v>2143</v>
      </c>
      <c r="B18" s="2433"/>
      <c r="C18" s="142">
        <f>ROUND(C17/SUM(C17:D17),2)</f>
        <v>0.2</v>
      </c>
      <c r="D18" s="142">
        <f>1-C18</f>
        <v>0.8</v>
      </c>
      <c r="E18" s="138"/>
      <c r="F18" s="138"/>
      <c r="G18" s="138"/>
      <c r="H18" s="138"/>
      <c r="I18" s="138"/>
      <c r="K18" s="2428" t="s">
        <v>2144</v>
      </c>
      <c r="L18" s="2428">
        <f>IF(C1="",'数据-汇总表'!E3,SUMIF(项目类型,C1,'数据-汇总表'!E17:E26)+SUMIF(项目类型,C1,'数据-汇总表'!I17:I26))</f>
        <v>81.84</v>
      </c>
      <c r="M18" s="2428">
        <f>IF(C1="",'数据-汇总表'!E3,SUMIF(项目类型,C1,'数据-汇总表'!E17:E26))</f>
        <v>81.84</v>
      </c>
    </row>
    <row r="19" spans="1:35" ht="15">
      <c r="A19" s="2434" t="s">
        <v>2145</v>
      </c>
      <c r="B19" s="2435" t="s">
        <v>2146</v>
      </c>
      <c r="C19" s="143">
        <f ca="1">SUMIF(INDIRECT("'"&amp;C4&amp;"'"&amp;"!A:A"),结果表!B19,INDIRECT("'"&amp;C4&amp;"'"&amp;"!B:B"))</f>
        <v>62</v>
      </c>
      <c r="D19" s="144">
        <f ca="1">SUMIF(INDIRECT("'"&amp;D4&amp;"'"&amp;"!A:A"),结果表!B19,INDIRECT("'"&amp;D4&amp;"'"&amp;"!B:B"))</f>
        <v>98</v>
      </c>
      <c r="E19" s="2434" t="s">
        <v>2147</v>
      </c>
      <c r="F19" s="2435" t="s">
        <v>2146</v>
      </c>
      <c r="G19" s="145">
        <f ca="1">ROUND(C19*$C$18+D19*$D$18,0)</f>
        <v>91</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6" t="s">
        <v>2150</v>
      </c>
      <c r="C20" s="146">
        <f ca="1">SUMIF(INDIRECT("'"&amp;C4&amp;"'"&amp;"!A:A"),结果表!B20,INDIRECT("'"&amp;C4&amp;"'"&amp;"!B:B"))</f>
        <v>7520</v>
      </c>
      <c r="D20" s="147">
        <f ca="1">SUMIF(INDIRECT("'"&amp;D4&amp;"'"&amp;"!A:A"),结果表!B20,INDIRECT("'"&amp;D4&amp;"'"&amp;"!B:B"))</f>
        <v>12033</v>
      </c>
      <c r="E20" s="2437"/>
      <c r="F20" s="1246" t="s">
        <v>2150</v>
      </c>
      <c r="G20" s="148">
        <f ca="1">ROUND(C20*$C$18+D20*$D$18,0)</f>
        <v>11130</v>
      </c>
      <c r="H20" s="979" t="s">
        <v>2151</v>
      </c>
      <c r="I20" s="138"/>
    </row>
    <row r="21" spans="1:35" ht="15" customHeight="1" thickBot="1">
      <c r="A21" s="999"/>
      <c r="B21" s="2438" t="s">
        <v>2152</v>
      </c>
      <c r="C21" s="788" t="e">
        <f ca="1">ROUND(C19*10000/L19,0)</f>
        <v>#DIV/0!</v>
      </c>
      <c r="D21" s="789" t="e">
        <f ca="1">ROUND(D19*10000/L19,0)</f>
        <v>#DIV/0!</v>
      </c>
      <c r="E21" s="999"/>
      <c r="F21" s="2438" t="s">
        <v>2152</v>
      </c>
      <c r="G21" s="149" t="e">
        <f ca="1">ROUND(G19*10000/L19,0)</f>
        <v>#DIV/0!</v>
      </c>
      <c r="H21" s="2439" t="s">
        <v>2151</v>
      </c>
      <c r="I21" s="138"/>
    </row>
    <row r="22" spans="1:35" ht="15" thickBot="1">
      <c r="A22" s="2280" t="s">
        <v>2153</v>
      </c>
      <c r="B22" s="2440"/>
      <c r="C22" s="2441"/>
      <c r="D22" s="790">
        <f ca="1">IF(C19&lt;D19,D19/C19-1,C19/D19-1)</f>
        <v>0.58064516129032251</v>
      </c>
      <c r="E22" s="138"/>
      <c r="F22" s="138"/>
      <c r="G22" s="138"/>
      <c r="H22" s="138"/>
      <c r="I22" s="138"/>
    </row>
    <row r="23" spans="1:35" ht="13.5" thickBot="1">
      <c r="A23" s="2418"/>
      <c r="B23" s="2418"/>
      <c r="C23" s="2418"/>
      <c r="D23" s="2418"/>
      <c r="E23" s="138"/>
      <c r="F23" s="138"/>
      <c r="G23" s="138"/>
      <c r="H23" s="138"/>
      <c r="I23" s="138"/>
    </row>
    <row r="24" spans="1:35" ht="14.25">
      <c r="A24" s="3142" t="s">
        <v>2154</v>
      </c>
      <c r="B24" s="2435" t="s">
        <v>2146</v>
      </c>
      <c r="C24" s="145">
        <f>IF(B30=0,0,D30)</f>
        <v>0</v>
      </c>
      <c r="D24" s="2442"/>
      <c r="E24" s="138"/>
      <c r="F24" s="138"/>
      <c r="G24" s="138"/>
      <c r="H24" s="138"/>
      <c r="I24" s="138"/>
    </row>
    <row r="25" spans="1:35" ht="14.25">
      <c r="A25" s="3143"/>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3031</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2160</v>
      </c>
      <c r="B32" s="2448"/>
      <c r="C32" s="153">
        <f ca="1">IF(D32="总价",G19-C24,G20-C25)</f>
        <v>91</v>
      </c>
      <c r="D32" s="2449" t="s">
        <v>2161</v>
      </c>
      <c r="E32" s="138"/>
      <c r="F32" s="138"/>
      <c r="G32" s="138"/>
      <c r="H32" s="138"/>
      <c r="I32" s="138"/>
    </row>
    <row r="33" spans="1:15" ht="15">
      <c r="A33" s="956"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2165</v>
      </c>
      <c r="F34" s="1734"/>
      <c r="G34" s="138"/>
      <c r="H34" s="138"/>
      <c r="I34" s="138"/>
    </row>
    <row r="35" spans="1:15" ht="15.75" thickBot="1">
      <c r="A35" s="2458"/>
      <c r="B35" s="2459"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22" t="s">
        <v>2168</v>
      </c>
      <c r="B36" s="2461" t="s">
        <v>2169</v>
      </c>
      <c r="C36" s="154"/>
      <c r="D36" s="2462"/>
      <c r="E36" s="2463"/>
      <c r="F36" s="2464"/>
      <c r="G36" s="138"/>
      <c r="H36" s="138"/>
      <c r="I36" s="138"/>
    </row>
    <row r="37" spans="1:15" ht="15.75" thickBot="1">
      <c r="A37" s="3123"/>
      <c r="B37" s="2266" t="s">
        <v>2170</v>
      </c>
      <c r="C37" s="156"/>
      <c r="D37" s="1391"/>
      <c r="E37" s="1391"/>
      <c r="F37" s="2464"/>
      <c r="G37" s="138"/>
      <c r="H37" s="138"/>
      <c r="I37" s="138"/>
    </row>
    <row r="38" spans="1:15" ht="15.75" thickBot="1">
      <c r="A38" s="3124"/>
      <c r="B38" s="2465" t="s">
        <v>2171</v>
      </c>
      <c r="C38" s="726"/>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39" t="s">
        <v>2182</v>
      </c>
      <c r="B45" s="3140"/>
      <c r="C45" s="3141"/>
      <c r="D45" s="164">
        <f ca="1">ROUND(H101*F45,0)</f>
        <v>91</v>
      </c>
      <c r="E45" s="165" t="s">
        <v>2183</v>
      </c>
      <c r="F45" s="166">
        <v>1</v>
      </c>
      <c r="G45" s="167" t="s">
        <v>2184</v>
      </c>
      <c r="H45" s="138"/>
      <c r="I45" s="138"/>
      <c r="J45" s="3058" t="s">
        <v>2185</v>
      </c>
      <c r="K45" s="3058"/>
      <c r="L45" s="3058"/>
      <c r="M45" s="3058"/>
      <c r="N45" s="3058"/>
      <c r="O45" s="3058"/>
    </row>
    <row r="46" spans="1:15" ht="14.25" customHeight="1">
      <c r="A46" s="3136" t="s">
        <v>2186</v>
      </c>
      <c r="B46" s="3137"/>
      <c r="C46" s="3137"/>
      <c r="D46" s="3137"/>
      <c r="E46" s="3137"/>
      <c r="F46" s="3137"/>
      <c r="G46" s="3138"/>
      <c r="H46" s="2480"/>
      <c r="I46" s="168"/>
      <c r="J46" s="1807">
        <v>1</v>
      </c>
      <c r="K46" s="3058" t="s">
        <v>2187</v>
      </c>
      <c r="L46" s="3058"/>
      <c r="M46" s="3059"/>
      <c r="N46" s="3059"/>
      <c r="O46" s="3059"/>
    </row>
    <row r="47" spans="1:15" ht="12" customHeight="1">
      <c r="A47" s="169" t="s">
        <v>2188</v>
      </c>
      <c r="B47" s="170"/>
      <c r="C47" s="171"/>
      <c r="D47" s="172" t="s">
        <v>2189</v>
      </c>
      <c r="E47" s="24" t="s">
        <v>2190</v>
      </c>
      <c r="F47" s="173" t="s">
        <v>2191</v>
      </c>
      <c r="G47" s="174" t="s">
        <v>2192</v>
      </c>
      <c r="H47" s="2480"/>
      <c r="I47" s="168"/>
      <c r="J47" s="1807">
        <v>2</v>
      </c>
      <c r="K47" s="3058" t="s">
        <v>2193</v>
      </c>
      <c r="L47" s="3058"/>
      <c r="M47" s="3060">
        <f>'数据-取费表'!B2</f>
        <v>43643</v>
      </c>
      <c r="N47" s="3060"/>
      <c r="O47" s="3060"/>
    </row>
    <row r="48" spans="1:15" ht="25.5">
      <c r="A48" s="3126" t="s">
        <v>2194</v>
      </c>
      <c r="B48" s="3127"/>
      <c r="C48" s="3127"/>
      <c r="D48" s="140">
        <f>IF(H48="情况1",0,IF(H48="情况2",D52,IF(H48="情况3",D53,IF(H48="情况4",D54))))</f>
        <v>0</v>
      </c>
      <c r="E48" s="1796" t="str">
        <f>IF(H48="情况4","(销售额-原购置价)×税（费）率","销售额×税（费）率")</f>
        <v>销售额×税（费）率</v>
      </c>
      <c r="F48" s="175" t="str">
        <f>IF(H48="情况1","免征",'数据-取费表'!B41)</f>
        <v>免征</v>
      </c>
      <c r="G48" s="2481" t="s">
        <v>2195</v>
      </c>
      <c r="H48" s="2482" t="s">
        <v>2196</v>
      </c>
      <c r="I48" s="2480"/>
      <c r="J48" s="1807">
        <v>3</v>
      </c>
      <c r="K48" s="3058" t="s">
        <v>2197</v>
      </c>
      <c r="L48" s="3058"/>
      <c r="M48" s="3061">
        <f ca="1">H101</f>
        <v>91</v>
      </c>
      <c r="N48" s="3061"/>
      <c r="O48" s="3061"/>
    </row>
    <row r="49" spans="1:35" ht="25.5" customHeight="1">
      <c r="A49" s="176" t="s">
        <v>2198</v>
      </c>
      <c r="B49" s="3106" t="s">
        <v>2199</v>
      </c>
      <c r="C49" s="3106"/>
      <c r="D49" s="177">
        <v>0</v>
      </c>
      <c r="E49" s="23" t="s">
        <v>2200</v>
      </c>
      <c r="F49" s="28" t="s">
        <v>34</v>
      </c>
      <c r="G49" s="3087"/>
      <c r="H49" s="138"/>
      <c r="I49" s="2483"/>
      <c r="J49" s="1807">
        <v>4</v>
      </c>
      <c r="K49" s="3058" t="str">
        <f>IF(项目基本情况!E8="房地产抵押价值","房地产抵押价值","抵押担保权已注销时的房地产抵押价值")</f>
        <v>抵押担保权已注销时的房地产抵押价值</v>
      </c>
      <c r="L49" s="3058"/>
      <c r="M49" s="3061" t="str">
        <f>IF(项目基本情况!E8="房地产抵押价值",H107,H109)</f>
        <v>——</v>
      </c>
      <c r="N49" s="3061"/>
      <c r="O49" s="3061"/>
    </row>
    <row r="50" spans="1:35" ht="25.5" customHeight="1">
      <c r="A50" s="178"/>
      <c r="B50" s="3106" t="s">
        <v>2201</v>
      </c>
      <c r="C50" s="3106"/>
      <c r="D50" s="179"/>
      <c r="E50" s="31"/>
      <c r="F50" s="180"/>
      <c r="G50" s="3088"/>
      <c r="H50" s="138"/>
      <c r="I50" s="2483"/>
      <c r="J50" s="3058" t="s">
        <v>2202</v>
      </c>
      <c r="K50" s="3058"/>
      <c r="L50" s="3058"/>
      <c r="M50" s="3058"/>
      <c r="N50" s="3058"/>
      <c r="O50" s="3058"/>
    </row>
    <row r="51" spans="1:35" ht="12" customHeight="1">
      <c r="A51" s="181"/>
      <c r="B51" s="3106" t="s">
        <v>2203</v>
      </c>
      <c r="C51" s="3106"/>
      <c r="D51" s="182"/>
      <c r="E51" s="30"/>
      <c r="F51" s="180"/>
      <c r="G51" s="3089"/>
      <c r="H51" s="138"/>
      <c r="I51" s="2483"/>
      <c r="J51" s="2484" t="s">
        <v>2204</v>
      </c>
      <c r="K51" s="3058" t="s">
        <v>2205</v>
      </c>
      <c r="L51" s="3058"/>
      <c r="M51" s="2484" t="s">
        <v>2206</v>
      </c>
      <c r="N51" s="2484" t="s">
        <v>2207</v>
      </c>
      <c r="O51" s="2484" t="s">
        <v>2208</v>
      </c>
    </row>
    <row r="52" spans="1:35" ht="24" customHeight="1">
      <c r="A52" s="183" t="s">
        <v>2209</v>
      </c>
      <c r="B52" s="3106" t="s">
        <v>2210</v>
      </c>
      <c r="C52" s="3106"/>
      <c r="D52" s="182">
        <f ca="1">ROUND(D45*'数据-取费表'!B41/(1+'数据-取费表'!C42),0)</f>
        <v>5</v>
      </c>
      <c r="E52" s="11" t="s">
        <v>2211</v>
      </c>
      <c r="F52" s="184">
        <f>'数据-取费表'!B41</f>
        <v>5.5000000000000007E-2</v>
      </c>
      <c r="G52" s="2485"/>
      <c r="H52" s="138"/>
      <c r="I52" s="2483"/>
      <c r="J52" s="1807">
        <v>1</v>
      </c>
      <c r="K52" s="3081" t="s">
        <v>2212</v>
      </c>
      <c r="L52" s="3081"/>
      <c r="M52" s="1749">
        <f>D48</f>
        <v>0</v>
      </c>
      <c r="N52" s="1807" t="str">
        <f>E48</f>
        <v>销售额×税（费）率</v>
      </c>
      <c r="O52" s="1750" t="str">
        <f>F48</f>
        <v>免征</v>
      </c>
    </row>
    <row r="53" spans="1:35" ht="12" customHeight="1">
      <c r="A53" s="183" t="s">
        <v>2213</v>
      </c>
      <c r="B53" s="3107" t="s">
        <v>2214</v>
      </c>
      <c r="C53" s="3108"/>
      <c r="D53" s="182">
        <f ca="1">ROUND(D45*'数据-取费表'!B41/(1+'数据-取费表'!C42),0)</f>
        <v>5</v>
      </c>
      <c r="E53" s="11" t="s">
        <v>2211</v>
      </c>
      <c r="F53" s="184">
        <f>'数据-取费表'!B41</f>
        <v>5.5000000000000007E-2</v>
      </c>
      <c r="G53" s="2485"/>
      <c r="H53" s="138"/>
      <c r="I53" s="2483"/>
      <c r="J53" s="1807">
        <v>2</v>
      </c>
      <c r="K53" s="3081" t="s">
        <v>2215</v>
      </c>
      <c r="L53" s="3081"/>
      <c r="M53" s="1749">
        <f t="shared" ref="M53:O54" ca="1" si="0">D55</f>
        <v>0</v>
      </c>
      <c r="N53" s="1807" t="str">
        <f t="shared" si="0"/>
        <v>销售额×税（费）率</v>
      </c>
      <c r="O53" s="1750">
        <f t="shared" si="0"/>
        <v>5.0000000000000001E-4</v>
      </c>
    </row>
    <row r="54" spans="1:35" ht="12" customHeight="1">
      <c r="A54" s="183" t="s">
        <v>2216</v>
      </c>
      <c r="B54" s="3107" t="s">
        <v>2217</v>
      </c>
      <c r="C54" s="3108"/>
      <c r="D54" s="182">
        <f ca="1">C68</f>
        <v>5</v>
      </c>
      <c r="E54" s="30" t="s">
        <v>2218</v>
      </c>
      <c r="F54" s="184">
        <f>'数据-取费表'!B41</f>
        <v>5.5000000000000007E-2</v>
      </c>
      <c r="G54" s="2485"/>
      <c r="H54" s="2486"/>
      <c r="I54" s="2483"/>
      <c r="J54" s="1807">
        <v>3</v>
      </c>
      <c r="K54" s="3081" t="s">
        <v>2219</v>
      </c>
      <c r="L54" s="3081"/>
      <c r="M54" s="1749" t="e">
        <f t="shared" ca="1" si="0"/>
        <v>#DIV/0!</v>
      </c>
      <c r="N54" s="1807" t="str">
        <f t="shared" si="0"/>
        <v>增值额×税（费）率</v>
      </c>
      <c r="O54" s="1751" t="str">
        <f t="shared" si="0"/>
        <v>——</v>
      </c>
    </row>
    <row r="55" spans="1:35" ht="24" customHeight="1">
      <c r="A55" s="3145" t="s">
        <v>2220</v>
      </c>
      <c r="B55" s="3127"/>
      <c r="C55" s="3127"/>
      <c r="D55" s="185">
        <f ca="1">IF(H55="个人住宅",0,ROUND(D45*I55,0))</f>
        <v>0</v>
      </c>
      <c r="E55" s="11" t="s">
        <v>2221</v>
      </c>
      <c r="F55" s="184">
        <f>IF(H55="正常",I55,"免征")</f>
        <v>5.0000000000000001E-4</v>
      </c>
      <c r="G55" s="2485"/>
      <c r="H55" s="2482" t="s">
        <v>2222</v>
      </c>
      <c r="I55" s="186">
        <f>'数据-取费表'!B49</f>
        <v>5.0000000000000001E-4</v>
      </c>
      <c r="J55" s="1807" t="str">
        <f>IF(H59="非个人房产","",4)</f>
        <v/>
      </c>
      <c r="K55" s="3081" t="str">
        <f>IF(H59="非个人房产","——","个人所得税")</f>
        <v>——</v>
      </c>
      <c r="L55" s="3081"/>
      <c r="M55" s="1752" t="str">
        <f>D59</f>
        <v>——</v>
      </c>
      <c r="N55" s="1805" t="str">
        <f>E59</f>
        <v>——</v>
      </c>
      <c r="O55" s="1753" t="str">
        <f>F59</f>
        <v>——</v>
      </c>
    </row>
    <row r="56" spans="1:35" ht="24.75">
      <c r="A56" s="3145" t="s">
        <v>2223</v>
      </c>
      <c r="B56" s="3127"/>
      <c r="C56" s="3127"/>
      <c r="D56" s="185" t="e">
        <f ca="1">IF(H56="个人住宅",D57,D58)</f>
        <v>#DIV/0!</v>
      </c>
      <c r="E56" s="11" t="s">
        <v>2224</v>
      </c>
      <c r="F56" s="184" t="str">
        <f>IF(H56="正常",F58,"免征")</f>
        <v>——</v>
      </c>
      <c r="G56" s="2487" t="s">
        <v>2225</v>
      </c>
      <c r="H56" s="2488" t="s">
        <v>2222</v>
      </c>
      <c r="I56" s="2489"/>
      <c r="J56" s="1807" t="str">
        <f>IF(项目基本情况!K6="上海银行",IF(J55="",4,J55+1),"")</f>
        <v/>
      </c>
      <c r="K56" s="3064" t="str">
        <f>IF(项目基本情况!K6="上海银行","其他处置费用","")</f>
        <v/>
      </c>
      <c r="L56" s="3065"/>
      <c r="M56" s="1749" t="str">
        <f>IF(项目基本情况!K6="上海银行",M69,"")</f>
        <v/>
      </c>
      <c r="N56" s="3067" t="str">
        <f>IF(项目基本情况!K6="上海银行","包含处置中涉及的律师、诉讼、拍卖、评估等费用","")</f>
        <v/>
      </c>
      <c r="O56" s="3068"/>
    </row>
    <row r="57" spans="1:35" ht="12.75">
      <c r="A57" s="183" t="s">
        <v>2198</v>
      </c>
      <c r="B57" s="3112" t="s">
        <v>2226</v>
      </c>
      <c r="C57" s="3113"/>
      <c r="D57" s="187">
        <v>0</v>
      </c>
      <c r="E57" s="23" t="s">
        <v>2200</v>
      </c>
      <c r="F57" s="155"/>
      <c r="G57" s="2485"/>
      <c r="H57" s="2489"/>
      <c r="I57" s="2489"/>
      <c r="J57" s="3081">
        <f>IF(AND(J55="",J56=""),4,IF(项目基本情况!K6="上海银行",结果表!J56+1,结果表!J55+1))</f>
        <v>4</v>
      </c>
      <c r="K57" s="3081" t="s">
        <v>2227</v>
      </c>
      <c r="L57" s="2490" t="s">
        <v>2228</v>
      </c>
      <c r="M57" s="1754"/>
      <c r="N57" s="1755">
        <f ca="1">SUMIF(M52:M56,"&lt;9e307")</f>
        <v>0</v>
      </c>
      <c r="O57" s="2491"/>
      <c r="P57" s="1748" t="e">
        <f ca="1">N57/M49</f>
        <v>#VALUE!</v>
      </c>
    </row>
    <row r="58" spans="1:35" ht="24.75">
      <c r="A58" s="183" t="s">
        <v>2209</v>
      </c>
      <c r="B58" s="3112" t="s">
        <v>2229</v>
      </c>
      <c r="C58" s="3125"/>
      <c r="D58" s="185" t="e">
        <f ca="1">IF(H58="转让取得",C81,C97)</f>
        <v>#DIV/0!</v>
      </c>
      <c r="E58" s="11" t="s">
        <v>2224</v>
      </c>
      <c r="F58" s="24" t="s">
        <v>34</v>
      </c>
      <c r="G58" s="2485"/>
      <c r="H58" s="2488" t="s">
        <v>2230</v>
      </c>
      <c r="I58" s="2489"/>
      <c r="J58" s="3081"/>
      <c r="K58" s="3081"/>
      <c r="L58" s="2490" t="s">
        <v>2231</v>
      </c>
      <c r="M58" s="1756"/>
      <c r="N58" s="2492" t="str">
        <f ca="1">NUMBERSTRING(INT(N57*10000),2)&amp;"元整"</f>
        <v>零元整</v>
      </c>
      <c r="O58" s="2493"/>
    </row>
    <row r="59" spans="1:35" ht="24.75" thickBot="1">
      <c r="A59" s="3085" t="s">
        <v>2232</v>
      </c>
      <c r="B59" s="3086"/>
      <c r="C59" s="3086"/>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083">
        <f>J57+1</f>
        <v>5</v>
      </c>
      <c r="K59" s="3081" t="s">
        <v>2234</v>
      </c>
      <c r="L59" s="1807" t="s">
        <v>2228</v>
      </c>
      <c r="M59" s="1757"/>
      <c r="N59" s="1758" t="e">
        <f ca="1">M49-N57</f>
        <v>#VALUE!</v>
      </c>
      <c r="O59" s="2495"/>
    </row>
    <row r="60" spans="1:35" ht="12" customHeight="1">
      <c r="A60" s="2496"/>
      <c r="B60" s="2418"/>
      <c r="C60" s="2418"/>
      <c r="D60" s="2418"/>
      <c r="E60" s="2165"/>
      <c r="F60" s="2489"/>
      <c r="G60" s="2489"/>
      <c r="H60" s="2497"/>
      <c r="I60" s="138"/>
      <c r="J60" s="3084"/>
      <c r="K60" s="3081"/>
      <c r="L60" s="2490" t="s">
        <v>2231</v>
      </c>
      <c r="M60" s="1756"/>
      <c r="N60" s="2492" t="e">
        <f ca="1">NUMBERSTRING(INT(N59*10000),2)&amp;"元整"</f>
        <v>#VALUE!</v>
      </c>
      <c r="O60" s="2493"/>
    </row>
    <row r="61" spans="1:35" ht="13.5" thickBot="1">
      <c r="A61" s="3144" t="s">
        <v>2235</v>
      </c>
      <c r="B61" s="3144"/>
      <c r="C61" s="3144"/>
      <c r="D61" s="3144"/>
      <c r="E61" s="3144"/>
      <c r="F61" s="2489"/>
      <c r="G61" s="2489"/>
      <c r="H61" s="2497"/>
      <c r="I61" s="138"/>
      <c r="J61" s="1807">
        <f>J59+1</f>
        <v>6</v>
      </c>
      <c r="K61" s="3081" t="s">
        <v>2236</v>
      </c>
      <c r="L61" s="3081"/>
      <c r="M61" s="1759"/>
      <c r="N61" s="1760" t="e">
        <f ca="1">ROUND(N59*10000/'数据-汇总表'!E3,0)</f>
        <v>#VALUE!</v>
      </c>
      <c r="O61" s="2498"/>
    </row>
    <row r="62" spans="1:35" ht="12.75">
      <c r="A62" s="3101" t="s">
        <v>2237</v>
      </c>
      <c r="B62" s="3102"/>
      <c r="C62" s="1799"/>
      <c r="D62" s="1799" t="s">
        <v>2238</v>
      </c>
      <c r="E62" s="192" t="s">
        <v>2239</v>
      </c>
      <c r="F62" s="2489"/>
      <c r="G62" s="2489"/>
      <c r="H62" s="2497"/>
      <c r="I62" s="138"/>
    </row>
    <row r="63" spans="1:35" ht="12.75">
      <c r="A63" s="203" t="s">
        <v>775</v>
      </c>
      <c r="B63" s="193" t="s">
        <v>2240</v>
      </c>
      <c r="C63" s="194">
        <f ca="1">ROUND((C64+C65)/(1+'数据-取费表'!C42),0)</f>
        <v>87</v>
      </c>
      <c r="D63" s="195"/>
      <c r="E63" s="196"/>
      <c r="F63" s="2489"/>
      <c r="G63" s="2489"/>
      <c r="H63" s="2497"/>
      <c r="I63" s="138"/>
      <c r="J63" s="3066" t="s">
        <v>2241</v>
      </c>
      <c r="K63" s="2499" t="s">
        <v>2242</v>
      </c>
      <c r="L63" s="1747" t="e">
        <f>IF(M49&gt;10000,M49*0.5%,IF(AND(M49&gt;1000,M49&lt;=10000),M49*1%,IF(AND(M49&gt;100,M49&lt;=1000),M49*3%,IF(AND(M49&gt;10,M49&lt;=100),M49*5%,M49*8%))))</f>
        <v>#VALUE!</v>
      </c>
      <c r="M63" s="24" t="e">
        <f>ROUND(L63,1)</f>
        <v>#VALUE!</v>
      </c>
      <c r="Z63" s="2423"/>
      <c r="AI63" s="2424"/>
    </row>
    <row r="64" spans="1:35" ht="14.25" customHeight="1">
      <c r="A64" s="197" t="s">
        <v>770</v>
      </c>
      <c r="B64" s="198" t="s">
        <v>2243</v>
      </c>
      <c r="C64" s="199">
        <f ca="1">D45</f>
        <v>91</v>
      </c>
      <c r="D64" s="200" t="s">
        <v>32</v>
      </c>
      <c r="E64" s="201"/>
      <c r="F64" s="2489"/>
      <c r="G64" s="2489"/>
      <c r="H64" s="2497"/>
      <c r="I64" s="138"/>
      <c r="J64" s="3066"/>
      <c r="K64" s="2499" t="s">
        <v>2244</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3"/>
      <c r="AI64" s="2424"/>
    </row>
    <row r="65" spans="1:35" ht="14.25" customHeight="1">
      <c r="A65" s="197" t="s">
        <v>771</v>
      </c>
      <c r="B65" s="198" t="s">
        <v>2246</v>
      </c>
      <c r="C65" s="202"/>
      <c r="D65" s="200"/>
      <c r="E65" s="201"/>
      <c r="F65" s="2489"/>
      <c r="G65" s="2489"/>
      <c r="H65" s="2497"/>
      <c r="I65" s="138"/>
      <c r="J65" s="3066"/>
      <c r="K65" s="2499" t="s">
        <v>2247</v>
      </c>
      <c r="L65" s="1747" t="e">
        <f>IF(M49&gt;1000,M49*0.1%,IF(AND(M49&gt;500,M49&lt;=1000),M49*0.5%,IF(AND(M49&gt;50,M49&lt;=500),M49*1%,IF(AND(M49&gt;1,M49&lt;=50),M49*1.5%))))</f>
        <v>#VALUE!</v>
      </c>
      <c r="M65" s="24" t="e">
        <f t="shared" si="1"/>
        <v>#VALUE!</v>
      </c>
      <c r="N65" s="138" t="s">
        <v>2245</v>
      </c>
      <c r="Z65" s="2423"/>
      <c r="AI65" s="2424"/>
    </row>
    <row r="66" spans="1:35" ht="14.25" customHeight="1">
      <c r="A66" s="203" t="s">
        <v>772</v>
      </c>
      <c r="B66" s="204" t="s">
        <v>2248</v>
      </c>
      <c r="C66" s="205"/>
      <c r="D66" s="206" t="s">
        <v>32</v>
      </c>
      <c r="E66" s="1771" t="s">
        <v>1367</v>
      </c>
      <c r="F66" s="2489"/>
      <c r="G66" s="2489"/>
      <c r="H66" s="2497"/>
      <c r="I66" s="138"/>
      <c r="J66" s="3066"/>
      <c r="K66" s="2499" t="s">
        <v>2249</v>
      </c>
      <c r="L66" s="1747" t="e">
        <f>M49*0.5%</f>
        <v>#VALUE!</v>
      </c>
      <c r="M66" s="24" t="e">
        <f>IF(L66&gt;0.5,0.5,ROUND(L66,0))</f>
        <v>#VALUE!</v>
      </c>
      <c r="N66" s="138" t="s">
        <v>2250</v>
      </c>
      <c r="Z66" s="2423"/>
      <c r="AI66" s="2424"/>
    </row>
    <row r="67" spans="1:35" ht="14.25" customHeight="1">
      <c r="A67" s="203" t="s">
        <v>773</v>
      </c>
      <c r="B67" s="204" t="s">
        <v>2251</v>
      </c>
      <c r="C67" s="207">
        <f ca="1">C63-C66</f>
        <v>87</v>
      </c>
      <c r="D67" s="200" t="s">
        <v>32</v>
      </c>
      <c r="E67" s="201"/>
      <c r="F67" s="2489"/>
      <c r="G67" s="2489"/>
      <c r="H67" s="2497"/>
      <c r="I67" s="138"/>
      <c r="J67" s="3066"/>
      <c r="K67" s="2499"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2253</v>
      </c>
      <c r="C68" s="210">
        <f ca="1">IF(C67&lt;=0,0,ROUND(C67*D68,0))</f>
        <v>5</v>
      </c>
      <c r="D68" s="211">
        <f>'数据-取费表'!B41</f>
        <v>5.5000000000000007E-2</v>
      </c>
      <c r="E68" s="212"/>
      <c r="F68" s="2489"/>
      <c r="G68" s="2489"/>
      <c r="H68" s="2497"/>
      <c r="I68" s="138"/>
      <c r="J68" s="3066"/>
      <c r="K68" s="2499" t="s">
        <v>2254</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066"/>
      <c r="K69" s="2499" t="s">
        <v>2255</v>
      </c>
      <c r="L69" s="2505"/>
      <c r="M69" s="24" t="e">
        <f>ROUND(SUM(M63:M68),0)</f>
        <v>#VALUE!</v>
      </c>
      <c r="N69" s="1748" t="e">
        <f>M69/M49</f>
        <v>#VALUE!</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10" t="s">
        <v>2256</v>
      </c>
      <c r="B70" s="3111"/>
      <c r="C70" s="3111"/>
      <c r="D70" s="3111"/>
      <c r="E70" s="3111"/>
      <c r="F70" s="3111"/>
      <c r="G70" s="3111"/>
      <c r="H70" s="311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2237</v>
      </c>
      <c r="B71" s="3102"/>
      <c r="C71" s="1799"/>
      <c r="D71" s="1799"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87</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0</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07" t="s">
        <v>2265</v>
      </c>
      <c r="F76" s="3106"/>
      <c r="G76" s="3106"/>
      <c r="H76" s="310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0</v>
      </c>
      <c r="D78" s="226">
        <f>'数据-取费表'!B43</f>
        <v>5.000000000000001E-3</v>
      </c>
      <c r="E78" s="3098" t="s">
        <v>2270</v>
      </c>
      <c r="F78" s="3099"/>
      <c r="G78" s="3099"/>
      <c r="H78" s="310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87</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0" t="s">
        <v>2274</v>
      </c>
      <c r="B83" s="3111"/>
      <c r="C83" s="3111"/>
      <c r="D83" s="3111"/>
      <c r="E83" s="3111"/>
      <c r="F83" s="3111"/>
      <c r="G83" s="3111"/>
      <c r="H83" s="311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2237</v>
      </c>
      <c r="B84" s="3102"/>
      <c r="C84" s="1799"/>
      <c r="D84" s="1799"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87</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0</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5"/>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098" t="s">
        <v>2283</v>
      </c>
      <c r="F91" s="3099"/>
      <c r="G91" s="3099"/>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098" t="s">
        <v>2287</v>
      </c>
      <c r="F92" s="3099"/>
      <c r="G92" s="3099"/>
      <c r="H92" s="310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0</v>
      </c>
      <c r="D93" s="226">
        <f>'数据-取费表'!B43</f>
        <v>5.000000000000001E-3</v>
      </c>
      <c r="E93" s="3098" t="s">
        <v>2270</v>
      </c>
      <c r="F93" s="3099"/>
      <c r="G93" s="3099"/>
      <c r="H93" s="310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46" t="s">
        <v>2291</v>
      </c>
      <c r="F94" s="3147"/>
      <c r="G94" s="3147"/>
      <c r="H94" s="314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87</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50" t="s">
        <v>2293</v>
      </c>
      <c r="B100" s="3051"/>
      <c r="C100" s="3051"/>
      <c r="D100" s="3082"/>
      <c r="E100" s="3051" t="s">
        <v>2294</v>
      </c>
      <c r="F100" s="3051"/>
      <c r="G100" s="3051"/>
      <c r="H100" s="3082"/>
      <c r="I100" s="138"/>
    </row>
    <row r="101" spans="1:35" ht="18.75" customHeight="1">
      <c r="A101" s="3090" t="s">
        <v>2295</v>
      </c>
      <c r="B101" s="3091"/>
      <c r="C101" s="735" t="str">
        <f>C4</f>
        <v>成本法 (元)</v>
      </c>
      <c r="D101" s="736" t="str">
        <f>D4</f>
        <v>收益法 (元)</v>
      </c>
      <c r="E101" s="3062" t="s">
        <v>2296</v>
      </c>
      <c r="F101" s="3063"/>
      <c r="G101" s="2520" t="s">
        <v>2297</v>
      </c>
      <c r="H101" s="1044">
        <f ca="1">H118</f>
        <v>91</v>
      </c>
      <c r="I101" s="138"/>
    </row>
    <row r="102" spans="1:35" ht="18.75" customHeight="1">
      <c r="A102" s="3092" t="s">
        <v>2298</v>
      </c>
      <c r="B102" s="2520" t="s">
        <v>2297</v>
      </c>
      <c r="C102" s="735">
        <f ca="1">C19</f>
        <v>62</v>
      </c>
      <c r="D102" s="736">
        <f ca="1">D19</f>
        <v>98</v>
      </c>
      <c r="E102" s="3062"/>
      <c r="F102" s="3063"/>
      <c r="G102" s="2520" t="s">
        <v>2299</v>
      </c>
      <c r="H102" s="371">
        <f ca="1">I118</f>
        <v>11119</v>
      </c>
      <c r="I102" s="138"/>
    </row>
    <row r="103" spans="1:35" ht="42.75" customHeight="1">
      <c r="A103" s="3092"/>
      <c r="B103" s="2520" t="s">
        <v>2299</v>
      </c>
      <c r="C103" s="737">
        <f ca="1">C20</f>
        <v>7520</v>
      </c>
      <c r="D103" s="738">
        <f ca="1">D20</f>
        <v>12033</v>
      </c>
      <c r="E103" s="3056" t="s">
        <v>2300</v>
      </c>
      <c r="F103" s="3057"/>
      <c r="G103" s="2521" t="s">
        <v>2301</v>
      </c>
      <c r="H103" s="1044">
        <f>IF(D36="正常操作",H104+H105+H106,H105+H106)</f>
        <v>0</v>
      </c>
      <c r="I103" s="138"/>
    </row>
    <row r="104" spans="1:35" ht="18.75" customHeight="1">
      <c r="A104" s="3092" t="s">
        <v>2302</v>
      </c>
      <c r="B104" s="2522" t="s">
        <v>2297</v>
      </c>
      <c r="C104" s="739">
        <f ca="1">H118</f>
        <v>91</v>
      </c>
      <c r="D104" s="740"/>
      <c r="E104" s="2266" t="s">
        <v>2303</v>
      </c>
      <c r="F104" s="2257"/>
      <c r="G104" s="2521" t="s">
        <v>2301</v>
      </c>
      <c r="H104" s="1045">
        <f>IF(D36="同一抵押权人同一抵押物续贷",C36&amp;"（未扣减，详见特别提示）",C36)</f>
        <v>0</v>
      </c>
      <c r="I104" s="138"/>
    </row>
    <row r="105" spans="1:35" ht="18.75" customHeight="1" thickBot="1">
      <c r="A105" s="3104"/>
      <c r="B105" s="2523" t="s">
        <v>2299</v>
      </c>
      <c r="C105" s="741">
        <f ca="1">I118</f>
        <v>11119</v>
      </c>
      <c r="D105" s="742"/>
      <c r="E105" s="2266" t="s">
        <v>2304</v>
      </c>
      <c r="F105" s="2257"/>
      <c r="G105" s="2521" t="s">
        <v>2301</v>
      </c>
      <c r="H105" s="1045">
        <f>C37</f>
        <v>0</v>
      </c>
      <c r="I105" s="138"/>
    </row>
    <row r="106" spans="1:35" ht="18.75" customHeight="1">
      <c r="A106" s="2418" t="s">
        <v>2305</v>
      </c>
      <c r="B106" s="2418"/>
      <c r="C106" s="2418"/>
      <c r="D106" s="2418"/>
      <c r="E106" s="2524" t="s">
        <v>2306</v>
      </c>
      <c r="F106" s="2257"/>
      <c r="G106" s="2521" t="s">
        <v>2301</v>
      </c>
      <c r="H106" s="1045">
        <f>C38</f>
        <v>0</v>
      </c>
      <c r="I106" s="138"/>
    </row>
    <row r="107" spans="1:35" ht="18.75" customHeight="1">
      <c r="A107" s="138"/>
      <c r="B107" s="138"/>
      <c r="C107" s="138"/>
      <c r="D107" s="138"/>
      <c r="E107" s="3093" t="str">
        <f>IF(项目基本情况!E8="已注销","——","3.房地产抵押价值")</f>
        <v>3.房地产抵押价值</v>
      </c>
      <c r="F107" s="3063"/>
      <c r="G107" s="2520" t="s">
        <v>2297</v>
      </c>
      <c r="H107" s="1044">
        <f ca="1">IF(E107="——","——",H101-H103)</f>
        <v>91</v>
      </c>
      <c r="I107" s="138"/>
    </row>
    <row r="108" spans="1:35" ht="18.75" customHeight="1">
      <c r="A108" s="138"/>
      <c r="B108" s="138"/>
      <c r="C108" s="138"/>
      <c r="D108" s="138"/>
      <c r="E108" s="3093"/>
      <c r="F108" s="3063"/>
      <c r="G108" s="2520" t="s">
        <v>2299</v>
      </c>
      <c r="H108" s="371">
        <f ca="1">ROUND(H107*10000/'数据-汇总表'!E3,0)</f>
        <v>11119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0" t="s">
        <v>2297</v>
      </c>
      <c r="H109" s="348" t="str">
        <f>IF(E109="——","——",H101-H105-H106)</f>
        <v>——</v>
      </c>
      <c r="I109" s="138"/>
    </row>
    <row r="110" spans="1:35" ht="18.75" customHeight="1">
      <c r="A110" s="138"/>
      <c r="B110" s="138"/>
      <c r="C110" s="138"/>
      <c r="D110" s="138"/>
      <c r="E110" s="3093"/>
      <c r="F110" s="3063"/>
      <c r="G110" s="2520" t="s">
        <v>2299</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0" t="s">
        <v>2297</v>
      </c>
      <c r="H111" s="1044" t="str">
        <f>IF(E111="——","——",N59)</f>
        <v>——</v>
      </c>
      <c r="I111" s="138"/>
    </row>
    <row r="112" spans="1:35" ht="18.75" customHeight="1" thickBot="1">
      <c r="A112" s="138"/>
      <c r="B112" s="138"/>
      <c r="C112" s="138"/>
      <c r="D112" s="138"/>
      <c r="E112" s="3096"/>
      <c r="F112" s="3097"/>
      <c r="G112" s="2525" t="s">
        <v>2299</v>
      </c>
      <c r="H112" s="789" t="str">
        <f>IF(E111="——","——",N61)</f>
        <v>——</v>
      </c>
      <c r="I112" s="138"/>
    </row>
    <row r="113" spans="1:11" ht="18.75" customHeight="1">
      <c r="A113" s="138"/>
      <c r="B113" s="138"/>
      <c r="C113" s="138"/>
      <c r="D113" s="138"/>
      <c r="E113" s="3105" t="s">
        <v>2305</v>
      </c>
      <c r="F113" s="3105"/>
      <c r="G113" s="3105"/>
      <c r="H113" s="3105"/>
      <c r="I113" s="138"/>
    </row>
    <row r="114" spans="1:11" ht="3.75" customHeight="1">
      <c r="A114" s="2418"/>
      <c r="B114" s="2418"/>
      <c r="C114" s="2418"/>
      <c r="D114" s="2418"/>
      <c r="E114" s="2496"/>
      <c r="F114" s="2496"/>
      <c r="G114" s="2496"/>
      <c r="H114" s="2496"/>
      <c r="I114" s="2418"/>
    </row>
    <row r="115" spans="1:11" ht="18.75" customHeight="1">
      <c r="A115" s="3118" t="s">
        <v>2307</v>
      </c>
      <c r="B115" s="3119"/>
      <c r="C115" s="3119"/>
      <c r="D115" s="3119"/>
      <c r="E115" s="3119"/>
      <c r="F115" s="3119"/>
      <c r="G115" s="3119"/>
      <c r="H115" s="3119"/>
      <c r="I115" s="3120"/>
    </row>
    <row r="116" spans="1:11" ht="27" customHeight="1">
      <c r="A116" s="3029" t="s">
        <v>2308</v>
      </c>
      <c r="B116" s="3072" t="s">
        <v>2309</v>
      </c>
      <c r="C116" s="3072" t="s">
        <v>2310</v>
      </c>
      <c r="D116" s="3078" t="s">
        <v>2311</v>
      </c>
      <c r="E116" s="3079"/>
      <c r="F116" s="3114" t="s">
        <v>2312</v>
      </c>
      <c r="G116" s="3114"/>
      <c r="H116" s="3029" t="s">
        <v>2313</v>
      </c>
      <c r="I116" s="3029"/>
    </row>
    <row r="117" spans="1:11" ht="18.75" customHeight="1">
      <c r="A117" s="3029"/>
      <c r="B117" s="3073"/>
      <c r="C117" s="3073"/>
      <c r="D117" s="1793" t="s">
        <v>2314</v>
      </c>
      <c r="E117" s="1793" t="s">
        <v>2315</v>
      </c>
      <c r="F117" s="1793" t="s">
        <v>2314</v>
      </c>
      <c r="G117" s="1793" t="s">
        <v>2316</v>
      </c>
      <c r="H117" s="1793" t="s">
        <v>2314</v>
      </c>
      <c r="I117" s="1793" t="s">
        <v>2316</v>
      </c>
    </row>
    <row r="118" spans="1:11" ht="24.75" customHeight="1">
      <c r="A118" s="2526" t="str">
        <f>项目基本情况!S2</f>
        <v>北京市房地产</v>
      </c>
      <c r="B118" s="1793">
        <f>M18</f>
        <v>81.84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91</v>
      </c>
      <c r="I118" s="1793">
        <f ca="1">ROUND(IF(D32="楼面单价",C32,H118*10000/B118),0)</f>
        <v>11119</v>
      </c>
    </row>
    <row r="119" spans="1:11" ht="18.75" customHeight="1">
      <c r="A119" s="3029" t="s">
        <v>2317</v>
      </c>
      <c r="B119" s="3029"/>
      <c r="C119" s="3029"/>
      <c r="D119" s="3074" t="e">
        <f ca="1">NUMBERSTRING(INT(D118*10000),2)&amp;"元整"</f>
        <v>#REF!</v>
      </c>
      <c r="E119" s="3075"/>
      <c r="F119" s="3074" t="e">
        <f ca="1">NUMBERSTRING(INT(F118*10000),2)&amp;"元整"</f>
        <v>#REF!</v>
      </c>
      <c r="G119" s="3075"/>
      <c r="H119" s="3074" t="str">
        <f ca="1">NUMBERSTRING(INT(H118*10000),2)&amp;"元整"</f>
        <v>玖拾壹万元整</v>
      </c>
      <c r="I119" s="3075"/>
    </row>
    <row r="120" spans="1:11" ht="18.75" customHeight="1">
      <c r="A120" s="3069" t="str">
        <f>IF(项目基本情况!B9="房地产市场价值","",MID(E103,3,LEN(E103)-2))</f>
        <v/>
      </c>
      <c r="B120" s="3070"/>
      <c r="C120" s="3071"/>
      <c r="D120" s="3069">
        <f>H103</f>
        <v>0</v>
      </c>
      <c r="E120" s="3070"/>
      <c r="F120" s="3070"/>
      <c r="G120" s="3070"/>
      <c r="H120" s="3070"/>
      <c r="I120" s="3071"/>
      <c r="K120" s="2423" t="str">
        <f>IF(D120=0,"故，本次评估不存在"&amp;A120,"故，本次评估"&amp;A120&amp;"为人民币"&amp;D120&amp;"万元整。")</f>
        <v>故，本次评估不存在</v>
      </c>
    </row>
    <row r="121" spans="1:11" ht="18.75" customHeight="1">
      <c r="A121" s="3115" t="s">
        <v>2317</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f ca="1">H107</f>
        <v>91</v>
      </c>
      <c r="E122" s="3070"/>
      <c r="F122" s="3070"/>
      <c r="G122" s="3070"/>
      <c r="H122" s="3070"/>
      <c r="I122" s="3071"/>
    </row>
    <row r="123" spans="1:11" ht="18.75" customHeight="1">
      <c r="A123" s="3029" t="s">
        <v>2317</v>
      </c>
      <c r="B123" s="3029"/>
      <c r="C123" s="3029"/>
      <c r="D123" s="3074" t="str">
        <f ca="1">NUMBERSTRING(INT(D122*10000),2)&amp;"元整"</f>
        <v>玖拾壹万元整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2317</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2317</v>
      </c>
      <c r="B127" s="3029"/>
      <c r="C127" s="3029"/>
      <c r="D127" s="3074" t="e">
        <f>NUMBERSTRING(INT(D126*10000),2)&amp;"元整"</f>
        <v>#VALUE!</v>
      </c>
      <c r="E127" s="3076"/>
      <c r="F127" s="3076"/>
      <c r="G127" s="3076"/>
      <c r="H127" s="3076"/>
      <c r="I127" s="3075"/>
    </row>
    <row r="128" spans="1:11" ht="21.75" customHeight="1">
      <c r="A128" s="3077" t="s">
        <v>2318</v>
      </c>
      <c r="B128" s="3077"/>
      <c r="C128" s="3077"/>
      <c r="D128" s="3077"/>
      <c r="E128" s="3077"/>
      <c r="F128" s="3077"/>
      <c r="G128" s="3077"/>
      <c r="H128" s="3077"/>
      <c r="I128" s="3077"/>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2321</v>
      </c>
      <c r="G135" s="2544"/>
      <c r="H135" s="2544"/>
      <c r="I135" s="2545" t="s">
        <v>2322</v>
      </c>
    </row>
    <row r="136" spans="1:35" ht="21.75" customHeight="1">
      <c r="A136" s="794"/>
      <c r="B136" s="2546"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2324</v>
      </c>
    </row>
    <row r="139" spans="1:35" ht="21.75" customHeight="1">
      <c r="A139" s="794"/>
      <c r="B139" s="2546" t="s">
        <v>2325</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2324</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21882</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2673754</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15550</v>
      </c>
      <c r="D5" s="255" t="s">
        <v>2334</v>
      </c>
      <c r="E5" s="256" t="s">
        <v>2335</v>
      </c>
      <c r="F5" s="256" t="s">
        <v>2336</v>
      </c>
      <c r="G5" s="257"/>
    </row>
    <row r="6" spans="1:9" s="258" customFormat="1" ht="13.5" customHeight="1">
      <c r="A6" s="948" t="s">
        <v>2337</v>
      </c>
      <c r="B6" s="259" t="s">
        <v>2338</v>
      </c>
      <c r="C6" s="260"/>
      <c r="D6" s="261"/>
      <c r="E6" s="262"/>
      <c r="F6" s="262"/>
      <c r="G6" s="263"/>
    </row>
    <row r="7" spans="1:9" s="258" customFormat="1" ht="13.5" customHeight="1">
      <c r="A7" s="948" t="s">
        <v>2339</v>
      </c>
      <c r="B7" s="259" t="s">
        <v>2340</v>
      </c>
      <c r="C7" s="264">
        <f>ROUND(C6*F7,0)</f>
        <v>0</v>
      </c>
      <c r="D7" s="264"/>
      <c r="E7" s="262"/>
      <c r="F7" s="265">
        <f>IF(项目基本情况!B8="出让",0,'数据-取费表'!B48+'数据-取费表'!B49)</f>
        <v>3.0499999999999999E-2</v>
      </c>
      <c r="G7" s="263"/>
    </row>
    <row r="8" spans="1:9" s="267" customFormat="1">
      <c r="A8" s="948" t="s">
        <v>2341</v>
      </c>
      <c r="B8" s="259" t="s">
        <v>2342</v>
      </c>
      <c r="C8" s="264">
        <f ca="1">IF(G8="已包含在土地购买价格中","0",IF(B1="",'数据-取费表'!B29,IF(G9="全部缴纳",C9+C10,H9)))</f>
        <v>15550</v>
      </c>
      <c r="D8" s="266"/>
      <c r="E8" s="264"/>
      <c r="F8" s="265"/>
      <c r="G8" s="2552"/>
    </row>
    <row r="9" spans="1:9" s="258" customFormat="1" ht="13.5" customHeight="1">
      <c r="A9" s="949" t="s">
        <v>800</v>
      </c>
      <c r="B9" s="268" t="s">
        <v>2343</v>
      </c>
      <c r="C9" s="269">
        <f ca="1">ROUND(D9*E9/10000,0)</f>
        <v>0</v>
      </c>
      <c r="D9" s="1031">
        <f ca="1">IF(B1="",'数据-汇总表'!E5,IF(INDIRECT("'数据-取费表'!c"&amp;$G$1)="住宅",INDIRECT("'数据-取费表'!k"&amp;$G$1),0))</f>
        <v>0</v>
      </c>
      <c r="E9" s="269">
        <f>'数据-取费表'!B27</f>
        <v>150</v>
      </c>
      <c r="F9" s="265"/>
      <c r="G9" s="2553"/>
      <c r="H9" s="1389"/>
      <c r="I9" s="2554" t="s">
        <v>2344</v>
      </c>
    </row>
    <row r="10" spans="1:9" s="258" customFormat="1" ht="13.5" customHeight="1">
      <c r="A10" s="949" t="s">
        <v>801</v>
      </c>
      <c r="B10" s="268" t="s">
        <v>2345</v>
      </c>
      <c r="C10" s="269">
        <f ca="1">ROUND(D10*E10/10000,0)</f>
        <v>2</v>
      </c>
      <c r="D10" s="1031">
        <f ca="1">IF(B1="",'数据-汇总表'!E6,IF(INDIRECT("'数据-取费表'!c"&amp;$G$1)="住宅",INDIRECT("'数据-取费表'!s"&amp;$G$1),INDIRECT("'数据-取费表'!k"&amp;$G$1)+INDIRECT("'数据-取费表'!s"&amp;$G$1)))</f>
        <v>81.84</v>
      </c>
      <c r="E10" s="269">
        <f>'数据-取费表'!B28</f>
        <v>190</v>
      </c>
      <c r="F10" s="265"/>
      <c r="G10" s="270"/>
    </row>
    <row r="11" spans="1:9" s="258" customFormat="1" ht="13.5" hidden="1" customHeight="1">
      <c r="A11" s="271" t="s">
        <v>7</v>
      </c>
      <c r="B11" s="259" t="s">
        <v>2346</v>
      </c>
      <c r="C11" s="255"/>
      <c r="D11" s="1033"/>
      <c r="E11" s="262"/>
      <c r="F11" s="262"/>
      <c r="G11" s="263"/>
    </row>
    <row r="12" spans="1:9" s="258" customFormat="1" ht="13.5" hidden="1" customHeight="1">
      <c r="A12" s="271" t="s">
        <v>8</v>
      </c>
      <c r="B12" s="259" t="s">
        <v>2347</v>
      </c>
      <c r="C12" s="255">
        <v>0</v>
      </c>
      <c r="D12" s="1033"/>
      <c r="E12" s="272"/>
      <c r="F12" s="265">
        <v>3.0499999999999999E-2</v>
      </c>
      <c r="G12" s="263"/>
    </row>
    <row r="13" spans="1:9" s="258" customFormat="1" ht="13.5" hidden="1" customHeight="1">
      <c r="A13" s="271" t="s">
        <v>9</v>
      </c>
      <c r="B13" s="259" t="s">
        <v>2348</v>
      </c>
      <c r="C13" s="255"/>
      <c r="D13" s="1033"/>
      <c r="E13" s="262"/>
      <c r="F13" s="262"/>
      <c r="G13" s="263"/>
    </row>
    <row r="14" spans="1:9" s="258" customFormat="1" ht="13.5" hidden="1" customHeight="1">
      <c r="A14" s="271" t="s">
        <v>10</v>
      </c>
      <c r="B14" s="259" t="s">
        <v>2349</v>
      </c>
      <c r="C14" s="255"/>
      <c r="D14" s="1033"/>
      <c r="E14" s="262"/>
      <c r="F14" s="262"/>
      <c r="G14" s="263" t="s">
        <v>2350</v>
      </c>
    </row>
    <row r="15" spans="1:9" s="258" customFormat="1" ht="13.5" hidden="1" customHeight="1">
      <c r="A15" s="271" t="s">
        <v>11</v>
      </c>
      <c r="B15" s="259" t="s">
        <v>2351</v>
      </c>
      <c r="C15" s="264"/>
      <c r="D15" s="1033"/>
      <c r="E15" s="262"/>
      <c r="F15" s="262"/>
      <c r="G15" s="263" t="s">
        <v>2352</v>
      </c>
    </row>
    <row r="16" spans="1:9" s="258" customFormat="1" ht="13.5" hidden="1" customHeight="1">
      <c r="A16" s="271" t="s">
        <v>12</v>
      </c>
      <c r="B16" s="259" t="s">
        <v>2349</v>
      </c>
      <c r="C16" s="264"/>
      <c r="D16" s="1033"/>
      <c r="E16" s="262"/>
      <c r="F16" s="262"/>
      <c r="G16" s="263"/>
    </row>
    <row r="17" spans="1:7" s="258" customFormat="1" ht="13.5" hidden="1" customHeight="1">
      <c r="A17" s="271" t="s">
        <v>13</v>
      </c>
      <c r="B17" s="259" t="s">
        <v>2353</v>
      </c>
      <c r="C17" s="273"/>
      <c r="D17" s="1034"/>
      <c r="E17" s="273"/>
      <c r="F17" s="273"/>
      <c r="G17" s="263" t="s">
        <v>2352</v>
      </c>
    </row>
    <row r="18" spans="1:7" s="258" customFormat="1" ht="13.5" hidden="1" customHeight="1">
      <c r="A18" s="271" t="s">
        <v>14</v>
      </c>
      <c r="B18" s="259" t="s">
        <v>2354</v>
      </c>
      <c r="C18" s="264">
        <v>0</v>
      </c>
      <c r="D18" s="1033"/>
      <c r="E18" s="262"/>
      <c r="F18" s="265">
        <v>3.0499999999999999E-2</v>
      </c>
      <c r="G18" s="263" t="s">
        <v>2355</v>
      </c>
    </row>
    <row r="19" spans="1:7" s="267" customFormat="1" ht="13.5" customHeight="1">
      <c r="A19" s="299" t="s">
        <v>2356</v>
      </c>
      <c r="B19" s="254" t="s">
        <v>2357</v>
      </c>
      <c r="C19" s="255">
        <f ca="1">IF(G19="已包含在土地取得成本中","0",ROUND(D19*E19/10000,0))</f>
        <v>2</v>
      </c>
      <c r="D19" s="1035">
        <f ca="1">D9+D10</f>
        <v>81.84</v>
      </c>
      <c r="E19" s="255">
        <f>'数据-取费表'!B31</f>
        <v>200</v>
      </c>
      <c r="F19" s="275"/>
      <c r="G19" s="2552"/>
    </row>
    <row r="20" spans="1:7" s="258" customFormat="1" ht="13.5" customHeight="1">
      <c r="A20" s="299" t="s">
        <v>2358</v>
      </c>
      <c r="B20" s="254" t="s">
        <v>2359</v>
      </c>
      <c r="C20" s="276">
        <f ca="1">ROUND((C5+C19)*F20,0)</f>
        <v>311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1132</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0" t="s">
        <v>2367</v>
      </c>
      <c r="B23" s="259" t="s">
        <v>2368</v>
      </c>
      <c r="C23" s="1354">
        <f ca="1">ROUND(IF('数据-取费表'!B22&lt;=1,C5*F22*'数据-取费表'!B23,C5*(POWER((1+F22),'数据-取费表'!B23)-1)),0)</f>
        <v>1121</v>
      </c>
      <c r="D23" s="282"/>
      <c r="E23" s="282"/>
      <c r="F23" s="283"/>
      <c r="G23" s="284" t="s">
        <v>2369</v>
      </c>
    </row>
    <row r="24" spans="1:7" s="258" customFormat="1" ht="13.5" customHeight="1">
      <c r="A24" s="950" t="s">
        <v>2370</v>
      </c>
      <c r="B24" s="259" t="s">
        <v>2371</v>
      </c>
      <c r="C24" s="1354">
        <f ca="1">ROUND(IF('数据-取费表'!B22&lt;=1,C19*F22*('数据-取费表'!B19/2+'数据-取费表'!B21),C19*(POWER((1+F22),('数据-取费表'!B19/2+'数据-取费表'!B21))-1)),0)</f>
        <v>0</v>
      </c>
      <c r="D24" s="282"/>
      <c r="E24" s="282"/>
      <c r="F24" s="283"/>
      <c r="G24" s="284" t="s">
        <v>2372</v>
      </c>
    </row>
    <row r="25" spans="1:7" s="258" customFormat="1" ht="24">
      <c r="A25" s="950" t="s">
        <v>2373</v>
      </c>
      <c r="B25" s="259" t="s">
        <v>2374</v>
      </c>
      <c r="C25" s="1354">
        <f ca="1">ROUND(IF('数据-取费表'!B22&lt;=1,C20*F22*'数据-取费表'!B23/2,C20*(POWER((1+F22),'数据-取费表'!B23/2)-1)),0)</f>
        <v>11</v>
      </c>
      <c r="D25" s="282"/>
      <c r="E25" s="285"/>
      <c r="F25" s="283"/>
      <c r="G25" s="286" t="s">
        <v>2375</v>
      </c>
    </row>
    <row r="26" spans="1:7" s="258" customFormat="1">
      <c r="A26" s="950"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3173</v>
      </c>
      <c r="D27" s="279">
        <f ca="1">C29</f>
        <v>4.0000000000000001E-3</v>
      </c>
      <c r="E27" s="280" t="s">
        <v>2379</v>
      </c>
      <c r="F27" s="290">
        <f ca="1">IF(B1="",'数据-取费表'!Q16,INDIRECT("'数据-取费表'!q"&amp;$G$1))</f>
        <v>0.2</v>
      </c>
      <c r="G27" s="291" t="s">
        <v>2380</v>
      </c>
    </row>
    <row r="28" spans="1:7" s="258" customFormat="1" ht="13.5" customHeight="1">
      <c r="A28" s="950" t="s">
        <v>791</v>
      </c>
      <c r="B28" s="292" t="s">
        <v>2381</v>
      </c>
      <c r="C28" s="293">
        <f ca="1">ROUND((C5+C19+C20)*F27*'数据-取费表'!B21/'数据-取费表'!B20,0)</f>
        <v>3173</v>
      </c>
      <c r="D28" s="279"/>
      <c r="E28" s="280"/>
      <c r="F28" s="290"/>
      <c r="G28" s="291"/>
    </row>
    <row r="29" spans="1:7" s="258" customFormat="1" ht="13.5" customHeight="1">
      <c r="A29" s="950"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21853</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26</v>
      </c>
      <c r="D33" s="276"/>
      <c r="E33" s="256"/>
      <c r="F33" s="285"/>
      <c r="G33" s="278"/>
    </row>
    <row r="34" spans="1:7" s="302" customFormat="1" ht="13.5" customHeight="1">
      <c r="A34" s="950" t="s">
        <v>791</v>
      </c>
      <c r="B34" s="259" t="s">
        <v>2390</v>
      </c>
      <c r="C34" s="264">
        <f ca="1">IF(B1="",IF(F34=100%,'数据-取费表'!M16,'数据-取费表'!O16),IF(F34=100%,INDIRECT("'数据-取费表'!m"&amp;$G$1)+INDIRECT("'数据-取费表'!t"&amp;$G$1),INDIRECT("'数据-取费表'!o"&amp;$G$1)+INDIRECT("'数据-取费表'!aq"&amp;$G$1)))</f>
        <v>23</v>
      </c>
      <c r="D34" s="261"/>
      <c r="E34" s="264"/>
      <c r="F34" s="301">
        <f ca="1">IF('数据-取费表'!B24=0,1,IF(B1="",'数据-取费表'!N16,INDIRECT("'数据-取费表'!n"&amp;$G$1)))</f>
        <v>1</v>
      </c>
      <c r="G34" s="263" t="s">
        <v>2391</v>
      </c>
    </row>
    <row r="35" spans="1:7" ht="13.5" customHeight="1">
      <c r="A35" s="950" t="s">
        <v>796</v>
      </c>
      <c r="B35" s="259" t="s">
        <v>2392</v>
      </c>
      <c r="C35" s="264">
        <f ca="1">ROUND(C34*F35,0)</f>
        <v>1</v>
      </c>
      <c r="D35" s="264"/>
      <c r="E35" s="264"/>
      <c r="F35" s="303">
        <f>'数据-取费表'!B33</f>
        <v>0.03</v>
      </c>
      <c r="G35" s="263" t="s">
        <v>2393</v>
      </c>
    </row>
    <row r="36" spans="1:7" ht="24">
      <c r="A36" s="950"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0" t="s">
        <v>798</v>
      </c>
      <c r="B37" s="259" t="s">
        <v>2396</v>
      </c>
      <c r="C37" s="293">
        <f ca="1">ROUND(E37*D37*F34/10000,0)</f>
        <v>2</v>
      </c>
      <c r="D37" s="261">
        <f ca="1">D19</f>
        <v>81.84</v>
      </c>
      <c r="E37" s="293">
        <f>'数据-取费表'!B35</f>
        <v>200</v>
      </c>
      <c r="F37" s="303"/>
      <c r="G37" s="305" t="s">
        <v>2397</v>
      </c>
    </row>
    <row r="38" spans="1:7" ht="13.5" customHeight="1">
      <c r="A38" s="950"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1</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1</v>
      </c>
      <c r="D41" s="279">
        <f ca="1">C44</f>
        <v>6.9999999999999999E-4</v>
      </c>
      <c r="E41" s="280" t="s">
        <v>2404</v>
      </c>
      <c r="F41" s="281"/>
      <c r="G41" s="278" t="str">
        <f>IF('数据-取费表'!B22&lt;=1,"单利计息","复利计息")</f>
        <v>复利计息</v>
      </c>
    </row>
    <row r="42" spans="1:7" ht="13.5" customHeight="1">
      <c r="A42" s="950" t="s">
        <v>791</v>
      </c>
      <c r="B42" s="259" t="s">
        <v>2408</v>
      </c>
      <c r="C42" s="282">
        <f ca="1">ROUND(IF('数据-取费表'!B22&lt;=1,C33*F22*'数据-取费表'!B21/2,C33*(POWER((1+F22),'数据-取费表'!B21/2)-1)),0)</f>
        <v>1</v>
      </c>
      <c r="D42" s="282"/>
      <c r="E42" s="282"/>
      <c r="F42" s="283"/>
      <c r="G42" s="3149" t="s">
        <v>2409</v>
      </c>
    </row>
    <row r="43" spans="1:7" ht="13.5" customHeight="1">
      <c r="A43" s="950" t="s">
        <v>792</v>
      </c>
      <c r="B43" s="259" t="s">
        <v>2410</v>
      </c>
      <c r="C43" s="282">
        <f ca="1">ROUND(IF('数据-取费表'!B22&lt;=1,C39*F22*'数据-取费表'!B21/2,C39*(POWER((1+F22),'数据-取费表'!B21/2)-1)),0)</f>
        <v>0</v>
      </c>
      <c r="D43" s="282"/>
      <c r="E43" s="282"/>
      <c r="F43" s="283"/>
      <c r="G43" s="3150"/>
    </row>
    <row r="44" spans="1:7" ht="13.5" customHeight="1">
      <c r="A44" s="950" t="s">
        <v>793</v>
      </c>
      <c r="B44" s="259" t="s">
        <v>2411</v>
      </c>
      <c r="C44" s="282">
        <f ca="1">ROUND(IF('数据-取费表'!B22&lt;=1,C40*F22*'数据-取费表'!B21/2,C40*(POWER((1+F22),'数据-取费表'!B21/2)-1)),4)</f>
        <v>6.9999999999999999E-4</v>
      </c>
      <c r="D44" s="282"/>
      <c r="E44" s="282"/>
      <c r="F44" s="283"/>
      <c r="G44" s="3151"/>
    </row>
    <row r="45" spans="1:7" s="258" customFormat="1" ht="13.5" customHeight="1">
      <c r="A45" s="299" t="s">
        <v>2412</v>
      </c>
      <c r="B45" s="288" t="s">
        <v>2378</v>
      </c>
      <c r="C45" s="289">
        <f ca="1">C46</f>
        <v>5</v>
      </c>
      <c r="D45" s="279">
        <f ca="1">C47</f>
        <v>4.0000000000000001E-3</v>
      </c>
      <c r="E45" s="280" t="s">
        <v>2404</v>
      </c>
      <c r="F45" s="290"/>
      <c r="G45" s="291" t="s">
        <v>2413</v>
      </c>
    </row>
    <row r="46" spans="1:7" s="258" customFormat="1" ht="13.5" customHeight="1">
      <c r="A46" s="950" t="s">
        <v>791</v>
      </c>
      <c r="B46" s="292" t="s">
        <v>2414</v>
      </c>
      <c r="C46" s="293">
        <f ca="1">ROUND((C33+C39)*F27,0)</f>
        <v>5</v>
      </c>
      <c r="D46" s="307"/>
      <c r="E46" s="280"/>
      <c r="F46" s="290"/>
      <c r="G46" s="291"/>
    </row>
    <row r="47" spans="1:7" s="258" customFormat="1" ht="13.5" customHeight="1">
      <c r="A47" s="950" t="s">
        <v>792</v>
      </c>
      <c r="B47" s="292" t="s">
        <v>2415</v>
      </c>
      <c r="C47" s="282">
        <f ca="1">ROUND(C40*F27,4)</f>
        <v>4.0000000000000001E-3</v>
      </c>
      <c r="D47" s="307"/>
      <c r="E47" s="280"/>
      <c r="F47" s="290"/>
      <c r="G47" s="291"/>
    </row>
    <row r="48" spans="1:7" s="258" customFormat="1" ht="13.5" customHeight="1">
      <c r="A48" s="299" t="s">
        <v>2377</v>
      </c>
      <c r="B48" s="254" t="s">
        <v>2416</v>
      </c>
      <c r="C48" s="1726">
        <f>ROUND(F30/(1+'数据-取费表'!C42),4)</f>
        <v>5.2400000000000002E-2</v>
      </c>
      <c r="D48" s="280" t="s">
        <v>2404</v>
      </c>
      <c r="E48" s="276"/>
      <c r="F48" s="281"/>
      <c r="G48" s="278" t="s">
        <v>2417</v>
      </c>
    </row>
    <row r="49" spans="1:7" ht="16.5" customHeight="1">
      <c r="A49" s="299" t="s">
        <v>2383</v>
      </c>
      <c r="B49" s="254" t="s">
        <v>2418</v>
      </c>
      <c r="C49" s="276">
        <f ca="1">ROUND((C33+C39+C41+C45)/(1-C40-D41-D45-C48),0)</f>
        <v>36</v>
      </c>
      <c r="D49" s="276"/>
      <c r="E49" s="276"/>
      <c r="F49" s="308"/>
      <c r="G49" s="278" t="s">
        <v>2419</v>
      </c>
    </row>
    <row r="50" spans="1:7" s="302" customFormat="1" ht="24">
      <c r="A50" s="299" t="s">
        <v>2420</v>
      </c>
      <c r="B50" s="254" t="s">
        <v>2421</v>
      </c>
      <c r="C50" s="276"/>
      <c r="D50" s="276"/>
      <c r="E50" s="276"/>
      <c r="F50" s="308">
        <f>IF('数据-取费表'!B24=0,'数据-取费表'!N16,1)</f>
        <v>0.8</v>
      </c>
      <c r="G50" s="291" t="s">
        <v>2422</v>
      </c>
    </row>
    <row r="51" spans="1:7" ht="16.5" customHeight="1">
      <c r="A51" s="299" t="s">
        <v>2423</v>
      </c>
      <c r="B51" s="254" t="s">
        <v>2424</v>
      </c>
      <c r="C51" s="276">
        <f ca="1">ROUND(C49*F50,0)</f>
        <v>29</v>
      </c>
      <c r="D51" s="276"/>
      <c r="E51" s="276"/>
      <c r="F51" s="308"/>
      <c r="G51" s="278" t="s">
        <v>2425</v>
      </c>
    </row>
    <row r="52" spans="1:7" s="252" customFormat="1" ht="16.5" thickBot="1">
      <c r="A52" s="309" t="s">
        <v>2426</v>
      </c>
      <c r="B52" s="310"/>
      <c r="C52" s="311">
        <f ca="1">C31+C51</f>
        <v>21882</v>
      </c>
      <c r="D52" s="310"/>
      <c r="E52" s="310"/>
      <c r="F52" s="310"/>
      <c r="G52" s="312"/>
    </row>
    <row r="55" spans="1:7" ht="15">
      <c r="B55" s="314" t="s">
        <v>2427</v>
      </c>
      <c r="C55" s="315"/>
    </row>
    <row r="56" spans="1:7">
      <c r="B56" s="317" t="s">
        <v>1508</v>
      </c>
      <c r="C56" s="319">
        <f ca="1">1-C57</f>
        <v>0.999</v>
      </c>
    </row>
    <row r="57" spans="1:7">
      <c r="B57" s="317" t="s">
        <v>1509</v>
      </c>
      <c r="C57" s="318">
        <f ca="1">ROUND(C51/C52,3)</f>
        <v>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3" t="str">
        <f>项目基本情况!B1</f>
        <v>北京市房地产市场价值预评估</v>
      </c>
      <c r="C37" s="2963"/>
      <c r="D37" s="2963"/>
      <c r="E37" s="2963"/>
      <c r="F37" s="2963"/>
      <c r="G37" s="2963"/>
      <c r="H37" s="2963"/>
      <c r="I37" s="2963"/>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陈颖（注册号：1120060040)、杨红英（注册号：1120070085)</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6" sqref="F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1373</v>
      </c>
      <c r="D1" s="1818" t="s">
        <v>70</v>
      </c>
      <c r="E1" s="1819" t="s">
        <v>1382</v>
      </c>
      <c r="F1" s="1282">
        <f ca="1">J53</f>
        <v>30.5</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98</v>
      </c>
      <c r="C2" s="1843" t="s">
        <v>1586</v>
      </c>
      <c r="D2" s="1936">
        <f ca="1">C40+J29+L46</f>
        <v>984760</v>
      </c>
      <c r="E2" s="1844" t="s">
        <v>1587</v>
      </c>
      <c r="F2" s="1845"/>
      <c r="G2" s="1846"/>
      <c r="H2" s="1838"/>
      <c r="I2" s="1838"/>
      <c r="J2" s="1838"/>
      <c r="K2" s="1839"/>
      <c r="L2" s="1838"/>
      <c r="M2" s="1838"/>
    </row>
    <row r="3" spans="1:37" ht="18" customHeight="1" thickBot="1">
      <c r="A3" s="1847" t="s">
        <v>1588</v>
      </c>
      <c r="B3" s="2961">
        <f ca="1">IF(ISERROR(D2/F43),0,ROUND(D2/F43,0))</f>
        <v>12033</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45875</v>
      </c>
      <c r="D5" s="1820" t="s">
        <v>1596</v>
      </c>
      <c r="E5" s="1292"/>
      <c r="F5" s="1293"/>
      <c r="G5" s="1849"/>
      <c r="H5" s="344">
        <v>1</v>
      </c>
      <c r="I5" s="345" t="s">
        <v>1595</v>
      </c>
      <c r="J5" s="1291">
        <f ca="1">J6+J10+J12</f>
        <v>0</v>
      </c>
      <c r="K5" s="1820" t="s">
        <v>1596</v>
      </c>
      <c r="L5" s="1292"/>
      <c r="M5" s="1293"/>
    </row>
    <row r="6" spans="1:37" ht="18" customHeight="1">
      <c r="A6" s="1290" t="s">
        <v>1032</v>
      </c>
      <c r="B6" s="3152" t="s">
        <v>1398</v>
      </c>
      <c r="C6" s="1295">
        <f ca="1">ROUND(F6*F8*F7*(1-F9),0)</f>
        <v>45704</v>
      </c>
      <c r="D6" s="164" t="s">
        <v>3024</v>
      </c>
      <c r="E6" s="347" t="s">
        <v>1400</v>
      </c>
      <c r="F6" s="348">
        <f ca="1">INDIRECT("'数据-取费表'!u"&amp;$G$1)</f>
        <v>1.7</v>
      </c>
      <c r="G6" s="1849"/>
      <c r="H6" s="1290" t="s">
        <v>1032</v>
      </c>
      <c r="I6" s="3152" t="s">
        <v>1398</v>
      </c>
      <c r="J6" s="346">
        <f ca="1">ROUND(M6*M8*M7*(1-M9),0)</f>
        <v>0</v>
      </c>
      <c r="K6" s="1832" t="s">
        <v>3025</v>
      </c>
      <c r="L6" s="347" t="s">
        <v>1400</v>
      </c>
      <c r="M6" s="348">
        <f ca="1">INDIRECT("'数据-取费表'!z"&amp;$G$1)</f>
        <v>0</v>
      </c>
    </row>
    <row r="7" spans="1:37" ht="18" customHeight="1">
      <c r="A7" s="1294"/>
      <c r="B7" s="3153"/>
      <c r="C7" s="1296"/>
      <c r="D7" s="352"/>
      <c r="E7" s="1297" t="s">
        <v>1401</v>
      </c>
      <c r="F7" s="348">
        <f ca="1">IF(INDIRECT("'数据-取费表'!ah"&amp;$G$1)="",INDIRECT("'数据-取费表'!k"&amp;$G$1),INDIRECT("'数据-取费表'!ah"&amp;$G$1))</f>
        <v>81.84</v>
      </c>
      <c r="G7" s="1849"/>
      <c r="H7" s="349"/>
      <c r="I7" s="3153"/>
      <c r="J7" s="351"/>
      <c r="K7" s="352"/>
      <c r="L7" s="347" t="s">
        <v>1401</v>
      </c>
      <c r="M7" s="348">
        <f ca="1">F7</f>
        <v>81.84</v>
      </c>
    </row>
    <row r="8" spans="1:37" ht="18" customHeight="1">
      <c r="A8" s="349"/>
      <c r="B8" s="3153"/>
      <c r="C8" s="351"/>
      <c r="D8" s="352"/>
      <c r="E8" s="347" t="s">
        <v>1402</v>
      </c>
      <c r="F8" s="348">
        <f ca="1">INDIRECT("'数据-取费表'!ai"&amp;$G$1)</f>
        <v>365</v>
      </c>
      <c r="G8" s="1849"/>
      <c r="H8" s="349"/>
      <c r="I8" s="3153"/>
      <c r="J8" s="351"/>
      <c r="K8" s="352"/>
      <c r="L8" s="347" t="s">
        <v>1402</v>
      </c>
      <c r="M8" s="348">
        <f ca="1">INDIRECT("'数据-取费表'!ai"&amp;$G$1)</f>
        <v>365</v>
      </c>
    </row>
    <row r="9" spans="1:37" ht="18" customHeight="1">
      <c r="A9" s="349"/>
      <c r="B9" s="3154"/>
      <c r="C9" s="351"/>
      <c r="D9" s="352"/>
      <c r="E9" s="347" t="s">
        <v>1403</v>
      </c>
      <c r="F9" s="357">
        <f ca="1">INDIRECT("'数据-取费表'!w"&amp;$G$1)</f>
        <v>0.1</v>
      </c>
      <c r="G9" s="1849"/>
      <c r="H9" s="349"/>
      <c r="I9" s="3154"/>
      <c r="J9" s="351"/>
      <c r="K9" s="352"/>
      <c r="L9" s="358" t="s">
        <v>1403</v>
      </c>
      <c r="M9" s="359">
        <f ca="1">INDIRECT("'数据-取费表'!ab"&amp;$G$1)</f>
        <v>0</v>
      </c>
    </row>
    <row r="10" spans="1:37" ht="18" customHeight="1">
      <c r="A10" s="1290" t="s">
        <v>1036</v>
      </c>
      <c r="B10" s="1821" t="s">
        <v>1404</v>
      </c>
      <c r="C10" s="361">
        <f ca="1">ROUND(IF(F10="押一",C6/12*F11,IF(F10="押二",C6/12*2*F11,IF(F10="押三",C6/12*3*F11,C11*F11))),0)</f>
        <v>171</v>
      </c>
      <c r="D10" s="1822" t="s">
        <v>3035</v>
      </c>
      <c r="E10" s="358" t="s">
        <v>1405</v>
      </c>
      <c r="F10" s="1365" t="s">
        <v>3065</v>
      </c>
      <c r="G10" s="1849"/>
      <c r="H10" s="1290" t="s">
        <v>1036</v>
      </c>
      <c r="I10" s="1821" t="s">
        <v>1404</v>
      </c>
      <c r="J10" s="346">
        <f ca="1">ROUND(IF(M10="押一",J6/12*M11,IF(M10="押二",J6/12*2*M11,IF(M10="押三",J6/12*3*M11,J11*M11))),0)</f>
        <v>0</v>
      </c>
      <c r="K10" s="1833" t="s">
        <v>3037</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7"/>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279450</v>
      </c>
      <c r="D13" s="1330" t="s">
        <v>1410</v>
      </c>
      <c r="E13" s="1330" t="s">
        <v>1411</v>
      </c>
      <c r="F13" s="1331">
        <f ca="1">INDIRECT("'数据-取费表'!y"&amp;$G$1)</f>
        <v>0.8</v>
      </c>
      <c r="G13" s="1849"/>
      <c r="H13" s="1328">
        <v>2</v>
      </c>
      <c r="I13" s="1329" t="s">
        <v>1409</v>
      </c>
      <c r="J13" s="1289">
        <f ca="1">ROUND(J14*J15,0)</f>
        <v>279450</v>
      </c>
      <c r="K13" s="1336" t="s">
        <v>1410</v>
      </c>
      <c r="L13" s="1850"/>
      <c r="M13" s="1851"/>
    </row>
    <row r="14" spans="1:37" ht="18" customHeight="1">
      <c r="A14" s="1200" t="s">
        <v>1031</v>
      </c>
      <c r="B14" s="347" t="s">
        <v>1412</v>
      </c>
      <c r="C14" s="363">
        <f ca="1">ROUND(INDIRECT("'数据-取费表'!l"&amp;$G$1)*F43+'数据-取费表'!L14*INDIRECT("'数据-取费表'!S"&amp;$G$1),0)</f>
        <v>229152</v>
      </c>
      <c r="D14" s="1798" t="s">
        <v>1413</v>
      </c>
      <c r="E14" s="1792"/>
      <c r="F14" s="364"/>
      <c r="G14" s="1849"/>
      <c r="H14" s="1200" t="s">
        <v>1032</v>
      </c>
      <c r="I14" s="347" t="s">
        <v>1414</v>
      </c>
      <c r="J14" s="24">
        <f ca="1">C29</f>
        <v>349313</v>
      </c>
      <c r="K14" s="15"/>
      <c r="L14" s="978"/>
      <c r="M14" s="979"/>
    </row>
    <row r="15" spans="1:37" s="1856" customFormat="1" ht="18" customHeight="1" thickBot="1">
      <c r="A15" s="1200" t="s">
        <v>1033</v>
      </c>
      <c r="B15" s="347" t="s">
        <v>1415</v>
      </c>
      <c r="C15" s="24">
        <f ca="1">ROUND(C14*F15,0)</f>
        <v>6875</v>
      </c>
      <c r="D15" s="365" t="s">
        <v>1416</v>
      </c>
      <c r="E15" s="365" t="s">
        <v>1417</v>
      </c>
      <c r="F15" s="366">
        <f>'数据-取费表'!B33</f>
        <v>0.03</v>
      </c>
      <c r="G15" s="1852"/>
      <c r="H15" s="1338" t="s">
        <v>1036</v>
      </c>
      <c r="I15" s="1339" t="s">
        <v>1411</v>
      </c>
      <c r="J15" s="1348">
        <f ca="1">INDIRECT("'数据-取费表'!ad"&amp;$G$1)</f>
        <v>0.8</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4821</v>
      </c>
      <c r="K16" s="1336" t="s">
        <v>1420</v>
      </c>
      <c r="L16" s="1337"/>
      <c r="M16" s="1293"/>
    </row>
    <row r="17" spans="1:37" s="1856" customFormat="1" ht="18" customHeight="1">
      <c r="A17" s="1200" t="s">
        <v>1385</v>
      </c>
      <c r="B17" s="347" t="s">
        <v>1421</v>
      </c>
      <c r="C17" s="24">
        <f ca="1">ROUND(F17*(F43+INDIRECT("'数据-取费表'!S"&amp;$G$1)),0)</f>
        <v>16368</v>
      </c>
      <c r="D17" s="347" t="s">
        <v>1422</v>
      </c>
      <c r="E17" s="347" t="s">
        <v>1423</v>
      </c>
      <c r="F17" s="26">
        <f>'数据-取费表'!B35</f>
        <v>200</v>
      </c>
      <c r="G17" s="1852"/>
      <c r="H17" s="1200" t="s">
        <v>1032</v>
      </c>
      <c r="I17" s="347" t="s">
        <v>1424</v>
      </c>
      <c r="J17" s="24">
        <f ca="1">ROUND(IF(项目基本情况!B11="自然人",J5*M17,J18+J19+J20),0)</f>
        <v>2934</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3437</v>
      </c>
      <c r="D18" s="347" t="s">
        <v>1416</v>
      </c>
      <c r="E18" s="347" t="s">
        <v>1417</v>
      </c>
      <c r="F18" s="367">
        <f>'数据-取费表'!B36</f>
        <v>1.4999999999999999E-2</v>
      </c>
      <c r="G18" s="1852"/>
      <c r="H18" s="1200" t="s">
        <v>1031</v>
      </c>
      <c r="I18" s="347" t="s">
        <v>1428</v>
      </c>
      <c r="J18" s="24">
        <f ca="1">ROUND(J5*M18/(1+'数据-取费表'!C42),0)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255832</v>
      </c>
      <c r="D19" s="140" t="s">
        <v>1431</v>
      </c>
      <c r="E19" s="1816"/>
      <c r="F19" s="26"/>
      <c r="G19" s="1849"/>
      <c r="H19" s="1200" t="s">
        <v>1033</v>
      </c>
      <c r="I19" s="347" t="s">
        <v>1432</v>
      </c>
      <c r="J19" s="24">
        <f ca="1">IF(K19="按租金收入计税",ROUND(J5*M19,0),ROUND(C29*M19*0.7,0))</f>
        <v>2934</v>
      </c>
      <c r="K19" s="1826" t="s">
        <v>1433</v>
      </c>
      <c r="L19" s="347" t="s">
        <v>1417</v>
      </c>
      <c r="M19" s="367">
        <f>IF(K19="按租金收入计税",'数据-取费表'!B51,'数据-取费表'!B50)</f>
        <v>1.2E-2</v>
      </c>
    </row>
    <row r="20" spans="1:37" s="1856" customFormat="1" ht="18" customHeight="1">
      <c r="A20" s="1200" t="s">
        <v>1036</v>
      </c>
      <c r="B20" s="347" t="s">
        <v>1434</v>
      </c>
      <c r="C20" s="24">
        <f ca="1">ROUND(C19*F20,0)</f>
        <v>5117</v>
      </c>
      <c r="D20" s="369" t="s">
        <v>1435</v>
      </c>
      <c r="E20" s="347" t="s">
        <v>1417</v>
      </c>
      <c r="F20" s="367">
        <f>'数据-取费表'!B37</f>
        <v>0.02</v>
      </c>
      <c r="G20" s="1852"/>
      <c r="H20" s="1200" t="s">
        <v>1384</v>
      </c>
      <c r="I20" s="164" t="s">
        <v>1436</v>
      </c>
      <c r="J20" s="25">
        <f ca="1">ROUND(M20*M21,0)</f>
        <v>0</v>
      </c>
      <c r="K20" s="370" t="s">
        <v>1437</v>
      </c>
      <c r="L20" s="347" t="s">
        <v>1438</v>
      </c>
      <c r="M20" s="371">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1747</v>
      </c>
      <c r="K22" s="1796" t="s">
        <v>1445</v>
      </c>
      <c r="L22" s="347" t="s">
        <v>1417</v>
      </c>
      <c r="M22" s="374">
        <f ca="1">INDIRECT("'数据-取费表'!Ak"&amp;$G$1)</f>
        <v>5.0000000000000001E-3</v>
      </c>
    </row>
    <row r="23" spans="1:37" s="1856" customFormat="1" ht="18" customHeight="1">
      <c r="A23" s="1200" t="s">
        <v>1031</v>
      </c>
      <c r="B23" s="347" t="s">
        <v>1446</v>
      </c>
      <c r="C23" s="24">
        <f ca="1">IF('数据-取费表'!B22&lt;=1,ROUND(C19*F24*F23/2,0)+ROUND(C20*F24*F23/2,0),ROUND(C19*(POWER((1+F24),F23/2)-1),0)+ROUND(C20*(POWER((1+F24),F23/2)-1),0))</f>
        <v>9242</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ROUND(J13*M23,0)</f>
        <v>140</v>
      </c>
      <c r="K23" s="1796" t="s">
        <v>1449</v>
      </c>
      <c r="L23" s="347" t="s">
        <v>1450</v>
      </c>
      <c r="M23" s="376">
        <f ca="1">INDIRECT("'数据-取费表'!Al"&amp;$G$1)</f>
        <v>5.0000000000000001E-4</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5.0000000000000001E-3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-4821</v>
      </c>
      <c r="K25" s="1344" t="s">
        <v>1459</v>
      </c>
      <c r="L25" s="1345"/>
      <c r="M25" s="1346"/>
    </row>
    <row r="26" spans="1:37" ht="18" customHeight="1">
      <c r="A26" s="1200" t="s">
        <v>1031</v>
      </c>
      <c r="B26" s="347" t="s">
        <v>1460</v>
      </c>
      <c r="C26" s="24">
        <f ca="1">ROUND((C19+C20)*F26,0)</f>
        <v>52190</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3.5000000000000003E-2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349313</v>
      </c>
      <c r="D29" s="1341"/>
      <c r="E29" s="1339"/>
      <c r="F29" s="1342"/>
      <c r="G29" s="1852"/>
      <c r="H29" s="380" t="s">
        <v>1030</v>
      </c>
      <c r="I29" s="381" t="s">
        <v>1474</v>
      </c>
      <c r="J29" s="382">
        <f ca="1">ROUND(J26/(1+F40)^F41,0)</f>
        <v>0</v>
      </c>
      <c r="K29" s="383" t="s">
        <v>1475</v>
      </c>
      <c r="L29" s="384"/>
      <c r="M29" s="385">
        <f ca="1">INDIRECT("'数据-取费表'!k"&amp;$G$1)</f>
        <v>81.84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7453</v>
      </c>
      <c r="D30" s="1336" t="s">
        <v>1420</v>
      </c>
      <c r="E30" s="1337"/>
      <c r="F30" s="1293"/>
      <c r="G30" s="1849"/>
      <c r="H30" s="744"/>
      <c r="I30" s="745"/>
      <c r="J30" s="746"/>
      <c r="K30" s="747"/>
      <c r="L30" s="748"/>
      <c r="M30" s="749"/>
    </row>
    <row r="31" spans="1:37" ht="18" customHeight="1">
      <c r="A31" s="1200" t="s">
        <v>1032</v>
      </c>
      <c r="B31" s="347" t="s">
        <v>1424</v>
      </c>
      <c r="C31" s="24">
        <f ca="1">ROUND(IF(项目基本情况!B11="自然人",C5*F31,C32+C33+C34),0)</f>
        <v>5337</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IF(项目基本情况!B11="自然人","——",ROUND(C5*F32/(1+'数据-取费表'!C42),0))</f>
        <v>2403</v>
      </c>
      <c r="D32" s="1796" t="s">
        <v>1429</v>
      </c>
      <c r="E32" s="347" t="s">
        <v>1417</v>
      </c>
      <c r="F32" s="377">
        <f>'数据-取费表'!B41</f>
        <v>5.5000000000000007E-2</v>
      </c>
      <c r="G32" s="1849"/>
      <c r="H32" s="744"/>
      <c r="I32" s="745"/>
      <c r="J32" s="746"/>
      <c r="K32" s="747"/>
      <c r="L32" s="748"/>
      <c r="M32" s="749"/>
    </row>
    <row r="33" spans="1:18" ht="18" customHeight="1">
      <c r="A33" s="1200" t="s">
        <v>1033</v>
      </c>
      <c r="B33" s="347" t="s">
        <v>1432</v>
      </c>
      <c r="C33" s="24">
        <f ca="1">IF(项目基本情况!B11="自然人","——",IF(D33="按租金收入计税",ROUND(C5*F33,0),IF(D33="按房产原值计税",ROUND(C29*F33*0.7,0),INDIRECT("'数据-取费表'!Aj"&amp;$G$1))))</f>
        <v>2934</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0</v>
      </c>
      <c r="G34" s="1849"/>
      <c r="H34" s="744"/>
      <c r="I34" s="1858"/>
      <c r="J34" s="1859"/>
      <c r="K34" s="1861"/>
      <c r="L34" s="1862"/>
      <c r="M34" s="1862"/>
    </row>
    <row r="35" spans="1:18" ht="18" customHeight="1">
      <c r="A35" s="1352"/>
      <c r="B35" s="1350"/>
      <c r="C35" s="29"/>
      <c r="D35" s="373"/>
      <c r="E35" s="347" t="s">
        <v>1442</v>
      </c>
      <c r="F35" s="348">
        <f ca="1">INDIRECT("'数据-取费表'!r"&amp;$G$1)</f>
        <v>0</v>
      </c>
      <c r="G35" s="1849"/>
      <c r="H35" s="744"/>
      <c r="I35" s="1858"/>
      <c r="J35" s="1859"/>
      <c r="K35" s="1860"/>
      <c r="L35" s="1857"/>
      <c r="M35" s="1857"/>
    </row>
    <row r="36" spans="1:18" ht="18" customHeight="1">
      <c r="A36" s="1351" t="s">
        <v>1036</v>
      </c>
      <c r="B36" s="347" t="s">
        <v>1444</v>
      </c>
      <c r="C36" s="24">
        <f ca="1">ROUND(C29*F36,0)</f>
        <v>1747</v>
      </c>
      <c r="D36" s="1796" t="s">
        <v>1477</v>
      </c>
      <c r="E36" s="347" t="s">
        <v>1417</v>
      </c>
      <c r="F36" s="374">
        <f ca="1">INDIRECT("'数据-取费表'!Ak"&amp;$G$1)</f>
        <v>5.0000000000000001E-3</v>
      </c>
      <c r="G36" s="1849"/>
      <c r="H36" s="1857"/>
      <c r="I36" s="1858"/>
      <c r="J36" s="1859"/>
      <c r="K36" s="750"/>
      <c r="L36" s="1857"/>
      <c r="M36" s="1857"/>
    </row>
    <row r="37" spans="1:18" ht="18" customHeight="1">
      <c r="A37" s="1200" t="s">
        <v>1072</v>
      </c>
      <c r="B37" s="347" t="s">
        <v>1448</v>
      </c>
      <c r="C37" s="24">
        <f ca="1">ROUND(C13*F37,0)</f>
        <v>140</v>
      </c>
      <c r="D37" s="1796" t="s">
        <v>1449</v>
      </c>
      <c r="E37" s="347" t="s">
        <v>1450</v>
      </c>
      <c r="F37" s="376">
        <f ca="1">INDIRECT("'数据-取费表'!Al"&amp;$G$1)</f>
        <v>5.0000000000000001E-4</v>
      </c>
      <c r="G37" s="1849"/>
      <c r="H37" s="1857"/>
      <c r="I37" s="1858"/>
      <c r="J37" s="1859"/>
      <c r="K37" s="750"/>
      <c r="L37" s="1857"/>
      <c r="M37" s="1857"/>
    </row>
    <row r="38" spans="1:18" ht="18" customHeight="1" thickBot="1">
      <c r="A38" s="1338" t="s">
        <v>1388</v>
      </c>
      <c r="B38" s="1339" t="s">
        <v>1434</v>
      </c>
      <c r="C38" s="1340">
        <f ca="1">ROUND(C5*F38,1)</f>
        <v>229.4</v>
      </c>
      <c r="D38" s="1341" t="s">
        <v>1454</v>
      </c>
      <c r="E38" s="1339" t="s">
        <v>1450</v>
      </c>
      <c r="F38" s="1335">
        <f ca="1">INDIRECT("'数据-取费表'!Am"&amp;$G$1)</f>
        <v>5.0000000000000001E-3</v>
      </c>
      <c r="G38" s="1849"/>
      <c r="H38" s="1857"/>
      <c r="I38" s="1858"/>
      <c r="J38" s="1859"/>
      <c r="K38" s="1863"/>
      <c r="L38" s="1857"/>
      <c r="M38" s="1857"/>
    </row>
    <row r="39" spans="1:18" ht="24.6" customHeight="1" thickTop="1">
      <c r="A39" s="1328" t="s">
        <v>1028</v>
      </c>
      <c r="B39" s="1343" t="s">
        <v>1478</v>
      </c>
      <c r="C39" s="355">
        <f ca="1">C5-C30</f>
        <v>38422</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984760</v>
      </c>
      <c r="D40" s="370" t="s">
        <v>1464</v>
      </c>
      <c r="E40" s="347" t="s">
        <v>1465</v>
      </c>
      <c r="F40" s="357">
        <f ca="1">INDIRECT("'数据-取费表'!I"&amp;$G$1)</f>
        <v>3.5000000000000003E-2</v>
      </c>
      <c r="G40" s="1849"/>
      <c r="H40" s="1837"/>
      <c r="I40" s="1858"/>
      <c r="J40" s="1859"/>
      <c r="K40" s="1863"/>
      <c r="L40" s="1837"/>
      <c r="M40" s="1837"/>
    </row>
    <row r="41" spans="1:18" ht="18" customHeight="1">
      <c r="A41" s="349"/>
      <c r="B41" s="350"/>
      <c r="C41" s="351"/>
      <c r="D41" s="378" t="s">
        <v>1481</v>
      </c>
      <c r="E41" s="347" t="s">
        <v>1469</v>
      </c>
      <c r="F41" s="2959">
        <f ca="1">IF(INDIRECT("'数据-取费表'!af"&amp;$G$1)=0,INDIRECT("'数据-取费表'!ae"&amp;$G$1),INDIRECT("'数据-取费表'!af"&amp;$G$1))</f>
        <v>30.5</v>
      </c>
      <c r="G41" s="1849"/>
      <c r="H41" s="731"/>
      <c r="I41" s="1858"/>
      <c r="J41" s="1859"/>
      <c r="K41" s="750"/>
      <c r="L41" s="731"/>
      <c r="M41" s="731"/>
    </row>
    <row r="42" spans="1:18" ht="18" customHeight="1">
      <c r="A42" s="353"/>
      <c r="B42" s="354"/>
      <c r="C42" s="355"/>
      <c r="D42" s="373"/>
      <c r="E42" s="347" t="s">
        <v>1472</v>
      </c>
      <c r="F42" s="357">
        <f ca="1">INDIRECT("'数据-取费表'!v"&amp;$G$1)</f>
        <v>2.5000000000000001E-2</v>
      </c>
      <c r="G42" s="1849"/>
      <c r="H42" s="731"/>
      <c r="I42" s="1858"/>
      <c r="J42" s="1859"/>
      <c r="K42" s="750"/>
      <c r="L42" s="731"/>
      <c r="M42" s="731"/>
    </row>
    <row r="43" spans="1:18" ht="18" customHeight="1" thickBot="1">
      <c r="A43" s="380" t="s">
        <v>1030</v>
      </c>
      <c r="B43" s="381" t="s">
        <v>1482</v>
      </c>
      <c r="C43" s="382">
        <f ca="1">ROUND(C40/F43,0)</f>
        <v>12033</v>
      </c>
      <c r="D43" s="383" t="s">
        <v>1483</v>
      </c>
      <c r="E43" s="384" t="s">
        <v>1484</v>
      </c>
      <c r="F43" s="385">
        <f ca="1">INDIRECT("'数据-取费表'!k"&amp;$G$1)</f>
        <v>81.84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-1108323</v>
      </c>
      <c r="D45" s="1938" t="s">
        <v>1599</v>
      </c>
      <c r="E45" s="1864"/>
      <c r="F45" s="1864"/>
      <c r="O45" s="1867" t="s">
        <v>1514</v>
      </c>
      <c r="P45" s="1837"/>
      <c r="Q45" s="1837"/>
      <c r="R45" s="1837"/>
    </row>
    <row r="46" spans="1:18" s="1840" customFormat="1" ht="13.5" thickBot="1">
      <c r="A46" s="1868" t="s">
        <v>1515</v>
      </c>
      <c r="C46" s="1869">
        <f ca="1">ROUND(C45/10000,0)</f>
        <v>-111</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1"/>
      <c r="I47" s="1878" t="s">
        <v>1521</v>
      </c>
      <c r="J47" s="1879" t="s">
        <v>3066</v>
      </c>
      <c r="K47" s="1880" t="s">
        <v>1522</v>
      </c>
      <c r="L47" s="1881">
        <f ca="1">INDIRECT("'数据-取费表'!d"&amp;$G$1)</f>
        <v>40</v>
      </c>
      <c r="M47" s="1836" t="str">
        <f>IF(ISNUMBER(FIND("住宅",C1)),"住宅","非住宅")</f>
        <v>非住宅</v>
      </c>
      <c r="O47" s="1882" t="s">
        <v>1037</v>
      </c>
      <c r="P47" s="1883" t="s">
        <v>1523</v>
      </c>
      <c r="Q47" s="1884">
        <f ca="1">C40+J29</f>
        <v>984760</v>
      </c>
      <c r="R47" s="1884" t="s">
        <v>1524</v>
      </c>
    </row>
    <row r="48" spans="1:18" s="1840" customFormat="1" ht="28.5" thickBot="1">
      <c r="A48" s="1359" t="s">
        <v>1132</v>
      </c>
      <c r="B48" s="345" t="s">
        <v>1396</v>
      </c>
      <c r="C48" s="1815">
        <f ca="1">C49+C53+C55</f>
        <v>0</v>
      </c>
      <c r="D48" s="1361"/>
      <c r="E48" s="1362"/>
      <c r="F48" s="1180"/>
      <c r="G48" s="791"/>
      <c r="H48" s="792"/>
      <c r="I48" s="1885" t="s">
        <v>1525</v>
      </c>
      <c r="J48" s="1886" t="s">
        <v>3067</v>
      </c>
      <c r="K48" s="1887" t="s">
        <v>1526</v>
      </c>
      <c r="L48" s="1888">
        <f ca="1">INDIRECT("'数据-取费表'!f"&amp;$G$1)</f>
        <v>30.5</v>
      </c>
      <c r="O48" s="1882" t="s">
        <v>1038</v>
      </c>
      <c r="P48" s="1883" t="s">
        <v>1527</v>
      </c>
      <c r="Q48" s="1884" t="str">
        <f ca="1">J60</f>
        <v>0</v>
      </c>
      <c r="R48" s="1884" t="s">
        <v>1528</v>
      </c>
    </row>
    <row r="49" spans="1:18" s="1840" customFormat="1" ht="13.5" thickBot="1">
      <c r="A49" s="1193" t="s">
        <v>1133</v>
      </c>
      <c r="B49" s="1827" t="s">
        <v>1485</v>
      </c>
      <c r="C49" s="1363">
        <f ca="1">ROUND(F49*F51*F50*(1-F52),0)</f>
        <v>0</v>
      </c>
      <c r="D49" s="1275" t="s">
        <v>1399</v>
      </c>
      <c r="E49" s="1828" t="s">
        <v>1486</v>
      </c>
      <c r="F49" s="1280"/>
      <c r="G49" s="1889"/>
      <c r="H49" s="792"/>
      <c r="I49" s="1885" t="s">
        <v>1529</v>
      </c>
      <c r="J49" s="1890">
        <v>2014</v>
      </c>
      <c r="K49" s="1887" t="s">
        <v>1530</v>
      </c>
      <c r="L49" s="1891"/>
      <c r="O49" s="1892" t="s">
        <v>1039</v>
      </c>
      <c r="P49" s="1883" t="s">
        <v>1531</v>
      </c>
      <c r="Q49" s="1884">
        <f ca="1">C29</f>
        <v>349313</v>
      </c>
      <c r="R49" s="1884" t="s">
        <v>1524</v>
      </c>
    </row>
    <row r="50" spans="1:18" s="1840" customFormat="1" ht="13.5" thickBot="1">
      <c r="A50" s="1194"/>
      <c r="B50" s="1197"/>
      <c r="C50" s="1198"/>
      <c r="D50" s="1171"/>
      <c r="E50" s="1276" t="s">
        <v>1401</v>
      </c>
      <c r="F50" s="1277">
        <f ca="1">F7</f>
        <v>81.84</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55</v>
      </c>
      <c r="K51" s="1898" t="s">
        <v>1536</v>
      </c>
      <c r="L51" s="1899">
        <f ca="1">ROUND(-PV(INDIRECT("'数据-取费表'!h"&amp;$G$1),L48,(C39-C13*C76),0),0)</f>
        <v>280219</v>
      </c>
      <c r="M51" s="1900"/>
      <c r="O51" s="1892" t="s">
        <v>1041</v>
      </c>
      <c r="P51" s="1883" t="s">
        <v>1537</v>
      </c>
      <c r="Q51" s="1895">
        <f>J52</f>
        <v>8.5000000000000006E-2</v>
      </c>
      <c r="R51" s="1884"/>
    </row>
    <row r="52" spans="1:18" s="1840" customFormat="1" ht="13.5" thickBot="1">
      <c r="A52" s="1195"/>
      <c r="B52" s="1197"/>
      <c r="C52" s="1198"/>
      <c r="D52" s="1171"/>
      <c r="E52" s="1199" t="s">
        <v>1403</v>
      </c>
      <c r="F52" s="1274"/>
      <c r="I52" s="1901" t="s">
        <v>1538</v>
      </c>
      <c r="J52" s="1902">
        <v>8.5000000000000006E-2</v>
      </c>
      <c r="K52" s="1901" t="s">
        <v>1539</v>
      </c>
      <c r="L52" s="1902"/>
      <c r="O52" s="1892" t="s">
        <v>1042</v>
      </c>
      <c r="P52" s="1883" t="s">
        <v>1540</v>
      </c>
      <c r="Q52" s="1884">
        <f ca="1">J53</f>
        <v>30.5</v>
      </c>
      <c r="R52" s="1884" t="s">
        <v>1541</v>
      </c>
    </row>
    <row r="53" spans="1:18" s="1840" customFormat="1" ht="30.75" customHeight="1" thickBot="1">
      <c r="A53" s="1360" t="s">
        <v>1134</v>
      </c>
      <c r="B53" s="369" t="s">
        <v>1404</v>
      </c>
      <c r="C53" s="361">
        <f ca="1">ROUND(IF(F53="押一",C49/12*F11,IF(F53="押二",C49/12*2*F11,IF(F53="押三",C49/12*3*F11,C54*F11))),0)</f>
        <v>0</v>
      </c>
      <c r="D53" s="1822" t="s">
        <v>3038</v>
      </c>
      <c r="E53" s="358"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30.5</v>
      </c>
      <c r="K53" s="3155" t="s">
        <v>1543</v>
      </c>
      <c r="L53" s="3156"/>
      <c r="O53" s="1882" t="s">
        <v>1043</v>
      </c>
      <c r="P53" s="1883" t="s">
        <v>1544</v>
      </c>
      <c r="Q53" s="1884">
        <f ca="1">Q47+Q48</f>
        <v>984760</v>
      </c>
      <c r="R53" s="1884" t="s">
        <v>1044</v>
      </c>
    </row>
    <row r="54" spans="1:18" s="1840" customFormat="1" ht="13.5"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#VALUE!</v>
      </c>
      <c r="K55" s="1910" t="s">
        <v>1547</v>
      </c>
      <c r="L55" s="1911" t="s">
        <v>3068</v>
      </c>
      <c r="O55" s="1875" t="s">
        <v>1517</v>
      </c>
      <c r="P55" s="1876" t="s">
        <v>1518</v>
      </c>
      <c r="Q55" s="1877" t="s">
        <v>1519</v>
      </c>
      <c r="R55" s="1877" t="s">
        <v>1520</v>
      </c>
    </row>
    <row r="56" spans="1:18" s="1840" customFormat="1" ht="36" customHeight="1" thickTop="1" thickBot="1">
      <c r="A56" s="1175">
        <v>2</v>
      </c>
      <c r="B56" s="1176" t="s">
        <v>1409</v>
      </c>
      <c r="C56" s="276">
        <f ca="1">C13</f>
        <v>279450</v>
      </c>
      <c r="D56" s="1912"/>
      <c r="E56" s="1913"/>
      <c r="F56" s="1905"/>
      <c r="I56" s="1914" t="s">
        <v>1549</v>
      </c>
      <c r="J56" s="1915" t="s">
        <v>3059</v>
      </c>
      <c r="K56" s="1885" t="s">
        <v>1550</v>
      </c>
      <c r="L56" s="1888" t="str">
        <f ca="1">IF(L48&lt;J51,"——",L48-J51)</f>
        <v>——</v>
      </c>
      <c r="O56" s="1882" t="s">
        <v>1037</v>
      </c>
      <c r="P56" s="1883" t="s">
        <v>1523</v>
      </c>
      <c r="Q56" s="1884">
        <f ca="1">C40+J29</f>
        <v>984760</v>
      </c>
      <c r="R56" s="1884" t="s">
        <v>1524</v>
      </c>
    </row>
    <row r="57" spans="1:18" s="1840" customFormat="1" ht="24.75" thickBot="1">
      <c r="A57" s="1916"/>
      <c r="B57" s="1168" t="s">
        <v>1473</v>
      </c>
      <c r="C57" s="282">
        <f ca="1">C29</f>
        <v>349313</v>
      </c>
      <c r="D57" s="1917"/>
      <c r="E57" s="1918"/>
      <c r="F57" s="1919"/>
      <c r="I57" s="1920" t="s">
        <v>1551</v>
      </c>
      <c r="J57" s="1921"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4821</v>
      </c>
      <c r="D58" s="1178" t="s">
        <v>1420</v>
      </c>
      <c r="E58" s="1179"/>
      <c r="F58" s="1180"/>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2934</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2934</v>
      </c>
      <c r="D61" s="1826" t="s">
        <v>1433</v>
      </c>
      <c r="E61" s="1168" t="s">
        <v>1489</v>
      </c>
      <c r="F61" s="367">
        <f t="shared" si="0"/>
        <v>1.2E-2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0</v>
      </c>
      <c r="I62" s="1927" t="s">
        <v>1565</v>
      </c>
      <c r="J62" s="1928" t="s">
        <v>1566</v>
      </c>
      <c r="K62" s="1928" t="s">
        <v>1567</v>
      </c>
      <c r="L62" s="1928" t="s">
        <v>1568</v>
      </c>
      <c r="M62" s="1929" t="s">
        <v>1569</v>
      </c>
      <c r="O62" s="1882" t="s">
        <v>1043</v>
      </c>
      <c r="P62" s="1883" t="s">
        <v>1570</v>
      </c>
      <c r="Q62" s="1884">
        <f ca="1">Q56+Q57</f>
        <v>984760</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ROUND(C57*F64,0)</f>
        <v>1747</v>
      </c>
      <c r="D64" s="1182" t="s">
        <v>1497</v>
      </c>
      <c r="E64" s="1168" t="s">
        <v>1489</v>
      </c>
      <c r="F64" s="374">
        <f t="shared" ca="1" si="0"/>
        <v>5.0000000000000001E-3</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ROUND(C56*F65,0)</f>
        <v>140</v>
      </c>
      <c r="D65" s="1182" t="s">
        <v>1449</v>
      </c>
      <c r="E65" s="1168" t="s">
        <v>1450</v>
      </c>
      <c r="F65" s="376">
        <f t="shared" ca="1" si="0"/>
        <v>5.0000000000000001E-4</v>
      </c>
      <c r="I65" s="1927" t="s">
        <v>1574</v>
      </c>
      <c r="J65" s="1928">
        <v>40</v>
      </c>
      <c r="K65" s="1928">
        <v>30</v>
      </c>
      <c r="L65" s="1928">
        <v>50</v>
      </c>
      <c r="M65" s="1930">
        <v>0.02</v>
      </c>
      <c r="O65" s="1882" t="s">
        <v>1037</v>
      </c>
      <c r="P65" s="1883" t="s">
        <v>1575</v>
      </c>
      <c r="Q65" s="1884">
        <f ca="1">C40+J29</f>
        <v>984760</v>
      </c>
      <c r="R65" s="1884" t="s">
        <v>1524</v>
      </c>
    </row>
    <row r="66" spans="1:18" s="1840" customFormat="1" ht="16.5" thickBot="1">
      <c r="A66" s="1200" t="s">
        <v>1499</v>
      </c>
      <c r="B66" s="1168" t="s">
        <v>1434</v>
      </c>
      <c r="C66" s="24">
        <f ca="1">ROUND(C48*F66,0)</f>
        <v>0</v>
      </c>
      <c r="D66" s="1182" t="s">
        <v>1500</v>
      </c>
      <c r="E66" s="1168" t="s">
        <v>1417</v>
      </c>
      <c r="F66" s="357">
        <f t="shared" ca="1" si="0"/>
        <v>5.0000000000000001E-3</v>
      </c>
      <c r="O66" s="1882" t="s">
        <v>1038</v>
      </c>
      <c r="P66" s="1883" t="s">
        <v>1553</v>
      </c>
      <c r="Q66" s="1884">
        <f ca="1">L60</f>
        <v>0</v>
      </c>
      <c r="R66" s="1884" t="s">
        <v>1576</v>
      </c>
    </row>
    <row r="67" spans="1:18" s="1840" customFormat="1" ht="16.5" thickBot="1">
      <c r="A67" s="1175" t="s">
        <v>1028</v>
      </c>
      <c r="B67" s="1185" t="s">
        <v>1458</v>
      </c>
      <c r="C67" s="361">
        <f ca="1">C48-C58</f>
        <v>-4821</v>
      </c>
      <c r="D67" s="1181" t="s">
        <v>1459</v>
      </c>
      <c r="E67" s="1186"/>
      <c r="F67" s="1187"/>
      <c r="O67" s="1892" t="s">
        <v>1039</v>
      </c>
      <c r="P67" s="1883" t="s">
        <v>1557</v>
      </c>
      <c r="Q67" s="1931">
        <f ca="1">L51</f>
        <v>280219</v>
      </c>
      <c r="R67" s="1884" t="s">
        <v>1577</v>
      </c>
    </row>
    <row r="68" spans="1:18" s="1840" customFormat="1" ht="16.5" thickBot="1">
      <c r="A68" s="1165" t="s">
        <v>1029</v>
      </c>
      <c r="B68" s="1166" t="s">
        <v>1480</v>
      </c>
      <c r="C68" s="346">
        <f ca="1">ROUND(C67*(1-((1+F70)/(1+F68))^F69)/(F68-F70),0)</f>
        <v>-123563</v>
      </c>
      <c r="D68" s="1183" t="s">
        <v>1464</v>
      </c>
      <c r="E68" s="1168" t="s">
        <v>1465</v>
      </c>
      <c r="F68" s="357">
        <f ca="1">F40</f>
        <v>3.5000000000000003E-2</v>
      </c>
      <c r="O68" s="1892" t="s">
        <v>1040</v>
      </c>
      <c r="P68" s="1932" t="s">
        <v>1578</v>
      </c>
      <c r="Q68" s="1884">
        <f ca="1">ROUND(Q69-Q70*Q71,0)</f>
        <v>16066</v>
      </c>
      <c r="R68" s="1884" t="s">
        <v>1048</v>
      </c>
    </row>
    <row r="69" spans="1:18" s="1840" customFormat="1" ht="13.5" thickBot="1">
      <c r="A69" s="1169"/>
      <c r="B69" s="1170"/>
      <c r="C69" s="351"/>
      <c r="D69" s="1188" t="s">
        <v>1468</v>
      </c>
      <c r="E69" s="1168" t="s">
        <v>1469</v>
      </c>
      <c r="F69" s="379">
        <f ca="1">F41</f>
        <v>30.5</v>
      </c>
      <c r="O69" s="1892" t="s">
        <v>1045</v>
      </c>
      <c r="P69" s="1932" t="s">
        <v>1579</v>
      </c>
      <c r="Q69" s="1884">
        <f ca="1">C39</f>
        <v>38422</v>
      </c>
      <c r="R69" s="1884" t="s">
        <v>1524</v>
      </c>
    </row>
    <row r="70" spans="1:18" s="1840" customFormat="1" ht="13.5" thickBot="1">
      <c r="A70" s="1172"/>
      <c r="B70" s="1173"/>
      <c r="C70" s="355"/>
      <c r="D70" s="1184"/>
      <c r="E70" s="1168" t="s">
        <v>1472</v>
      </c>
      <c r="F70" s="1274">
        <f ca="1">F42</f>
        <v>2.5000000000000001E-2</v>
      </c>
      <c r="O70" s="1892" t="s">
        <v>1046</v>
      </c>
      <c r="P70" s="1932" t="s">
        <v>1580</v>
      </c>
      <c r="Q70" s="1884">
        <f ca="1">C13</f>
        <v>279450</v>
      </c>
      <c r="R70" s="1884" t="s">
        <v>1524</v>
      </c>
    </row>
    <row r="71" spans="1:18" s="1840" customFormat="1" ht="13.5" thickBot="1">
      <c r="A71" s="1189" t="s">
        <v>1030</v>
      </c>
      <c r="B71" s="1190" t="s">
        <v>1482</v>
      </c>
      <c r="C71" s="382">
        <f ca="1">ROUND(C68/F71,0)</f>
        <v>-1510</v>
      </c>
      <c r="D71" s="1191" t="s">
        <v>1483</v>
      </c>
      <c r="E71" s="1192" t="s">
        <v>1484</v>
      </c>
      <c r="F71" s="385">
        <f ca="1">F43</f>
        <v>81.84</v>
      </c>
      <c r="O71" s="1892" t="s">
        <v>1047</v>
      </c>
      <c r="P71" s="1932"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22356</v>
      </c>
      <c r="D75" s="1840"/>
      <c r="E75" s="1840"/>
      <c r="F75" s="1840"/>
      <c r="K75" s="1866"/>
      <c r="L75" s="1840"/>
      <c r="O75" s="1882" t="s">
        <v>1043</v>
      </c>
      <c r="P75" s="1883" t="s">
        <v>1544</v>
      </c>
      <c r="Q75" s="1884">
        <f ca="1">Q65+Q66</f>
        <v>984760</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0.41800000000000004</v>
      </c>
    </row>
    <row r="80" spans="1:18">
      <c r="B80" s="386" t="s">
        <v>1506</v>
      </c>
      <c r="C80" s="318">
        <f ca="1">ROUND(C75/C39,3)</f>
        <v>0.58199999999999996</v>
      </c>
    </row>
    <row r="81" spans="2:3">
      <c r="B81" s="314" t="s">
        <v>1507</v>
      </c>
      <c r="C81" s="282"/>
    </row>
    <row r="82" spans="2:3">
      <c r="B82" s="317" t="s">
        <v>1508</v>
      </c>
      <c r="C82" s="319">
        <f ca="1">1-C83</f>
        <v>0.71599999999999997</v>
      </c>
    </row>
    <row r="83" spans="2:3">
      <c r="B83" s="317" t="s">
        <v>1509</v>
      </c>
      <c r="C83" s="318">
        <f ca="1">ROUND(C13/C40,3)</f>
        <v>0.28399999999999997</v>
      </c>
    </row>
  </sheetData>
  <sheetProtection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J58" sqref="J5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t="s">
        <v>1373</v>
      </c>
      <c r="C1" s="2555" t="s">
        <v>2428</v>
      </c>
      <c r="D1" s="242"/>
      <c r="E1" s="242"/>
      <c r="F1" s="242"/>
      <c r="G1" s="1378">
        <f>MATCH(B1,'数据-取费表'!A6:A16,0)+5</f>
        <v>6</v>
      </c>
      <c r="H1" s="1281" t="str">
        <f>IF(ISERROR(FIND("住宅",B1)),"非住宅","住宅")</f>
        <v>非住宅</v>
      </c>
    </row>
    <row r="2" spans="1:8" s="244" customFormat="1" ht="18" customHeight="1">
      <c r="A2" s="245" t="s">
        <v>2327</v>
      </c>
      <c r="B2" s="246">
        <f ca="1">ROUND(IF(D2="——",C52/10000,C52/10000-E2),0)</f>
        <v>62</v>
      </c>
      <c r="C2" s="243" t="s">
        <v>2328</v>
      </c>
      <c r="D2" s="2549" t="s">
        <v>70</v>
      </c>
      <c r="E2" s="1439">
        <f ca="1">SUMIF(INDIRECT("'"&amp;G2&amp;"'"&amp;"!A:A"),"承租人权益价值",INDIRECT("'"&amp;G2&amp;"'"&amp;"!c:c"))</f>
        <v>-111</v>
      </c>
      <c r="F2" s="2550" t="s">
        <v>2328</v>
      </c>
      <c r="G2" s="2551" t="s">
        <v>3063</v>
      </c>
    </row>
    <row r="3" spans="1:8" s="244" customFormat="1" ht="18" customHeight="1" thickBot="1">
      <c r="A3" s="247" t="s">
        <v>2329</v>
      </c>
      <c r="B3" s="2962">
        <f ca="1">ROUND(C52/(IF(B1="",'数据-汇总表'!E3,INDIRECT("'数据-取费表'!k"&amp;$G$1))),0)</f>
        <v>7520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239125</v>
      </c>
      <c r="D5" s="255" t="s">
        <v>2334</v>
      </c>
      <c r="E5" s="256" t="s">
        <v>2335</v>
      </c>
      <c r="F5" s="256" t="s">
        <v>2336</v>
      </c>
      <c r="G5" s="257"/>
    </row>
    <row r="6" spans="1:8" s="258" customFormat="1" ht="13.5" customHeight="1">
      <c r="A6" s="948" t="s">
        <v>2337</v>
      </c>
      <c r="B6" s="259" t="s">
        <v>2338</v>
      </c>
      <c r="C6" s="260">
        <f ca="1">ROUND(基准地价修正!C29*基准地价修正!D29,0)</f>
        <v>216958</v>
      </c>
      <c r="D6" s="261"/>
      <c r="E6" s="262"/>
      <c r="F6" s="262"/>
      <c r="G6" s="263"/>
    </row>
    <row r="7" spans="1:8" s="258" customFormat="1" ht="13.5" customHeight="1">
      <c r="A7" s="948" t="s">
        <v>2339</v>
      </c>
      <c r="B7" s="259" t="s">
        <v>2340</v>
      </c>
      <c r="C7" s="264">
        <f ca="1">ROUND(C6*F7,0)</f>
        <v>6617</v>
      </c>
      <c r="D7" s="264"/>
      <c r="E7" s="262"/>
      <c r="F7" s="265">
        <f>IF(项目基本情况!B8="出让",0,'数据-取费表'!B48+'数据-取费表'!B49)</f>
        <v>3.0499999999999999E-2</v>
      </c>
      <c r="G7" s="263"/>
    </row>
    <row r="8" spans="1:8" s="267" customFormat="1">
      <c r="A8" s="948" t="s">
        <v>2341</v>
      </c>
      <c r="B8" s="259" t="s">
        <v>2342</v>
      </c>
      <c r="C8" s="264">
        <f ca="1">IF(G8="已包含在土地购买价格中",0,C9+C10)</f>
        <v>15550</v>
      </c>
      <c r="D8" s="266"/>
      <c r="E8" s="264"/>
      <c r="F8" s="265"/>
      <c r="G8" s="2552" t="s">
        <v>3079</v>
      </c>
    </row>
    <row r="9" spans="1:8" s="258" customFormat="1" ht="13.5" customHeight="1">
      <c r="A9" s="949" t="s">
        <v>800</v>
      </c>
      <c r="B9" s="268" t="s">
        <v>2343</v>
      </c>
      <c r="C9" s="269">
        <f ca="1">ROUND(D9*E9,0)</f>
        <v>0</v>
      </c>
      <c r="D9" s="1031">
        <f ca="1">IF(B1="",'数据-汇总表'!E5,IF(INDIRECT("'数据-取费表'!c"&amp;$G$1)="住宅",INDIRECT("'数据-取费表'!k"&amp;$G$1),0))</f>
        <v>0</v>
      </c>
      <c r="E9" s="269">
        <f>'数据-取费表'!B27</f>
        <v>150</v>
      </c>
      <c r="F9" s="265"/>
      <c r="G9" s="270"/>
    </row>
    <row r="10" spans="1:8" s="258" customFormat="1" ht="13.5" customHeight="1">
      <c r="A10" s="949" t="s">
        <v>801</v>
      </c>
      <c r="B10" s="268" t="s">
        <v>2345</v>
      </c>
      <c r="C10" s="269">
        <f ca="1">ROUND(D10*E10,0)</f>
        <v>15550</v>
      </c>
      <c r="D10" s="1031">
        <f ca="1">IF(B1="",'数据-汇总表'!E6,IF(INDIRECT("'数据-取费表'!c"&amp;$G$1)="住宅",INDIRECT("'数据-取费表'!s"&amp;$G$1),INDIRECT("'数据-取费表'!k"&amp;$G$1)+INDIRECT("'数据-取费表'!s"&amp;$G$1)))</f>
        <v>81.84</v>
      </c>
      <c r="E10" s="269">
        <f>'数据-取费表'!B28</f>
        <v>190</v>
      </c>
      <c r="F10" s="265"/>
      <c r="G10" s="270"/>
    </row>
    <row r="11" spans="1:8" s="258" customFormat="1" ht="13.5" hidden="1" customHeight="1">
      <c r="A11" s="271" t="s">
        <v>7</v>
      </c>
      <c r="B11" s="259" t="s">
        <v>2346</v>
      </c>
      <c r="C11" s="255"/>
      <c r="D11" s="1033"/>
      <c r="E11" s="262"/>
      <c r="F11" s="262"/>
      <c r="G11" s="263"/>
    </row>
    <row r="12" spans="1:8" s="258" customFormat="1" ht="13.5" hidden="1" customHeight="1">
      <c r="A12" s="271" t="s">
        <v>8</v>
      </c>
      <c r="B12" s="259" t="s">
        <v>2429</v>
      </c>
      <c r="C12" s="255">
        <v>0</v>
      </c>
      <c r="D12" s="1033"/>
      <c r="E12" s="272"/>
      <c r="F12" s="265">
        <v>3.0499999999999999E-2</v>
      </c>
      <c r="G12" s="263"/>
    </row>
    <row r="13" spans="1:8" s="258" customFormat="1" ht="13.5" hidden="1" customHeight="1">
      <c r="A13" s="271" t="s">
        <v>9</v>
      </c>
      <c r="B13" s="259" t="s">
        <v>2430</v>
      </c>
      <c r="C13" s="255"/>
      <c r="D13" s="1033"/>
      <c r="E13" s="262"/>
      <c r="F13" s="262"/>
      <c r="G13" s="263"/>
    </row>
    <row r="14" spans="1:8" s="258" customFormat="1" ht="13.5" hidden="1" customHeight="1">
      <c r="A14" s="271" t="s">
        <v>10</v>
      </c>
      <c r="B14" s="259" t="s">
        <v>2342</v>
      </c>
      <c r="C14" s="255"/>
      <c r="D14" s="1033"/>
      <c r="E14" s="262"/>
      <c r="F14" s="262"/>
      <c r="G14" s="263" t="s">
        <v>2431</v>
      </c>
    </row>
    <row r="15" spans="1:8" s="258" customFormat="1" ht="13.5" hidden="1" customHeight="1">
      <c r="A15" s="271" t="s">
        <v>11</v>
      </c>
      <c r="B15" s="259" t="s">
        <v>2432</v>
      </c>
      <c r="C15" s="264"/>
      <c r="D15" s="1033"/>
      <c r="E15" s="262"/>
      <c r="F15" s="262"/>
      <c r="G15" s="263" t="s">
        <v>2433</v>
      </c>
    </row>
    <row r="16" spans="1:8" s="258" customFormat="1" ht="13.5" hidden="1" customHeight="1">
      <c r="A16" s="271" t="s">
        <v>12</v>
      </c>
      <c r="B16" s="259" t="s">
        <v>2342</v>
      </c>
      <c r="C16" s="264"/>
      <c r="D16" s="1033"/>
      <c r="E16" s="262"/>
      <c r="F16" s="262"/>
      <c r="G16" s="263"/>
    </row>
    <row r="17" spans="1:7" s="258" customFormat="1" ht="13.5" hidden="1" customHeight="1">
      <c r="A17" s="271" t="s">
        <v>13</v>
      </c>
      <c r="B17" s="259" t="s">
        <v>2434</v>
      </c>
      <c r="C17" s="273"/>
      <c r="D17" s="1034"/>
      <c r="E17" s="273"/>
      <c r="F17" s="273"/>
      <c r="G17" s="263" t="s">
        <v>2433</v>
      </c>
    </row>
    <row r="18" spans="1:7" s="258" customFormat="1" ht="13.5" hidden="1" customHeight="1">
      <c r="A18" s="271" t="s">
        <v>14</v>
      </c>
      <c r="B18" s="259" t="s">
        <v>2435</v>
      </c>
      <c r="C18" s="264">
        <v>0</v>
      </c>
      <c r="D18" s="1033"/>
      <c r="E18" s="262"/>
      <c r="F18" s="265">
        <v>3.0499999999999999E-2</v>
      </c>
      <c r="G18" s="263" t="s">
        <v>2436</v>
      </c>
    </row>
    <row r="19" spans="1:7" s="267" customFormat="1" ht="13.5" customHeight="1">
      <c r="A19" s="299" t="s">
        <v>2437</v>
      </c>
      <c r="B19" s="254" t="s">
        <v>2438</v>
      </c>
      <c r="C19" s="255" t="str">
        <f>IF(G19="已包含在土地取得成本中","0",ROUND(D19*E19,0))</f>
        <v>0</v>
      </c>
      <c r="D19" s="1035">
        <f ca="1">D9+D10</f>
        <v>81.84</v>
      </c>
      <c r="E19" s="255">
        <f>'数据-取费表'!B31</f>
        <v>200</v>
      </c>
      <c r="F19" s="275"/>
      <c r="G19" s="2552" t="s">
        <v>3080</v>
      </c>
    </row>
    <row r="20" spans="1:7" s="258" customFormat="1" ht="13.5" customHeight="1">
      <c r="A20" s="299" t="s">
        <v>2439</v>
      </c>
      <c r="B20" s="254" t="s">
        <v>2440</v>
      </c>
      <c r="C20" s="276">
        <f ca="1">ROUND((C5+C19)*F20,0)</f>
        <v>4783</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17407</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0" t="s">
        <v>2337</v>
      </c>
      <c r="B23" s="259" t="s">
        <v>2448</v>
      </c>
      <c r="C23" s="1380">
        <f ca="1">ROUND(IF('数据-取费表'!B22&lt;=1,C5*F22*'数据-取费表'!B22,C5*(POWER((1+F22),'数据-取费表'!B22)-1)),0)</f>
        <v>17238</v>
      </c>
      <c r="D23" s="282"/>
      <c r="E23" s="282"/>
      <c r="F23" s="283"/>
      <c r="G23" s="284" t="s">
        <v>2449</v>
      </c>
    </row>
    <row r="24" spans="1:7" s="258" customFormat="1" ht="13.5" customHeight="1">
      <c r="A24" s="950" t="s">
        <v>2339</v>
      </c>
      <c r="B24" s="259" t="s">
        <v>2450</v>
      </c>
      <c r="C24" s="1380">
        <f ca="1">ROUND(IF('数据-取费表'!B22&lt;=1,C19*F22*('数据-取费表'!B19/2+'数据-取费表'!B20),C19*(POWER((1+F22),('数据-取费表'!B19/2+'数据-取费表'!B20))-1)),0)</f>
        <v>0</v>
      </c>
      <c r="D24" s="282"/>
      <c r="E24" s="282"/>
      <c r="F24" s="283"/>
      <c r="G24" s="284" t="s">
        <v>2451</v>
      </c>
    </row>
    <row r="25" spans="1:7" s="258" customFormat="1" ht="24">
      <c r="A25" s="950" t="s">
        <v>2341</v>
      </c>
      <c r="B25" s="259" t="s">
        <v>2452</v>
      </c>
      <c r="C25" s="1380">
        <f ca="1">ROUND(IF('数据-取费表'!B22&lt;=1,C20*F22*'数据-取费表'!B22/2,C20*(POWER((1+F22),'数据-取费表'!B22/2)-1)),0)</f>
        <v>169</v>
      </c>
      <c r="D25" s="282"/>
      <c r="E25" s="285"/>
      <c r="F25" s="283"/>
      <c r="G25" s="286" t="s">
        <v>2453</v>
      </c>
    </row>
    <row r="26" spans="1:7" s="258" customFormat="1">
      <c r="A26" s="950"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48782</v>
      </c>
      <c r="D27" s="279">
        <f ca="1">C29</f>
        <v>4.0000000000000001E-3</v>
      </c>
      <c r="E27" s="280" t="s">
        <v>2379</v>
      </c>
      <c r="F27" s="290">
        <f ca="1">IF(B1="",'数据-取费表'!Q16,INDIRECT("'数据-取费表'!q"&amp;$G$1))</f>
        <v>0.2</v>
      </c>
      <c r="G27" s="291" t="s">
        <v>2380</v>
      </c>
    </row>
    <row r="28" spans="1:7" s="258" customFormat="1" ht="13.5" customHeight="1">
      <c r="A28" s="950" t="s">
        <v>791</v>
      </c>
      <c r="B28" s="292" t="s">
        <v>2381</v>
      </c>
      <c r="C28" s="293">
        <f ca="1">ROUND((C5+C19+C20)*F27,0)</f>
        <v>48782</v>
      </c>
      <c r="D28" s="279"/>
      <c r="E28" s="280"/>
      <c r="F28" s="290"/>
      <c r="G28" s="291"/>
    </row>
    <row r="29" spans="1:7" s="258" customFormat="1" ht="13.5" customHeight="1">
      <c r="A29" s="950"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336003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255832</v>
      </c>
      <c r="D33" s="276"/>
      <c r="E33" s="256"/>
      <c r="F33" s="285"/>
      <c r="G33" s="278"/>
    </row>
    <row r="34" spans="1:7" s="302" customFormat="1" ht="13.5" customHeight="1">
      <c r="A34" s="950" t="s">
        <v>791</v>
      </c>
      <c r="B34" s="259" t="s">
        <v>2390</v>
      </c>
      <c r="C34" s="264">
        <f ca="1">ROUND(IF(B1="",SUMPRODUCT('数据-取费表'!K6:K14,'数据-取费表'!L6:L14),INDIRECT("'数据-取费表'!l"&amp;$G$1)*INDIRECT("'数据-取费表'!k"&amp;$G$1)+'数据-取费表'!L14*INDIRECT("'数据-取费表'!S"&amp;$G$1)),0)</f>
        <v>229152</v>
      </c>
      <c r="D34" s="261"/>
      <c r="E34" s="264"/>
      <c r="F34" s="301"/>
      <c r="G34" s="263"/>
    </row>
    <row r="35" spans="1:7" ht="13.5" customHeight="1">
      <c r="A35" s="950" t="s">
        <v>796</v>
      </c>
      <c r="B35" s="259" t="s">
        <v>2392</v>
      </c>
      <c r="C35" s="264">
        <f ca="1">ROUND(C34*F35,0)</f>
        <v>6875</v>
      </c>
      <c r="D35" s="264"/>
      <c r="E35" s="264"/>
      <c r="F35" s="303">
        <f>'数据-取费表'!B33</f>
        <v>0.03</v>
      </c>
      <c r="G35" s="263" t="s">
        <v>2393</v>
      </c>
    </row>
    <row r="36" spans="1:7" ht="24">
      <c r="A36" s="950"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0" t="s">
        <v>798</v>
      </c>
      <c r="B37" s="259" t="s">
        <v>2396</v>
      </c>
      <c r="C37" s="293">
        <f ca="1">ROUND(E37*D37,0)</f>
        <v>16368</v>
      </c>
      <c r="D37" s="261">
        <f ca="1">D19</f>
        <v>81.84</v>
      </c>
      <c r="E37" s="293">
        <f>'数据-取费表'!B35</f>
        <v>200</v>
      </c>
      <c r="F37" s="303"/>
      <c r="G37" s="305"/>
    </row>
    <row r="38" spans="1:7" ht="13.5" customHeight="1">
      <c r="A38" s="950" t="s">
        <v>799</v>
      </c>
      <c r="B38" s="259" t="s">
        <v>2398</v>
      </c>
      <c r="C38" s="264">
        <f ca="1">ROUND(C34*F38,0)</f>
        <v>3437</v>
      </c>
      <c r="D38" s="264"/>
      <c r="E38" s="264"/>
      <c r="F38" s="303">
        <f>'数据-取费表'!B36</f>
        <v>1.4999999999999999E-2</v>
      </c>
      <c r="G38" s="263" t="s">
        <v>2393</v>
      </c>
    </row>
    <row r="39" spans="1:7" s="258" customFormat="1" ht="13.5" customHeight="1">
      <c r="A39" s="299" t="s">
        <v>2399</v>
      </c>
      <c r="B39" s="254" t="s">
        <v>2400</v>
      </c>
      <c r="C39" s="276">
        <f ca="1">ROUND(C33*F20,0)</f>
        <v>5117</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9242</v>
      </c>
      <c r="D41" s="279">
        <f ca="1">C44</f>
        <v>6.9999999999999999E-4</v>
      </c>
      <c r="E41" s="280" t="s">
        <v>2404</v>
      </c>
      <c r="F41" s="281"/>
      <c r="G41" s="278" t="str">
        <f>IF('数据-取费表'!B22&lt;=1,"单利计息","复利计息")</f>
        <v>复利计息</v>
      </c>
    </row>
    <row r="42" spans="1:7" ht="13.5" customHeight="1">
      <c r="A42" s="950" t="s">
        <v>791</v>
      </c>
      <c r="B42" s="259" t="s">
        <v>2408</v>
      </c>
      <c r="C42" s="282">
        <f ca="1">ROUND(IF('数据-取费表'!B22&lt;=1,C33*F22*'数据-取费表'!B20/2,C33*(POWER((1+F22),'数据-取费表'!B20/2)-1)),0)</f>
        <v>9061</v>
      </c>
      <c r="D42" s="282"/>
      <c r="E42" s="282"/>
      <c r="F42" s="283"/>
      <c r="G42" s="3149" t="s">
        <v>2456</v>
      </c>
    </row>
    <row r="43" spans="1:7" ht="13.5" customHeight="1">
      <c r="A43" s="950" t="s">
        <v>792</v>
      </c>
      <c r="B43" s="259" t="s">
        <v>2410</v>
      </c>
      <c r="C43" s="282">
        <f ca="1">ROUND(IF('数据-取费表'!B22&lt;=1,C39*F22*'数据-取费表'!B20/2,C39*(POWER((1+F22),'数据-取费表'!B20/2)-1)),0)</f>
        <v>181</v>
      </c>
      <c r="D43" s="282"/>
      <c r="E43" s="282"/>
      <c r="F43" s="283"/>
      <c r="G43" s="3150"/>
    </row>
    <row r="44" spans="1:7" ht="13.5" customHeight="1">
      <c r="A44" s="950" t="s">
        <v>793</v>
      </c>
      <c r="B44" s="259" t="s">
        <v>2411</v>
      </c>
      <c r="C44" s="282">
        <f ca="1">ROUND(IF('数据-取费表'!B22&lt;=1,C40*F22*'数据-取费表'!B20/2,C40*(POWER((1+F22),'数据-取费表'!B20/2)-1)),4)</f>
        <v>6.9999999999999999E-4</v>
      </c>
      <c r="D44" s="282"/>
      <c r="E44" s="282"/>
      <c r="F44" s="283"/>
      <c r="G44" s="3151"/>
    </row>
    <row r="45" spans="1:7" s="258" customFormat="1" ht="13.5" customHeight="1">
      <c r="A45" s="299" t="s">
        <v>2412</v>
      </c>
      <c r="B45" s="288" t="s">
        <v>2378</v>
      </c>
      <c r="C45" s="289">
        <f ca="1">C46</f>
        <v>52190</v>
      </c>
      <c r="D45" s="279">
        <f ca="1">C47</f>
        <v>4.0000000000000001E-3</v>
      </c>
      <c r="E45" s="280" t="s">
        <v>2404</v>
      </c>
      <c r="F45" s="290"/>
      <c r="G45" s="291" t="s">
        <v>2413</v>
      </c>
    </row>
    <row r="46" spans="1:7" s="258" customFormat="1" ht="13.5" customHeight="1">
      <c r="A46" s="950" t="s">
        <v>791</v>
      </c>
      <c r="B46" s="292" t="s">
        <v>2414</v>
      </c>
      <c r="C46" s="293">
        <f ca="1">ROUND((C33+C39)*F27,0)</f>
        <v>52190</v>
      </c>
      <c r="D46" s="307"/>
      <c r="E46" s="280"/>
      <c r="F46" s="290"/>
      <c r="G46" s="291"/>
    </row>
    <row r="47" spans="1:7" s="258" customFormat="1" ht="13.5" customHeight="1">
      <c r="A47" s="950"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349313</v>
      </c>
      <c r="D49" s="276"/>
      <c r="E49" s="276"/>
      <c r="F49" s="308"/>
      <c r="G49" s="278" t="s">
        <v>2419</v>
      </c>
    </row>
    <row r="50" spans="1:7" s="302" customFormat="1">
      <c r="A50" s="299" t="s">
        <v>2420</v>
      </c>
      <c r="B50" s="254" t="s">
        <v>2421</v>
      </c>
      <c r="C50" s="276"/>
      <c r="D50" s="276"/>
      <c r="E50" s="276"/>
      <c r="F50" s="308">
        <f>IF('数据-取费表'!B24=0,'数据-取费表'!N16,1)</f>
        <v>0.8</v>
      </c>
      <c r="G50" s="291"/>
    </row>
    <row r="51" spans="1:7" ht="16.5" customHeight="1">
      <c r="A51" s="299" t="s">
        <v>2423</v>
      </c>
      <c r="B51" s="254" t="s">
        <v>2458</v>
      </c>
      <c r="C51" s="276">
        <f ca="1">ROUND(C49*F50,0)</f>
        <v>279450</v>
      </c>
      <c r="D51" s="276"/>
      <c r="E51" s="276"/>
      <c r="F51" s="308"/>
      <c r="G51" s="278" t="s">
        <v>2425</v>
      </c>
    </row>
    <row r="52" spans="1:7" s="252" customFormat="1" ht="16.5" thickBot="1">
      <c r="A52" s="309" t="s">
        <v>2426</v>
      </c>
      <c r="B52" s="310"/>
      <c r="C52" s="311">
        <f ca="1">C31+C51</f>
        <v>615453</v>
      </c>
      <c r="D52" s="310"/>
      <c r="E52" s="310"/>
      <c r="F52" s="310"/>
      <c r="G52" s="312"/>
    </row>
    <row r="55" spans="1:7" ht="15">
      <c r="B55" s="314" t="s">
        <v>2427</v>
      </c>
      <c r="C55" s="315"/>
    </row>
    <row r="56" spans="1:7">
      <c r="B56" s="317" t="s">
        <v>1508</v>
      </c>
      <c r="C56" s="319">
        <f ca="1">1-C57</f>
        <v>0.54600000000000004</v>
      </c>
    </row>
    <row r="57" spans="1:7">
      <c r="B57" s="317" t="s">
        <v>1509</v>
      </c>
      <c r="C57" s="318">
        <f ca="1">ROUND(C51/C52,3)</f>
        <v>0.45400000000000001</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18495</v>
      </c>
      <c r="C2" s="320" t="s">
        <v>2460</v>
      </c>
      <c r="D2" s="320"/>
      <c r="E2" s="320"/>
      <c r="F2" s="320"/>
      <c r="G2" s="320"/>
      <c r="H2" s="320"/>
      <c r="I2" s="320"/>
      <c r="J2" s="320"/>
      <c r="K2" s="320"/>
    </row>
    <row r="3" spans="1:33" ht="18" customHeight="1" thickBot="1">
      <c r="A3" s="247" t="s">
        <v>2329</v>
      </c>
      <c r="B3" s="248">
        <f ca="1">ROUND(B2*10000/IF(C1="",'数据-汇总表'!E3,INDIRECT("'数据-取费表'!K"&amp;$K$1)),0)</f>
        <v>2259897</v>
      </c>
      <c r="C3" s="320" t="s">
        <v>2461</v>
      </c>
      <c r="D3" s="320"/>
      <c r="E3" s="320"/>
      <c r="F3" s="320"/>
      <c r="G3" s="320"/>
      <c r="H3" s="320"/>
      <c r="I3" s="320"/>
      <c r="J3" s="320"/>
      <c r="K3" s="320"/>
    </row>
    <row r="4" spans="1:33" s="955" customFormat="1" ht="16.5" customHeight="1">
      <c r="A4" s="952" t="s">
        <v>2462</v>
      </c>
      <c r="B4" s="953"/>
      <c r="C4" s="995">
        <f>SUM(C8:K8)</f>
        <v>0</v>
      </c>
      <c r="D4" s="953"/>
      <c r="E4" s="953"/>
      <c r="F4" s="953"/>
      <c r="G4" s="953"/>
      <c r="H4" s="953"/>
      <c r="I4" s="953"/>
      <c r="J4" s="953"/>
      <c r="K4" s="954"/>
    </row>
    <row r="5" spans="1:33" s="959" customFormat="1" ht="24.75">
      <c r="A5" s="956" t="s">
        <v>2463</v>
      </c>
      <c r="B5" s="957" t="s">
        <v>2464</v>
      </c>
      <c r="C5" s="2556" t="s">
        <v>2465</v>
      </c>
      <c r="D5" s="2556" t="s">
        <v>2466</v>
      </c>
      <c r="E5" s="2556" t="s">
        <v>2467</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2471</v>
      </c>
      <c r="B8" s="177" t="s">
        <v>2472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1330</v>
      </c>
      <c r="B11" s="971" t="s">
        <v>2480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2481</v>
      </c>
      <c r="C12" s="24">
        <f ca="1">ROUND(C11*F12,0)</f>
        <v>0</v>
      </c>
      <c r="D12" s="972"/>
      <c r="E12" s="375"/>
      <c r="F12" s="975">
        <f>'数据-取费表'!B33</f>
        <v>0.03</v>
      </c>
      <c r="G12" s="8" t="s">
        <v>2482</v>
      </c>
      <c r="H12" s="967"/>
      <c r="I12" s="967"/>
      <c r="J12" s="967"/>
      <c r="K12" s="968"/>
    </row>
    <row r="13" spans="1:33" s="974" customFormat="1" ht="13.5" customHeight="1">
      <c r="A13" s="970" t="s">
        <v>1332</v>
      </c>
      <c r="B13" s="971" t="s">
        <v>2483</v>
      </c>
      <c r="C13" s="24">
        <f ca="1">ROUND(IF(C1="",SUMIF('数据-取费表'!C:C,"住宅",'数据-取费表'!P:P)*F13,IF(INDIRECT("'数据-取费表'!c"&amp;$K$1)="住宅",INDIRECT("'数据-取费表'!P"&amp;$K$1)*F13,0)),0)</f>
        <v>0</v>
      </c>
      <c r="D13" s="1032"/>
      <c r="E13" s="375"/>
      <c r="F13" s="975">
        <f>'数据-取费表'!B34</f>
        <v>0.05</v>
      </c>
      <c r="G13" s="8" t="s">
        <v>2484</v>
      </c>
      <c r="H13" s="967"/>
      <c r="I13" s="967"/>
      <c r="J13" s="967"/>
      <c r="K13" s="968"/>
    </row>
    <row r="14" spans="1:33" s="976" customFormat="1" ht="13.5" customHeight="1">
      <c r="A14" s="970" t="s">
        <v>1333</v>
      </c>
      <c r="B14" s="971" t="s">
        <v>2485</v>
      </c>
      <c r="C14" s="24">
        <f ca="1">ROUND(D14*E14*F11/10000,0)</f>
        <v>0</v>
      </c>
      <c r="D14" s="1032">
        <f ca="1">IF(C1="",'数据-汇总表'!E3,INDIRECT("'数据-取费表'!K"&amp;$K$1)+INDIRECT("'数据-取费表'!S"&amp;$K$1))</f>
        <v>81.84</v>
      </c>
      <c r="E14" s="24">
        <f>'数据-取费表'!B35</f>
        <v>200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2487</v>
      </c>
      <c r="C15" s="982">
        <f ca="1">ROUND(C11*F15,0)</f>
        <v>0</v>
      </c>
      <c r="D15" s="977"/>
      <c r="E15" s="982"/>
      <c r="F15" s="983">
        <f>'数据-取费表'!B36</f>
        <v>1.4999999999999999E-2</v>
      </c>
      <c r="G15" s="140"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4">
        <f ca="1">ROUND(D17*E17/10000,0)</f>
        <v>0</v>
      </c>
      <c r="D17" s="1032">
        <f ca="1">D14</f>
        <v>81.84</v>
      </c>
      <c r="E17" s="24">
        <f>'数据-取费表'!B32</f>
        <v>0</v>
      </c>
      <c r="F17" s="977"/>
      <c r="G17" s="140" t="s">
        <v>2491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2492</v>
      </c>
      <c r="C18" s="24">
        <f ca="1">C19+C20-IF(C1="",'数据-取费表'!B29,IF(G18="已全部缴纳",C19+C20,H18))</f>
        <v>-15548</v>
      </c>
      <c r="D18" s="1032"/>
      <c r="E18" s="24"/>
      <c r="F18" s="975"/>
      <c r="G18" s="2558"/>
      <c r="H18" s="1576"/>
      <c r="I18" s="2559" t="s">
        <v>2493</v>
      </c>
      <c r="J18" s="978"/>
      <c r="K18" s="979"/>
    </row>
    <row r="19" spans="1:33" s="974" customFormat="1" ht="13.5" customHeight="1">
      <c r="A19" s="970" t="s">
        <v>805</v>
      </c>
      <c r="B19" s="971" t="s">
        <v>2494</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2495</v>
      </c>
      <c r="C20" s="24">
        <f ca="1">ROUND(D20*E20/10000,0)</f>
        <v>2</v>
      </c>
      <c r="D20" s="1032">
        <f ca="1">IF(C1="",'数据-汇总表'!E6,IF(INDIRECT("'数据-取费表'!c"&amp;$K$1)="住宅",INDIRECT("'数据-取费表'!s"&amp;$K$1),INDIRECT("'数据-取费表'!k"&amp;$K$1)+INDIRECT("'数据-取费表'!s"&amp;$K$1)))</f>
        <v>81.84</v>
      </c>
      <c r="E20" s="24">
        <f>'数据-取费表'!B28</f>
        <v>190</v>
      </c>
      <c r="F20" s="975"/>
      <c r="G20" s="15"/>
      <c r="H20" s="980"/>
      <c r="I20" s="980"/>
      <c r="J20" s="980"/>
      <c r="K20" s="981"/>
    </row>
    <row r="21" spans="1:33" s="974" customFormat="1" ht="13.5" customHeight="1">
      <c r="A21" s="960" t="s">
        <v>802</v>
      </c>
      <c r="B21" s="984" t="s">
        <v>2496</v>
      </c>
      <c r="C21" s="985">
        <f ca="1">C16+C17+C18</f>
        <v>-15548</v>
      </c>
      <c r="D21" s="986"/>
      <c r="E21" s="325"/>
      <c r="F21" s="325"/>
      <c r="G21" s="140" t="s">
        <v>2497</v>
      </c>
      <c r="H21" s="978"/>
      <c r="I21" s="978"/>
      <c r="J21" s="978"/>
      <c r="K21" s="979"/>
    </row>
    <row r="22" spans="1:33" s="974" customFormat="1" ht="13.5" customHeight="1">
      <c r="A22" s="960" t="s">
        <v>2469</v>
      </c>
      <c r="B22" s="984" t="s">
        <v>2498</v>
      </c>
      <c r="C22" s="985">
        <f ca="1">ROUND(C21*F22,0)</f>
        <v>-311</v>
      </c>
      <c r="D22" s="325"/>
      <c r="E22" s="325"/>
      <c r="F22" s="987">
        <f>'数据-取费表'!B37</f>
        <v>0.02</v>
      </c>
      <c r="G22" s="8" t="s">
        <v>2499</v>
      </c>
      <c r="H22" s="967"/>
      <c r="I22" s="967"/>
      <c r="J22" s="967"/>
      <c r="K22" s="968"/>
    </row>
    <row r="23" spans="1:33" s="974" customFormat="1" ht="13.5" customHeight="1">
      <c r="A23" s="960" t="s">
        <v>2471</v>
      </c>
      <c r="B23" s="984" t="s">
        <v>2500</v>
      </c>
      <c r="C23" s="985">
        <f ca="1">ROUND(C4*F23*F11,0)</f>
        <v>0</v>
      </c>
      <c r="D23" s="325"/>
      <c r="E23" s="325"/>
      <c r="F23" s="987">
        <f>'数据-取费表'!B38</f>
        <v>0.02</v>
      </c>
      <c r="G23" s="8" t="s">
        <v>2501</v>
      </c>
      <c r="H23" s="967"/>
      <c r="I23" s="967"/>
      <c r="J23" s="967"/>
      <c r="K23" s="968"/>
    </row>
    <row r="24" spans="1:33" s="974" customFormat="1" ht="13.5" customHeight="1">
      <c r="A24" s="960" t="s">
        <v>2502</v>
      </c>
      <c r="B24" s="984" t="s">
        <v>2503</v>
      </c>
      <c r="C24" s="324">
        <f>ROUND(F24/(1+'数据-取费表'!C42),4)</f>
        <v>2.9000000000000001E-2</v>
      </c>
      <c r="D24" s="325" t="s">
        <v>15</v>
      </c>
      <c r="E24" s="325"/>
      <c r="F24" s="987">
        <f>IF(项目基本情况!B8="出让",0,'数据-取费表'!B48+'数据-取费表'!B49)</f>
        <v>3.0499999999999999E-2</v>
      </c>
      <c r="G24" s="8" t="s">
        <v>2504</v>
      </c>
      <c r="H24" s="989"/>
      <c r="I24" s="989"/>
      <c r="J24" s="989"/>
      <c r="K24" s="990"/>
    </row>
    <row r="25" spans="1:33" s="974" customFormat="1" ht="13.5" customHeight="1">
      <c r="A25" s="960" t="s">
        <v>2505</v>
      </c>
      <c r="B25" s="986"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2509</v>
      </c>
      <c r="B28" s="2561" t="s">
        <v>2510</v>
      </c>
      <c r="C28" s="331">
        <f ca="1">C30</f>
        <v>-3172</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2511</v>
      </c>
      <c r="C29" s="328">
        <f ca="1">ROUND((1+C24)*F28*'数据-取费表'!B24/'数据-取费表'!B20,4)</f>
        <v>0</v>
      </c>
      <c r="D29" s="328"/>
      <c r="E29" s="329"/>
      <c r="F29" s="334"/>
      <c r="G29" s="140" t="s">
        <v>2512</v>
      </c>
      <c r="H29" s="978"/>
      <c r="I29" s="978"/>
      <c r="J29" s="978"/>
      <c r="K29" s="979"/>
    </row>
    <row r="30" spans="1:33" s="335" customFormat="1" ht="13.5" customHeight="1">
      <c r="A30" s="970" t="s">
        <v>804</v>
      </c>
      <c r="B30" s="993" t="s">
        <v>2513</v>
      </c>
      <c r="C30" s="336">
        <f ca="1">ROUND((C21+C22+C23)*F28,0)</f>
        <v>-3172</v>
      </c>
      <c r="D30" s="328"/>
      <c r="E30" s="329"/>
      <c r="F30" s="334"/>
      <c r="G30" s="140"/>
      <c r="H30" s="978"/>
      <c r="I30" s="978"/>
      <c r="J30" s="978"/>
      <c r="K30" s="979"/>
    </row>
    <row r="31" spans="1:33" s="974" customFormat="1" ht="13.5" customHeight="1" thickBot="1">
      <c r="A31" s="2562" t="s">
        <v>2514</v>
      </c>
      <c r="B31" s="1004" t="s">
        <v>2515</v>
      </c>
      <c r="C31" s="1005">
        <f>ROUND(C4*F31/(1+'数据-取费表'!C42),0)</f>
        <v>0</v>
      </c>
      <c r="D31" s="1006"/>
      <c r="E31" s="1007"/>
      <c r="F31" s="1008">
        <f>'数据-取费表'!B41</f>
        <v>5.5000000000000007E-2</v>
      </c>
      <c r="G31" s="1009" t="s">
        <v>2516</v>
      </c>
      <c r="H31" s="1010"/>
      <c r="I31" s="1010"/>
      <c r="J31" s="1010"/>
      <c r="K31" s="1011"/>
    </row>
    <row r="32" spans="1:33" s="969" customFormat="1" ht="13.5" customHeight="1" thickBot="1">
      <c r="A32" s="999" t="s">
        <v>2517</v>
      </c>
      <c r="B32" s="1000"/>
      <c r="C32" s="1001">
        <f ca="1">ROUND((C4-C21-C22-C23-C25-C28-C31)/(1+C24+D25+D28),0)</f>
        <v>18495</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2" t="b">
        <f>J53</f>
        <v>0</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0</v>
      </c>
      <c r="D5" s="1820" t="s">
        <v>1397</v>
      </c>
      <c r="E5" s="1292"/>
      <c r="F5" s="1293"/>
      <c r="G5" s="1849"/>
      <c r="H5" s="344">
        <v>1</v>
      </c>
      <c r="I5" s="345" t="s">
        <v>1396</v>
      </c>
      <c r="J5" s="1291">
        <f ca="1">J6+J10+J12</f>
        <v>0</v>
      </c>
      <c r="K5" s="1820" t="s">
        <v>1397</v>
      </c>
      <c r="L5" s="1292"/>
      <c r="M5" s="1293"/>
    </row>
    <row r="6" spans="1:37" ht="18" customHeight="1">
      <c r="A6" s="1290" t="s">
        <v>1032</v>
      </c>
      <c r="B6" s="3152" t="s">
        <v>1398</v>
      </c>
      <c r="C6" s="1295">
        <f ca="1">ROUND(F6*F8*F7*(1-F9)/10000,0)</f>
        <v>0</v>
      </c>
      <c r="D6" s="164" t="s">
        <v>3027</v>
      </c>
      <c r="E6" s="347" t="s">
        <v>1400</v>
      </c>
      <c r="F6" s="348">
        <f ca="1">INDIRECT("'数据-取费表'!u"&amp;$G$1)</f>
        <v>0</v>
      </c>
      <c r="G6" s="1849"/>
      <c r="H6" s="1290" t="s">
        <v>1032</v>
      </c>
      <c r="I6" s="3152" t="s">
        <v>1398</v>
      </c>
      <c r="J6" s="346">
        <f ca="1">ROUND(M6*M8*M7*(1-M9)/10000,0)</f>
        <v>0</v>
      </c>
      <c r="K6" s="164" t="s">
        <v>3026</v>
      </c>
      <c r="L6" s="347" t="s">
        <v>1400</v>
      </c>
      <c r="M6" s="348">
        <f ca="1">INDIRECT("'数据-取费表'!z"&amp;$G$1)</f>
        <v>0</v>
      </c>
    </row>
    <row r="7" spans="1:37" ht="18" customHeight="1">
      <c r="A7" s="1294"/>
      <c r="B7" s="3153"/>
      <c r="C7" s="1296"/>
      <c r="D7" s="352"/>
      <c r="E7" s="1297" t="s">
        <v>1401</v>
      </c>
      <c r="F7" s="348">
        <f ca="1">IF(INDIRECT("'数据-取费表'!ah"&amp;$G$1)="",INDIRECT("'数据-取费表'!k"&amp;$G$1),INDIRECT("'数据-取费表'!ah"&amp;$G$1))</f>
        <v>0</v>
      </c>
      <c r="G7" s="1849"/>
      <c r="H7" s="349"/>
      <c r="I7" s="3153"/>
      <c r="J7" s="351"/>
      <c r="K7" s="352"/>
      <c r="L7" s="347" t="s">
        <v>1401</v>
      </c>
      <c r="M7" s="348">
        <f ca="1">F7</f>
        <v>0</v>
      </c>
    </row>
    <row r="8" spans="1:37" ht="18" customHeight="1">
      <c r="A8" s="349"/>
      <c r="B8" s="3153"/>
      <c r="C8" s="351"/>
      <c r="D8" s="352"/>
      <c r="E8" s="347" t="s">
        <v>1402</v>
      </c>
      <c r="F8" s="348">
        <f ca="1">INDIRECT("'数据-取费表'!ai"&amp;$G$1)</f>
        <v>0</v>
      </c>
      <c r="G8" s="1849"/>
      <c r="H8" s="349"/>
      <c r="I8" s="3153"/>
      <c r="J8" s="351"/>
      <c r="K8" s="352"/>
      <c r="L8" s="347" t="s">
        <v>1402</v>
      </c>
      <c r="M8" s="348">
        <f ca="1">INDIRECT("'数据-取费表'!ai"&amp;$G$1)</f>
        <v>0</v>
      </c>
    </row>
    <row r="9" spans="1:37" ht="18" customHeight="1">
      <c r="A9" s="349"/>
      <c r="B9" s="3154"/>
      <c r="C9" s="351"/>
      <c r="D9" s="352"/>
      <c r="E9" s="347" t="s">
        <v>1403</v>
      </c>
      <c r="F9" s="357">
        <f ca="1">INDIRECT("'数据-取费表'!w"&amp;$G$1)</f>
        <v>0</v>
      </c>
      <c r="G9" s="1849"/>
      <c r="H9" s="349"/>
      <c r="I9" s="3154"/>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3036</v>
      </c>
      <c r="E10" s="358" t="s">
        <v>1405</v>
      </c>
      <c r="F10" s="1365"/>
      <c r="G10" s="1849"/>
      <c r="H10" s="1290" t="s">
        <v>1036</v>
      </c>
      <c r="I10" s="1821" t="s">
        <v>1404</v>
      </c>
      <c r="J10" s="346">
        <f ca="1">ROUND(IF(M10="押一",J6/12*M11,IF(M10="押二",J6/12*2*M11,IF(M10="押三",J6/12*3*M11,J11*M11))),0)</f>
        <v>0</v>
      </c>
      <c r="K10" s="1822" t="s">
        <v>3035</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7"/>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0</v>
      </c>
      <c r="D14" s="1798" t="s">
        <v>1413</v>
      </c>
      <c r="E14" s="1792"/>
      <c r="F14" s="364"/>
      <c r="G14" s="1849"/>
      <c r="H14" s="1200" t="s">
        <v>1032</v>
      </c>
      <c r="I14" s="347" t="s">
        <v>1414</v>
      </c>
      <c r="J14" s="24">
        <f ca="1">C29</f>
        <v>0</v>
      </c>
      <c r="K14" s="15"/>
      <c r="L14" s="978"/>
      <c r="M14" s="979"/>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ROUND(F17*(F43+INDIRECT("'数据-取费表'!S"&amp;$G$1))/10000,0)</f>
        <v>0</v>
      </c>
      <c r="D17" s="347" t="s">
        <v>1422</v>
      </c>
      <c r="E17" s="347" t="s">
        <v>1423</v>
      </c>
      <c r="F17" s="26">
        <f>'数据-取费表'!B35</f>
        <v>200</v>
      </c>
      <c r="G17" s="1852"/>
      <c r="H17" s="1200" t="s">
        <v>1032</v>
      </c>
      <c r="I17" s="347" t="s">
        <v>1424</v>
      </c>
      <c r="J17" s="24">
        <f ca="1">ROUND(IF(项目基本情况!B11="自然人",J5*M17,J18+J19+J20),1)</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ROUND(J5*M18/(1+'数据-取费表'!C42),2)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IF(K19="按租金收入计税",ROUND(J5*M19,2),ROUND(C29*M19*0.7,2))</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ROUND(M20*M21/10000,2)</f>
        <v>0</v>
      </c>
      <c r="K20" s="370" t="s">
        <v>1437</v>
      </c>
      <c r="L20" s="347" t="s">
        <v>1438</v>
      </c>
      <c r="M20" s="371">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ROUND(J13*M23,1)</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4"/>
      <c r="I30" s="745"/>
      <c r="J30" s="746"/>
      <c r="K30" s="747"/>
      <c r="L30" s="748"/>
      <c r="M30" s="749"/>
    </row>
    <row r="31" spans="1:37" ht="18" customHeight="1">
      <c r="A31" s="1200" t="s">
        <v>1032</v>
      </c>
      <c r="B31" s="347" t="s">
        <v>1424</v>
      </c>
      <c r="C31" s="24">
        <f ca="1">ROUND(IF(项目基本情况!B11="自然人",C5*F31,C32+C33+C34),1)</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IF(项目基本情况!B11="自然人","——",ROUND(C5*F32/(1+'数据-取费表'!C42),2))</f>
        <v>0</v>
      </c>
      <c r="D32" s="1796" t="s">
        <v>1429</v>
      </c>
      <c r="E32" s="347" t="s">
        <v>1417</v>
      </c>
      <c r="F32" s="377">
        <f>'数据-取费表'!B41</f>
        <v>5.5000000000000007E-2</v>
      </c>
      <c r="G32" s="1849"/>
      <c r="H32" s="744"/>
      <c r="I32" s="745"/>
      <c r="J32" s="746"/>
      <c r="K32" s="747"/>
      <c r="L32" s="748"/>
      <c r="M32" s="749"/>
    </row>
    <row r="33" spans="1:18" ht="18" customHeight="1">
      <c r="A33" s="1200" t="s">
        <v>1033</v>
      </c>
      <c r="B33" s="347" t="s">
        <v>1432</v>
      </c>
      <c r="C33" s="24">
        <f ca="1">IF(项目基本情况!B11="自然人","——",IF(D33="按租金收入计税",ROUND(C5*F33,2),IF(D33="按房产原值计税",ROUND(C29*F33*0.7,2),INDIRECT("'数据-取费表'!Aj"&amp;$G$1))))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IF(项目基本情况!B11="自然人","——",ROUND(F34*F35/10000,2))</f>
        <v>0</v>
      </c>
      <c r="D34" s="370" t="s">
        <v>1437</v>
      </c>
      <c r="E34" s="347" t="s">
        <v>1438</v>
      </c>
      <c r="F34" s="371">
        <f>'数据-取费表'!B52</f>
        <v>0</v>
      </c>
      <c r="G34" s="1849"/>
      <c r="H34" s="744"/>
      <c r="I34" s="1858"/>
      <c r="J34" s="1859"/>
      <c r="K34" s="1861"/>
      <c r="L34" s="1862"/>
      <c r="M34" s="1862"/>
    </row>
    <row r="35" spans="1:18" ht="18" customHeight="1">
      <c r="A35" s="1352"/>
      <c r="B35" s="1350"/>
      <c r="C35" s="29"/>
      <c r="D35" s="373"/>
      <c r="E35" s="347" t="s">
        <v>1442</v>
      </c>
      <c r="F35" s="348">
        <f ca="1">INDIRECT("'数据-取费表'!r"&amp;$G$1)</f>
        <v>0</v>
      </c>
      <c r="G35" s="1849"/>
      <c r="H35" s="744"/>
      <c r="I35" s="1858"/>
      <c r="J35" s="1859"/>
      <c r="K35" s="1860"/>
      <c r="L35" s="1857"/>
      <c r="M35" s="1857"/>
    </row>
    <row r="36" spans="1:18" ht="18" customHeight="1">
      <c r="A36" s="1351" t="s">
        <v>1036</v>
      </c>
      <c r="B36" s="347" t="s">
        <v>1444</v>
      </c>
      <c r="C36" s="24">
        <f ca="1">ROUND(C29*F36,1)</f>
        <v>0</v>
      </c>
      <c r="D36" s="1796" t="s">
        <v>1477</v>
      </c>
      <c r="E36" s="347" t="s">
        <v>1417</v>
      </c>
      <c r="F36" s="374">
        <f ca="1">INDIRECT("'数据-取费表'!Ak"&amp;$G$1)</f>
        <v>0</v>
      </c>
      <c r="G36" s="1849"/>
      <c r="H36" s="1857"/>
      <c r="I36" s="1858"/>
      <c r="J36" s="1859"/>
      <c r="K36" s="750"/>
      <c r="L36" s="1857"/>
      <c r="M36" s="1857"/>
    </row>
    <row r="37" spans="1:18" ht="18" customHeight="1">
      <c r="A37" s="1200" t="s">
        <v>1072</v>
      </c>
      <c r="B37" s="347" t="s">
        <v>1448</v>
      </c>
      <c r="C37" s="24">
        <f ca="1">ROUND(C13*F37,1)</f>
        <v>0</v>
      </c>
      <c r="D37" s="1796" t="s">
        <v>1449</v>
      </c>
      <c r="E37" s="347" t="s">
        <v>1450</v>
      </c>
      <c r="F37" s="376">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5"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ROUND(F49*F51*F50*(1-F52)/10000,0)</f>
        <v>0</v>
      </c>
      <c r="D49" s="1275" t="s">
        <v>3028</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367"/>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t="b">
        <f>J53</f>
        <v>0</v>
      </c>
      <c r="R52" s="1884" t="s">
        <v>1541</v>
      </c>
    </row>
    <row r="53" spans="1:18" s="1840" customFormat="1" ht="24.75" thickBot="1">
      <c r="A53" s="1404" t="s">
        <v>1134</v>
      </c>
      <c r="B53" s="1829" t="s">
        <v>1404</v>
      </c>
      <c r="C53" s="361">
        <f ca="1">ROUND(IF(F53="押一",C49/12*F11,IF(F53="押二",C49/12*2*F11,IF(F53="押三",C49/12*3*F11,C54*F11))),0)</f>
        <v>0</v>
      </c>
      <c r="D53" s="1822" t="s">
        <v>3035</v>
      </c>
      <c r="E53" s="358" t="s">
        <v>1405</v>
      </c>
      <c r="F53" s="1365"/>
      <c r="I53" s="1903" t="s">
        <v>1542</v>
      </c>
      <c r="J53" s="1904" t="b">
        <f>IF(M47="住宅",IF(D1="——",MAX(J51,L48),IF(D1="在建（套用方法）",MAX(J51,L48-'数据-取费表'!B24),MAX(J51,L48-'数据-取费表'!B20))),IF(D1="——",MIN(J51,L48),IF(D1="在建（套用方法）",MIN(J51,L48-'数据-取费表'!B24),IF(D1="土地（套用方法）",MIN(J51,L48-'数据-取费表'!B20)))))</f>
        <v>0</v>
      </c>
      <c r="K53" s="3155" t="s">
        <v>1543</v>
      </c>
      <c r="L53" s="3156"/>
      <c r="O53" s="1882" t="s">
        <v>1043</v>
      </c>
      <c r="P53" s="1883" t="s">
        <v>1544</v>
      </c>
      <c r="Q53" s="1884" t="e">
        <f ca="1">Q47+Q48</f>
        <v>#DIV/0!</v>
      </c>
      <c r="R53" s="1884" t="s">
        <v>1044</v>
      </c>
    </row>
    <row r="54" spans="1:18" s="1840" customFormat="1" ht="13.5" thickBot="1">
      <c r="A54" s="1405"/>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#DIV/0!</v>
      </c>
      <c r="K55" s="1910" t="s">
        <v>1547</v>
      </c>
      <c r="L55" s="1911" t="s">
        <v>1548</v>
      </c>
      <c r="O55" s="1875" t="s">
        <v>1517</v>
      </c>
      <c r="P55" s="1876" t="s">
        <v>1518</v>
      </c>
      <c r="Q55" s="1877" t="s">
        <v>1519</v>
      </c>
      <c r="R55" s="1877" t="s">
        <v>1520</v>
      </c>
    </row>
    <row r="56" spans="1:18" s="1840" customFormat="1" ht="25.5" thickTop="1" thickBot="1">
      <c r="A56" s="1175">
        <v>2</v>
      </c>
      <c r="B56" s="1176" t="s">
        <v>1409</v>
      </c>
      <c r="C56" s="276">
        <f ca="1">C13</f>
        <v>0</v>
      </c>
      <c r="D56" s="1912"/>
      <c r="E56" s="1913"/>
      <c r="F56" s="1905"/>
      <c r="I56" s="1914" t="s">
        <v>1549</v>
      </c>
      <c r="J56" s="1915"/>
      <c r="K56" s="1885" t="s">
        <v>1550</v>
      </c>
      <c r="L56" s="1888">
        <f ca="1">IF(L48&lt;J51,"——",L48-J53)</f>
        <v>0</v>
      </c>
      <c r="O56" s="1882" t="s">
        <v>1037</v>
      </c>
      <c r="P56" s="1883" t="s">
        <v>1523</v>
      </c>
      <c r="Q56" s="1884" t="e">
        <f ca="1">C40+J29</f>
        <v>#DIV/0!</v>
      </c>
      <c r="R56" s="1884" t="s">
        <v>1524</v>
      </c>
    </row>
    <row r="57" spans="1:18" s="1840" customFormat="1" ht="24.75" thickBot="1">
      <c r="A57" s="1916"/>
      <c r="B57" s="1168" t="s">
        <v>1473</v>
      </c>
      <c r="C57" s="282">
        <f ca="1">C29</f>
        <v>0</v>
      </c>
      <c r="D57" s="1917"/>
      <c r="E57" s="1918"/>
      <c r="F57" s="1919"/>
      <c r="I57" s="1920" t="s">
        <v>1551</v>
      </c>
      <c r="J57" s="1921">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60" t="s">
        <v>1027</v>
      </c>
      <c r="B58" s="1176" t="s">
        <v>1419</v>
      </c>
      <c r="C58" s="361">
        <f ca="1">ROUND(C59+C64+C65+C66,0)</f>
        <v>0</v>
      </c>
      <c r="D58" s="1178" t="s">
        <v>1420</v>
      </c>
      <c r="E58" s="1179"/>
      <c r="F58" s="1180"/>
      <c r="I58" s="1920" t="s">
        <v>1555</v>
      </c>
      <c r="J58" s="1922"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8" t="str">
        <f ca="1">IF(项目基本情况!B11="企业","",IF(INDIRECT("'数据-取费表'!c"&amp;$G$1)="住宅",5%,IF(F49*F50*F51/12/(1+'数据-取费表'!C42)&gt;20000,12%,7%)))</f>
        <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7">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0</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ROUND(C57*F64,1)</f>
        <v>0</v>
      </c>
      <c r="D64" s="1182" t="s">
        <v>1497</v>
      </c>
      <c r="E64" s="1168" t="s">
        <v>1489</v>
      </c>
      <c r="F64" s="374">
        <f t="shared" ca="1" si="0"/>
        <v>0</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6">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5" thickBot="1">
      <c r="A66" s="1200" t="s">
        <v>1499</v>
      </c>
      <c r="B66" s="1168" t="s">
        <v>1434</v>
      </c>
      <c r="C66" s="24">
        <f ca="1">ROUND(C48*F66,1)</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1">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2"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2" t="s">
        <v>1579</v>
      </c>
      <c r="Q69" s="1884">
        <f ca="1">C39</f>
        <v>0</v>
      </c>
      <c r="R69" s="1884" t="s">
        <v>1524</v>
      </c>
    </row>
    <row r="70" spans="1:18" s="1840" customFormat="1" ht="13.5" thickBot="1">
      <c r="A70" s="1172"/>
      <c r="B70" s="1173"/>
      <c r="C70" s="355"/>
      <c r="D70" s="1184"/>
      <c r="E70" s="1168" t="s">
        <v>1472</v>
      </c>
      <c r="F70" s="1274"/>
      <c r="O70" s="1892" t="s">
        <v>1046</v>
      </c>
      <c r="P70" s="1932" t="s">
        <v>1580</v>
      </c>
      <c r="Q70" s="1884">
        <f ca="1">C13</f>
        <v>0</v>
      </c>
      <c r="R70" s="1884" t="s">
        <v>1524</v>
      </c>
    </row>
    <row r="71" spans="1:18" s="1840" customFormat="1" ht="13.5" thickBot="1">
      <c r="A71" s="1189" t="s">
        <v>1030</v>
      </c>
      <c r="B71" s="1190" t="s">
        <v>1482</v>
      </c>
      <c r="C71" s="382" t="e">
        <f ca="1">ROUND(C68*10000/F71,0)</f>
        <v>#DIV/0!</v>
      </c>
      <c r="D71" s="1191" t="s">
        <v>1483</v>
      </c>
      <c r="E71" s="1192" t="s">
        <v>1484</v>
      </c>
      <c r="F71" s="385">
        <f ca="1">F43</f>
        <v>0</v>
      </c>
      <c r="O71" s="1892" t="s">
        <v>1047</v>
      </c>
      <c r="P71" s="1932"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2526</v>
      </c>
      <c r="B1" s="2564"/>
      <c r="C1" s="2564"/>
      <c r="D1" s="2564"/>
      <c r="E1" s="2565"/>
    </row>
    <row r="2" spans="1:6" ht="15.75">
      <c r="A2" s="2566" t="s">
        <v>2327</v>
      </c>
      <c r="B2" s="2567">
        <f ca="1">SUMIF(B6:B13,"&lt;&gt;#ref!",B6:B13)</f>
        <v>98</v>
      </c>
      <c r="C2" s="2568" t="s">
        <v>2519</v>
      </c>
      <c r="D2" s="2569" t="s">
        <v>2520</v>
      </c>
      <c r="E2" s="2570">
        <f>SUM(E6:E13)</f>
        <v>81.84</v>
      </c>
    </row>
    <row r="3" spans="1:6" ht="15.75">
      <c r="A3" s="2566" t="s">
        <v>1390</v>
      </c>
      <c r="B3" s="2567">
        <f ca="1">ROUND(B2*10000/E2,0)</f>
        <v>11975</v>
      </c>
      <c r="C3" s="2568" t="s">
        <v>2527</v>
      </c>
      <c r="D3" s="2571"/>
      <c r="E3" s="2572"/>
    </row>
    <row r="4" spans="1:6" ht="15.75">
      <c r="A4" s="2573"/>
      <c r="B4" s="2571"/>
      <c r="C4" s="2571"/>
      <c r="D4" s="2571"/>
      <c r="E4" s="2572"/>
    </row>
    <row r="5" spans="1:6" ht="15">
      <c r="A5" s="2574" t="s">
        <v>2521</v>
      </c>
      <c r="B5" s="3157" t="s">
        <v>2522</v>
      </c>
      <c r="C5" s="3157"/>
      <c r="D5" s="2575"/>
      <c r="E5" s="2576" t="s">
        <v>2523</v>
      </c>
      <c r="F5" s="2577" t="s">
        <v>2524</v>
      </c>
    </row>
    <row r="6" spans="1:6">
      <c r="A6" s="2578" t="str">
        <f>'数据-取费表'!AN6</f>
        <v>收益法 (元)</v>
      </c>
      <c r="B6" s="2577">
        <f ca="1">IF(F6="是",'数据-取费表'!AO6,0)</f>
        <v>98</v>
      </c>
      <c r="C6" s="2568" t="s">
        <v>2519</v>
      </c>
      <c r="D6" s="2571"/>
      <c r="E6" s="2579">
        <f>IF(OR(A6=0,F6="否"),0,'数据-取费表'!K6+'数据-取费表'!S6)</f>
        <v>81.84</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1073</v>
      </c>
      <c r="B1" s="3159"/>
      <c r="C1" s="3160"/>
      <c r="D1" s="3161">
        <f>SUM(I10,I15,I20,I21,I23)</f>
        <v>0</v>
      </c>
      <c r="E1" s="3161"/>
      <c r="F1" s="3161"/>
      <c r="G1" s="3161"/>
      <c r="H1" s="3161"/>
      <c r="I1" s="3162"/>
    </row>
    <row r="2" spans="1:9">
      <c r="A2" s="3163" t="s">
        <v>1074</v>
      </c>
      <c r="B2" s="3164" t="s">
        <v>1075</v>
      </c>
      <c r="C2" s="3164"/>
      <c r="D2" s="1300" t="s">
        <v>1076</v>
      </c>
      <c r="E2" s="1300" t="s">
        <v>1077</v>
      </c>
      <c r="F2" s="1300" t="s">
        <v>1078</v>
      </c>
      <c r="G2" s="1300" t="s">
        <v>1079</v>
      </c>
      <c r="H2" s="1300" t="s">
        <v>1080</v>
      </c>
      <c r="I2" s="1301" t="s">
        <v>1081</v>
      </c>
    </row>
    <row r="3" spans="1:9">
      <c r="A3" s="3163"/>
      <c r="B3" s="3164" t="s">
        <v>1082</v>
      </c>
      <c r="C3" s="3164"/>
      <c r="D3" s="1302"/>
      <c r="E3" s="1300"/>
      <c r="F3" s="1303"/>
      <c r="G3" s="1303"/>
      <c r="H3" s="1304"/>
      <c r="I3" s="1305">
        <f>ROUND(D3*E3*F3*G3*H3/10000,0)</f>
        <v>0</v>
      </c>
    </row>
    <row r="4" spans="1:9">
      <c r="A4" s="3163"/>
      <c r="B4" s="3164" t="s">
        <v>1083</v>
      </c>
      <c r="C4" s="3164"/>
      <c r="D4" s="1302"/>
      <c r="E4" s="1300"/>
      <c r="F4" s="1303"/>
      <c r="G4" s="1303"/>
      <c r="H4" s="1304"/>
      <c r="I4" s="1305">
        <f t="shared" ref="I4:I9" si="0">ROUND(D4*E4*F4*G4*H4/10000,0)</f>
        <v>0</v>
      </c>
    </row>
    <row r="5" spans="1:9">
      <c r="A5" s="3163"/>
      <c r="B5" s="3164" t="s">
        <v>1084</v>
      </c>
      <c r="C5" s="3164"/>
      <c r="D5" s="1302"/>
      <c r="E5" s="1300"/>
      <c r="F5" s="1303"/>
      <c r="G5" s="1303"/>
      <c r="H5" s="1304"/>
      <c r="I5" s="1305">
        <f t="shared" si="0"/>
        <v>0</v>
      </c>
    </row>
    <row r="6" spans="1:9">
      <c r="A6" s="3163"/>
      <c r="B6" s="3164" t="s">
        <v>1085</v>
      </c>
      <c r="C6" s="3164"/>
      <c r="D6" s="1302"/>
      <c r="E6" s="1300"/>
      <c r="F6" s="1303"/>
      <c r="G6" s="1303"/>
      <c r="H6" s="1304"/>
      <c r="I6" s="1305">
        <f t="shared" si="0"/>
        <v>0</v>
      </c>
    </row>
    <row r="7" spans="1:9">
      <c r="A7" s="3163"/>
      <c r="B7" s="3164" t="s">
        <v>1086</v>
      </c>
      <c r="C7" s="3164"/>
      <c r="D7" s="1302"/>
      <c r="E7" s="1300"/>
      <c r="F7" s="1303"/>
      <c r="G7" s="1303"/>
      <c r="H7" s="1304"/>
      <c r="I7" s="1305">
        <f t="shared" si="0"/>
        <v>0</v>
      </c>
    </row>
    <row r="8" spans="1:9">
      <c r="A8" s="3163"/>
      <c r="B8" s="3164" t="s">
        <v>1087</v>
      </c>
      <c r="C8" s="3164"/>
      <c r="D8" s="1302"/>
      <c r="E8" s="1300"/>
      <c r="F8" s="1303"/>
      <c r="G8" s="1303"/>
      <c r="H8" s="1304"/>
      <c r="I8" s="1305">
        <f t="shared" si="0"/>
        <v>0</v>
      </c>
    </row>
    <row r="9" spans="1:9">
      <c r="A9" s="3163"/>
      <c r="B9" s="3164" t="s">
        <v>1088</v>
      </c>
      <c r="C9" s="3164"/>
      <c r="D9" s="1302"/>
      <c r="E9" s="1300"/>
      <c r="F9" s="1303"/>
      <c r="G9" s="1303"/>
      <c r="H9" s="1304"/>
      <c r="I9" s="1305">
        <f t="shared" si="0"/>
        <v>0</v>
      </c>
    </row>
    <row r="10" spans="1:9">
      <c r="A10" s="3163"/>
      <c r="B10" s="3165" t="s">
        <v>1089</v>
      </c>
      <c r="C10" s="3165"/>
      <c r="D10" s="1306"/>
      <c r="E10" s="1306" t="e">
        <f>ROUND(D1*10000/D10/H9,0)</f>
        <v>#DIV/0!</v>
      </c>
      <c r="F10" s="1307"/>
      <c r="G10" s="1307"/>
      <c r="H10" s="1308"/>
      <c r="I10" s="1309">
        <f>SUM(I3:I9)</f>
        <v>0</v>
      </c>
    </row>
    <row r="11" spans="1:9" ht="14.25">
      <c r="A11" s="3163" t="s">
        <v>1090</v>
      </c>
      <c r="B11" s="3164" t="s">
        <v>1091</v>
      </c>
      <c r="C11" s="3164"/>
      <c r="D11" s="1302" t="s">
        <v>1092</v>
      </c>
      <c r="E11" s="1302" t="s">
        <v>1093</v>
      </c>
      <c r="F11" s="1303" t="s">
        <v>1094</v>
      </c>
      <c r="G11" s="1303" t="s">
        <v>1080</v>
      </c>
      <c r="H11" s="1310" t="s">
        <v>1095</v>
      </c>
      <c r="I11" s="1301" t="s">
        <v>1081</v>
      </c>
    </row>
    <row r="12" spans="1:9">
      <c r="A12" s="3163"/>
      <c r="B12" s="3164" t="s">
        <v>1096</v>
      </c>
      <c r="C12" s="3164"/>
      <c r="D12" s="1302"/>
      <c r="E12" s="1302"/>
      <c r="F12" s="1303"/>
      <c r="G12" s="1304"/>
      <c r="H12" s="1311"/>
      <c r="I12" s="1301">
        <f>ROUND(D12*E12*F12*G12/10000,0)</f>
        <v>0</v>
      </c>
    </row>
    <row r="13" spans="1:9">
      <c r="A13" s="3163"/>
      <c r="B13" s="3164" t="s">
        <v>1097</v>
      </c>
      <c r="C13" s="3164"/>
      <c r="D13" s="1302"/>
      <c r="E13" s="1302"/>
      <c r="F13" s="1303"/>
      <c r="G13" s="1304"/>
      <c r="H13" s="1311"/>
      <c r="I13" s="1301">
        <f>ROUND(D13*E13*F13*G13/10000,0)</f>
        <v>0</v>
      </c>
    </row>
    <row r="14" spans="1:9">
      <c r="A14" s="3163"/>
      <c r="B14" s="3164" t="s">
        <v>1098</v>
      </c>
      <c r="C14" s="3164"/>
      <c r="D14" s="1302"/>
      <c r="E14" s="1302"/>
      <c r="F14" s="1303"/>
      <c r="G14" s="1304"/>
      <c r="H14" s="1311"/>
      <c r="I14" s="1301">
        <f>ROUND(D14*E14*F14*G14/10000,0)</f>
        <v>0</v>
      </c>
    </row>
    <row r="15" spans="1:9">
      <c r="A15" s="3163"/>
      <c r="B15" s="3165" t="s">
        <v>1089</v>
      </c>
      <c r="C15" s="3165"/>
      <c r="D15" s="1306"/>
      <c r="E15" s="1306">
        <f>SUM(E12:E14)</f>
        <v>0</v>
      </c>
      <c r="F15" s="1307"/>
      <c r="G15" s="1304"/>
      <c r="H15" s="1311"/>
      <c r="I15" s="1312">
        <f>SUM(I12:I14)</f>
        <v>0</v>
      </c>
    </row>
    <row r="16" spans="1:9" ht="24">
      <c r="A16" s="3163" t="s">
        <v>1099</v>
      </c>
      <c r="B16" s="3164" t="s">
        <v>1100</v>
      </c>
      <c r="C16" s="3164"/>
      <c r="D16" s="1302" t="s">
        <v>1076</v>
      </c>
      <c r="E16" s="1313" t="s">
        <v>1101</v>
      </c>
      <c r="F16" s="1303" t="s">
        <v>1102</v>
      </c>
      <c r="G16" s="1304" t="s">
        <v>1080</v>
      </c>
      <c r="H16" s="1310" t="s">
        <v>1095</v>
      </c>
      <c r="I16" s="1301" t="s">
        <v>1081</v>
      </c>
    </row>
    <row r="17" spans="1:9" ht="14.25">
      <c r="A17" s="3163"/>
      <c r="B17" s="3164" t="s">
        <v>1103</v>
      </c>
      <c r="C17" s="3164"/>
      <c r="D17" s="1302"/>
      <c r="E17" s="1302"/>
      <c r="F17" s="1303"/>
      <c r="G17" s="1304"/>
      <c r="H17" s="1314"/>
      <c r="I17" s="1315">
        <f>ROUND(D17*E17*F17*G17/10000,0)</f>
        <v>0</v>
      </c>
    </row>
    <row r="18" spans="1:9" ht="14.25">
      <c r="A18" s="3163"/>
      <c r="B18" s="3164" t="s">
        <v>1104</v>
      </c>
      <c r="C18" s="3164"/>
      <c r="D18" s="1302"/>
      <c r="E18" s="1302"/>
      <c r="F18" s="1303"/>
      <c r="G18" s="1304"/>
      <c r="H18" s="1314"/>
      <c r="I18" s="1315">
        <f>ROUND(D18*E18*F18*G18/10000,0)</f>
        <v>0</v>
      </c>
    </row>
    <row r="19" spans="1:9" ht="14.25">
      <c r="A19" s="3163"/>
      <c r="B19" s="3164" t="s">
        <v>1105</v>
      </c>
      <c r="C19" s="3164"/>
      <c r="D19" s="1302"/>
      <c r="E19" s="1302"/>
      <c r="F19" s="1303"/>
      <c r="G19" s="1304"/>
      <c r="H19" s="1314"/>
      <c r="I19" s="1315">
        <f>ROUND(D19*E19*F19*G19/10000,0)</f>
        <v>0</v>
      </c>
    </row>
    <row r="20" spans="1:9">
      <c r="A20" s="3163"/>
      <c r="B20" s="3165" t="s">
        <v>1089</v>
      </c>
      <c r="C20" s="3165"/>
      <c r="D20" s="1306">
        <f>SUM(D17:D19)</f>
        <v>0</v>
      </c>
      <c r="E20" s="1306"/>
      <c r="F20" s="1307"/>
      <c r="G20" s="1304"/>
      <c r="H20" s="1311"/>
      <c r="I20" s="1312">
        <f>SUM(I17:I19)</f>
        <v>0</v>
      </c>
    </row>
    <row r="21" spans="1:9">
      <c r="A21" s="3163" t="s">
        <v>1106</v>
      </c>
      <c r="B21" s="3167"/>
      <c r="C21" s="3167"/>
      <c r="D21" s="3167"/>
      <c r="E21" s="3167"/>
      <c r="F21" s="3167"/>
      <c r="G21" s="3167"/>
      <c r="H21" s="1763">
        <v>0.1</v>
      </c>
      <c r="I21" s="1309">
        <f>ROUND(I10*H21,0)</f>
        <v>0</v>
      </c>
    </row>
    <row r="22" spans="1:9" ht="14.25">
      <c r="A22" s="3168" t="s">
        <v>1107</v>
      </c>
      <c r="B22" s="3169"/>
      <c r="C22" s="3170"/>
      <c r="D22" s="1316" t="s">
        <v>1108</v>
      </c>
      <c r="E22" s="1316" t="s">
        <v>1109</v>
      </c>
      <c r="F22" s="1317" t="s">
        <v>1110</v>
      </c>
      <c r="G22" s="1317" t="s">
        <v>1111</v>
      </c>
      <c r="H22" s="1310" t="s">
        <v>1112</v>
      </c>
      <c r="I22" s="1301" t="s">
        <v>1113</v>
      </c>
    </row>
    <row r="23" spans="1:9" ht="14.25" thickBot="1">
      <c r="A23" s="3171"/>
      <c r="B23" s="3172"/>
      <c r="C23" s="3173"/>
      <c r="D23" s="1318"/>
      <c r="E23" s="1318"/>
      <c r="F23" s="1318"/>
      <c r="G23" s="1319"/>
      <c r="H23" s="1320"/>
      <c r="I23" s="1321">
        <f>ROUND(E23*D23*F23*(1-G23)/10000,0)</f>
        <v>0</v>
      </c>
    </row>
    <row r="26" spans="1:9">
      <c r="A26" s="1322" t="s">
        <v>1114</v>
      </c>
      <c r="B26" s="1322"/>
      <c r="C26" s="1322"/>
      <c r="D26" s="1322"/>
      <c r="E26" s="3174">
        <f>C27-C30-C31-C32</f>
        <v>0</v>
      </c>
      <c r="F26" s="3174"/>
      <c r="G26" s="3174"/>
      <c r="H26" s="1735" t="s">
        <v>1336</v>
      </c>
    </row>
    <row r="27" spans="1:9">
      <c r="A27" s="1323">
        <v>1</v>
      </c>
      <c r="B27" s="1324" t="s">
        <v>1115</v>
      </c>
      <c r="C27" s="1324">
        <f>C28+C29</f>
        <v>0</v>
      </c>
      <c r="D27" s="1324"/>
      <c r="E27" s="3175"/>
      <c r="F27" s="3175"/>
      <c r="G27" s="3175"/>
    </row>
    <row r="28" spans="1:9">
      <c r="A28" s="1325" t="s">
        <v>1116</v>
      </c>
      <c r="B28" s="1324" t="s">
        <v>1117</v>
      </c>
      <c r="C28" s="1324"/>
      <c r="D28" s="1324"/>
      <c r="E28" s="3175"/>
      <c r="F28" s="3175"/>
      <c r="G28" s="3175"/>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6"/>
      <c r="F32" s="3166"/>
      <c r="G32" s="3166"/>
    </row>
    <row r="33" spans="1:7" hidden="1">
      <c r="A33" s="3176" t="s">
        <v>1126</v>
      </c>
      <c r="B33" s="3177"/>
      <c r="C33" s="3177"/>
      <c r="D33" s="3178"/>
      <c r="E33" s="3174"/>
      <c r="F33" s="3174"/>
      <c r="G33" s="3174"/>
    </row>
    <row r="34" spans="1:7" hidden="1">
      <c r="A34" s="1327">
        <v>1</v>
      </c>
      <c r="B34" s="1324" t="s">
        <v>1127</v>
      </c>
      <c r="C34" s="1324"/>
      <c r="D34" s="1324"/>
      <c r="E34" s="3175"/>
      <c r="F34" s="3175"/>
      <c r="G34" s="3175"/>
    </row>
    <row r="35" spans="1:7" hidden="1">
      <c r="A35" s="1327">
        <v>2</v>
      </c>
      <c r="B35" s="1324" t="s">
        <v>1128</v>
      </c>
      <c r="C35" s="1324"/>
      <c r="D35" s="1324"/>
      <c r="E35" s="3175"/>
      <c r="F35" s="3175"/>
      <c r="G35" s="3175"/>
    </row>
    <row r="36" spans="1:7" hidden="1">
      <c r="A36" s="1327">
        <v>3</v>
      </c>
      <c r="B36" s="1324" t="s">
        <v>1129</v>
      </c>
      <c r="C36" s="1324"/>
      <c r="D36" s="1324"/>
      <c r="E36" s="3175"/>
      <c r="F36" s="3175"/>
      <c r="G36" s="3175"/>
    </row>
    <row r="37" spans="1:7" hidden="1">
      <c r="A37" s="1327">
        <v>4</v>
      </c>
      <c r="B37" s="1324" t="s">
        <v>1130</v>
      </c>
      <c r="C37" s="1324"/>
      <c r="D37" s="1324"/>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8"/>
      <c r="D2" s="1364" t="e">
        <f ca="1">SUMIF(INDIRECT("'"&amp;F2&amp;"'"&amp;"!A:A"),"承租人权益价值",INDIRECT("'"&amp;F2&amp;"'"&amp;"!c:c"))</f>
        <v>#REF!</v>
      </c>
      <c r="E2" s="2589" t="s">
        <v>2533</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2534</v>
      </c>
      <c r="D3" s="399">
        <f>IF(D1="",'数据-汇总表'!E3,SUMIF('数据-汇总表'!$C19:$C33,D1,'数据-汇总表'!$E19:$E33))</f>
        <v>81.84</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197" t="s">
        <v>2536</v>
      </c>
      <c r="D4" s="3198"/>
      <c r="E4" s="3199" t="s">
        <v>2537</v>
      </c>
      <c r="F4" s="3200"/>
      <c r="G4" s="3197" t="s">
        <v>2538</v>
      </c>
      <c r="H4" s="3198"/>
      <c r="I4" s="3197" t="s">
        <v>2539</v>
      </c>
      <c r="J4" s="3198"/>
      <c r="K4" s="2598" t="s">
        <v>2540</v>
      </c>
      <c r="L4" s="1129"/>
      <c r="M4" s="1130"/>
      <c r="N4" s="1130"/>
      <c r="O4" s="1130"/>
      <c r="P4" s="3201" t="s">
        <v>2541</v>
      </c>
      <c r="Q4" s="3202"/>
      <c r="R4" s="3184" t="s">
        <v>2537</v>
      </c>
      <c r="S4" s="3185"/>
      <c r="T4" s="3184" t="s">
        <v>2538</v>
      </c>
      <c r="U4" s="3185"/>
      <c r="V4" s="3209" t="s">
        <v>2539</v>
      </c>
      <c r="W4" s="3209"/>
      <c r="X4" s="1811"/>
      <c r="Y4" s="3184" t="s">
        <v>2541</v>
      </c>
      <c r="Z4" s="3185"/>
      <c r="AA4" s="3179" t="s">
        <v>2537</v>
      </c>
      <c r="AB4" s="3179" t="s">
        <v>2538</v>
      </c>
      <c r="AC4" s="3179" t="s">
        <v>2539</v>
      </c>
    </row>
    <row r="5" spans="1:29" ht="15">
      <c r="A5" s="404"/>
      <c r="B5" s="405"/>
      <c r="C5" s="3190" t="s">
        <v>2542</v>
      </c>
      <c r="D5" s="3191"/>
      <c r="E5" s="3188" t="s">
        <v>2543</v>
      </c>
      <c r="F5" s="3189"/>
      <c r="G5" s="3190" t="s">
        <v>2544</v>
      </c>
      <c r="H5" s="3191"/>
      <c r="I5" s="3190" t="s">
        <v>2545</v>
      </c>
      <c r="J5" s="3191"/>
      <c r="K5" s="2599"/>
      <c r="L5" s="1129"/>
      <c r="M5" s="1130"/>
      <c r="N5" s="1130"/>
      <c r="O5" s="1130"/>
      <c r="P5" s="3203"/>
      <c r="Q5" s="3204"/>
      <c r="R5" s="3186"/>
      <c r="S5" s="3187"/>
      <c r="T5" s="3186"/>
      <c r="U5" s="3187"/>
      <c r="V5" s="3209"/>
      <c r="W5" s="3209"/>
      <c r="X5" s="1811"/>
      <c r="Y5" s="3186"/>
      <c r="Z5" s="3187"/>
      <c r="AA5" s="3180"/>
      <c r="AB5" s="3180"/>
      <c r="AC5" s="3180"/>
    </row>
    <row r="6" spans="1:29" ht="15.75" thickBot="1">
      <c r="A6" s="406"/>
      <c r="B6" s="407"/>
      <c r="C6" s="3192" t="s">
        <v>2546</v>
      </c>
      <c r="D6" s="3193"/>
      <c r="E6" s="3194" t="s">
        <v>2546</v>
      </c>
      <c r="F6" s="3195"/>
      <c r="G6" s="3192" t="s">
        <v>2546</v>
      </c>
      <c r="H6" s="3193"/>
      <c r="I6" s="3192" t="s">
        <v>2546</v>
      </c>
      <c r="J6" s="3193"/>
      <c r="K6" s="2599" t="s">
        <v>2547</v>
      </c>
      <c r="L6" s="1129"/>
      <c r="M6" s="1130"/>
      <c r="N6" s="1130"/>
      <c r="O6" s="1130"/>
      <c r="P6" s="3205"/>
      <c r="Q6" s="3206"/>
      <c r="R6" s="3186"/>
      <c r="S6" s="3187"/>
      <c r="T6" s="3207"/>
      <c r="U6" s="3208"/>
      <c r="V6" s="3209"/>
      <c r="W6" s="3209"/>
      <c r="X6" s="1811"/>
      <c r="Y6" s="3207"/>
      <c r="Z6" s="3208"/>
      <c r="AA6" s="3181"/>
      <c r="AB6" s="3181"/>
      <c r="AC6" s="3181"/>
    </row>
    <row r="7" spans="1:29" s="117" customFormat="1" ht="15.75" thickBot="1">
      <c r="A7" s="408" t="s">
        <v>2548</v>
      </c>
      <c r="B7" s="409"/>
      <c r="C7" s="410">
        <f>'数据-取费表'!B2</f>
        <v>43643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182" t="s">
        <v>2549</v>
      </c>
      <c r="Q7" s="3210"/>
      <c r="R7" s="769" t="s">
        <v>23</v>
      </c>
      <c r="S7" s="770">
        <f t="shared" ref="S7:S15" si="0">F7</f>
        <v>0</v>
      </c>
      <c r="T7" s="769" t="s">
        <v>23</v>
      </c>
      <c r="U7" s="770">
        <f t="shared" ref="U7:U15" si="1">H7</f>
        <v>0</v>
      </c>
      <c r="V7" s="769" t="s">
        <v>23</v>
      </c>
      <c r="W7" s="770">
        <f t="shared" ref="W7:W15" si="2">J7</f>
        <v>0</v>
      </c>
      <c r="X7" s="771"/>
      <c r="Y7" s="3182" t="s">
        <v>2549</v>
      </c>
      <c r="Z7" s="3183"/>
      <c r="AA7" s="772" t="e">
        <f>D7/F7</f>
        <v>#DIV/0!</v>
      </c>
      <c r="AB7" s="772" t="e">
        <f>D7/H7</f>
        <v>#DIV/0!</v>
      </c>
      <c r="AC7" s="772"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182" t="s">
        <v>2552</v>
      </c>
      <c r="Q8" s="3183"/>
      <c r="R8" s="769" t="s">
        <v>23</v>
      </c>
      <c r="S8" s="770">
        <f t="shared" si="0"/>
        <v>0</v>
      </c>
      <c r="T8" s="769" t="s">
        <v>23</v>
      </c>
      <c r="U8" s="770">
        <f t="shared" si="1"/>
        <v>0</v>
      </c>
      <c r="V8" s="769" t="s">
        <v>23</v>
      </c>
      <c r="W8" s="770">
        <f t="shared" si="2"/>
        <v>0</v>
      </c>
      <c r="X8" s="771"/>
      <c r="Y8" s="3182" t="s">
        <v>2552</v>
      </c>
      <c r="Z8" s="3183"/>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96" t="s">
        <v>2555</v>
      </c>
      <c r="Q9" s="1793" t="str">
        <f t="shared" ref="Q9:Q15" si="6">B9</f>
        <v>用途</v>
      </c>
      <c r="R9" s="769" t="s">
        <v>17</v>
      </c>
      <c r="S9" s="770">
        <f t="shared" si="0"/>
        <v>100</v>
      </c>
      <c r="T9" s="769" t="s">
        <v>17</v>
      </c>
      <c r="U9" s="770">
        <f t="shared" si="1"/>
        <v>100</v>
      </c>
      <c r="V9" s="769" t="s">
        <v>17</v>
      </c>
      <c r="W9" s="770">
        <f t="shared" si="2"/>
        <v>100</v>
      </c>
      <c r="X9" s="771"/>
      <c r="Y9" s="3029"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6"/>
      <c r="Q10" s="1793"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6"/>
      <c r="Q11" s="1793" t="str">
        <f t="shared" si="6"/>
        <v>容积率</v>
      </c>
      <c r="R11" s="769" t="s">
        <v>21</v>
      </c>
      <c r="S11" s="770" t="e">
        <f t="shared" si="0"/>
        <v>#N/A</v>
      </c>
      <c r="T11" s="769" t="s">
        <v>21</v>
      </c>
      <c r="U11" s="770" t="e">
        <f t="shared" si="1"/>
        <v>#N/A</v>
      </c>
      <c r="V11" s="769" t="s">
        <v>21</v>
      </c>
      <c r="W11" s="770" t="e">
        <f t="shared" si="2"/>
        <v>#N/A</v>
      </c>
      <c r="X11" s="771"/>
      <c r="Y11" s="3029"/>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96"/>
      <c r="Q12" s="1793">
        <f t="shared" si="6"/>
        <v>111</v>
      </c>
      <c r="R12" s="769" t="s">
        <v>21</v>
      </c>
      <c r="S12" s="770">
        <f t="shared" si="0"/>
        <v>100</v>
      </c>
      <c r="T12" s="769" t="s">
        <v>21</v>
      </c>
      <c r="U12" s="770">
        <f t="shared" si="1"/>
        <v>100</v>
      </c>
      <c r="V12" s="769" t="s">
        <v>21</v>
      </c>
      <c r="W12" s="770">
        <f t="shared" si="2"/>
        <v>100</v>
      </c>
      <c r="X12" s="771"/>
      <c r="Y12" s="3029"/>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96"/>
      <c r="Q13" s="1793">
        <f t="shared" si="6"/>
        <v>111</v>
      </c>
      <c r="R13" s="769" t="s">
        <v>21</v>
      </c>
      <c r="S13" s="770">
        <f t="shared" si="0"/>
        <v>100</v>
      </c>
      <c r="T13" s="769" t="s">
        <v>21</v>
      </c>
      <c r="U13" s="770">
        <f t="shared" si="1"/>
        <v>100</v>
      </c>
      <c r="V13" s="769" t="s">
        <v>21</v>
      </c>
      <c r="W13" s="770">
        <f t="shared" si="2"/>
        <v>100</v>
      </c>
      <c r="X13" s="771"/>
      <c r="Y13" s="3029"/>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96"/>
      <c r="Q14" s="1793">
        <f t="shared" si="6"/>
        <v>111</v>
      </c>
      <c r="R14" s="769" t="s">
        <v>21</v>
      </c>
      <c r="S14" s="770">
        <f t="shared" si="0"/>
        <v>100</v>
      </c>
      <c r="T14" s="769" t="s">
        <v>21</v>
      </c>
      <c r="U14" s="770">
        <f t="shared" si="1"/>
        <v>100</v>
      </c>
      <c r="V14" s="769" t="s">
        <v>21</v>
      </c>
      <c r="W14" s="770">
        <f t="shared" si="2"/>
        <v>100</v>
      </c>
      <c r="X14" s="771"/>
      <c r="Y14" s="3029"/>
      <c r="Z14" s="55">
        <f t="shared" si="7"/>
        <v>111</v>
      </c>
      <c r="AA14" s="772">
        <f t="shared" si="3"/>
        <v>1</v>
      </c>
      <c r="AB14" s="772">
        <f t="shared" si="4"/>
        <v>1</v>
      </c>
      <c r="AC14" s="772">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3" t="s">
        <v>2560</v>
      </c>
      <c r="Q15" s="1808" t="str">
        <f t="shared" si="6"/>
        <v>居住社区成熟度</v>
      </c>
      <c r="R15" s="773" t="s">
        <v>21</v>
      </c>
      <c r="S15" s="774">
        <f t="shared" si="0"/>
        <v>100</v>
      </c>
      <c r="T15" s="773" t="s">
        <v>21</v>
      </c>
      <c r="U15" s="774">
        <f t="shared" si="1"/>
        <v>100</v>
      </c>
      <c r="V15" s="773" t="s">
        <v>21</v>
      </c>
      <c r="W15" s="774">
        <f t="shared" si="2"/>
        <v>100</v>
      </c>
      <c r="X15" s="1811"/>
      <c r="Y15" s="3216" t="s">
        <v>2560</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39"/>
      <c r="M16" s="1130"/>
      <c r="N16" s="1130"/>
      <c r="O16" s="1130"/>
      <c r="P16" s="3224"/>
      <c r="Q16" s="1808"/>
      <c r="R16" s="773"/>
      <c r="S16" s="774"/>
      <c r="T16" s="773"/>
      <c r="U16" s="774"/>
      <c r="V16" s="773"/>
      <c r="W16" s="774"/>
      <c r="X16" s="1811"/>
      <c r="Y16" s="3217"/>
      <c r="Z16" s="1812"/>
      <c r="AA16" s="1809">
        <v>1</v>
      </c>
      <c r="AB16" s="1809">
        <v>1</v>
      </c>
      <c r="AC16" s="1809">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4"/>
      <c r="Q17" s="1808" t="str">
        <f>B17</f>
        <v>交通便捷度</v>
      </c>
      <c r="R17" s="773" t="s">
        <v>21</v>
      </c>
      <c r="S17" s="774">
        <f>F17</f>
        <v>100</v>
      </c>
      <c r="T17" s="773" t="s">
        <v>21</v>
      </c>
      <c r="U17" s="774">
        <f>H17</f>
        <v>100</v>
      </c>
      <c r="V17" s="773" t="s">
        <v>21</v>
      </c>
      <c r="W17" s="774">
        <f>J17</f>
        <v>100</v>
      </c>
      <c r="X17" s="1811"/>
      <c r="Y17" s="3217"/>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39"/>
      <c r="M18" s="1130"/>
      <c r="N18" s="1130"/>
      <c r="O18" s="1130"/>
      <c r="P18" s="3224"/>
      <c r="Q18" s="1808"/>
      <c r="R18" s="773"/>
      <c r="S18" s="774"/>
      <c r="T18" s="773"/>
      <c r="U18" s="774"/>
      <c r="V18" s="773"/>
      <c r="W18" s="774"/>
      <c r="X18" s="1811"/>
      <c r="Y18" s="3217"/>
      <c r="Z18" s="1812"/>
      <c r="AA18" s="1809">
        <v>1</v>
      </c>
      <c r="AB18" s="1809">
        <v>1</v>
      </c>
      <c r="AC18" s="1809">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4"/>
      <c r="Q19" s="1808" t="str">
        <f>B19</f>
        <v>公共配套设施</v>
      </c>
      <c r="R19" s="773" t="s">
        <v>21</v>
      </c>
      <c r="S19" s="774">
        <f>F19</f>
        <v>100</v>
      </c>
      <c r="T19" s="773" t="s">
        <v>21</v>
      </c>
      <c r="U19" s="774">
        <f>H19</f>
        <v>100</v>
      </c>
      <c r="V19" s="773" t="s">
        <v>21</v>
      </c>
      <c r="W19" s="774">
        <f>J19</f>
        <v>100</v>
      </c>
      <c r="X19" s="1811"/>
      <c r="Y19" s="3217"/>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39"/>
      <c r="M20" s="1130"/>
      <c r="N20" s="1130"/>
      <c r="O20" s="1130"/>
      <c r="P20" s="3224"/>
      <c r="Q20" s="1808"/>
      <c r="R20" s="773"/>
      <c r="S20" s="774"/>
      <c r="T20" s="773"/>
      <c r="U20" s="774"/>
      <c r="V20" s="773"/>
      <c r="W20" s="774"/>
      <c r="X20" s="1811"/>
      <c r="Y20" s="3217"/>
      <c r="Z20" s="1812"/>
      <c r="AA20" s="1809">
        <v>1</v>
      </c>
      <c r="AB20" s="1809">
        <v>1</v>
      </c>
      <c r="AC20" s="1809">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4"/>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10"/>
      <c r="D22" s="448"/>
      <c r="E22" s="447"/>
      <c r="F22" s="448"/>
      <c r="G22" s="2613"/>
      <c r="H22" s="448"/>
      <c r="I22" s="447"/>
      <c r="J22" s="448"/>
      <c r="K22" s="2614"/>
      <c r="L22" s="1139"/>
      <c r="M22" s="1130"/>
      <c r="N22" s="1130"/>
      <c r="O22" s="1130"/>
      <c r="P22" s="3224"/>
      <c r="Q22" s="1808"/>
      <c r="R22" s="773"/>
      <c r="S22" s="774"/>
      <c r="T22" s="773"/>
      <c r="U22" s="774"/>
      <c r="V22" s="773"/>
      <c r="W22" s="774"/>
      <c r="X22" s="1811"/>
      <c r="Y22" s="3217"/>
      <c r="Z22" s="1812"/>
      <c r="AA22" s="1809">
        <v>1</v>
      </c>
      <c r="AB22" s="1809">
        <v>1</v>
      </c>
      <c r="AC22" s="1809">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4"/>
      <c r="Q23" s="1808" t="str">
        <f>B23</f>
        <v>自然及人文环境</v>
      </c>
      <c r="R23" s="773" t="s">
        <v>21</v>
      </c>
      <c r="S23" s="774">
        <f>F23</f>
        <v>100</v>
      </c>
      <c r="T23" s="773" t="s">
        <v>21</v>
      </c>
      <c r="U23" s="774">
        <f>H23</f>
        <v>100</v>
      </c>
      <c r="V23" s="773" t="s">
        <v>21</v>
      </c>
      <c r="W23" s="774">
        <f>J23</f>
        <v>100</v>
      </c>
      <c r="X23" s="1811"/>
      <c r="Y23" s="3217"/>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39"/>
      <c r="M24" s="1130"/>
      <c r="N24" s="1130"/>
      <c r="O24" s="1130"/>
      <c r="P24" s="3224"/>
      <c r="Q24" s="1808"/>
      <c r="R24" s="773"/>
      <c r="S24" s="774"/>
      <c r="T24" s="773"/>
      <c r="U24" s="774"/>
      <c r="V24" s="773"/>
      <c r="W24" s="774"/>
      <c r="X24" s="1811"/>
      <c r="Y24" s="3217"/>
      <c r="Z24" s="1812"/>
      <c r="AA24" s="1809">
        <v>1</v>
      </c>
      <c r="AB24" s="1809">
        <v>1</v>
      </c>
      <c r="AC24" s="1809">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2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7"/>
      <c r="Z25" s="1812" t="str">
        <f>Q25</f>
        <v>楼层-1</v>
      </c>
      <c r="AA25" s="1809">
        <f t="shared" ref="AA25:AA46" si="15">D25/F25</f>
        <v>1</v>
      </c>
      <c r="AB25" s="1809">
        <f t="shared" ref="AB25:AB46" si="16">D25/H25</f>
        <v>1</v>
      </c>
      <c r="AC25" s="1809">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24"/>
      <c r="Q26" s="1808" t="str">
        <f t="shared" si="11"/>
        <v>朝向</v>
      </c>
      <c r="R26" s="773" t="s">
        <v>21</v>
      </c>
      <c r="S26" s="774">
        <f t="shared" si="12"/>
        <v>100</v>
      </c>
      <c r="T26" s="773" t="s">
        <v>21</v>
      </c>
      <c r="U26" s="774">
        <f t="shared" si="13"/>
        <v>100</v>
      </c>
      <c r="V26" s="773" t="s">
        <v>21</v>
      </c>
      <c r="W26" s="774">
        <f t="shared" si="14"/>
        <v>100</v>
      </c>
      <c r="X26" s="1811"/>
      <c r="Y26" s="3217"/>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24"/>
      <c r="Q27" s="1793">
        <f t="shared" si="11"/>
        <v>111</v>
      </c>
      <c r="R27" s="769" t="s">
        <v>21</v>
      </c>
      <c r="S27" s="770">
        <f t="shared" si="12"/>
        <v>100</v>
      </c>
      <c r="T27" s="769" t="s">
        <v>21</v>
      </c>
      <c r="U27" s="770">
        <f t="shared" si="13"/>
        <v>100</v>
      </c>
      <c r="V27" s="769" t="s">
        <v>21</v>
      </c>
      <c r="W27" s="770">
        <f t="shared" si="14"/>
        <v>100</v>
      </c>
      <c r="X27" s="771"/>
      <c r="Y27" s="3217"/>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24"/>
      <c r="Q28" s="1808">
        <f t="shared" si="11"/>
        <v>111</v>
      </c>
      <c r="R28" s="773" t="s">
        <v>21</v>
      </c>
      <c r="S28" s="774">
        <f t="shared" si="12"/>
        <v>100</v>
      </c>
      <c r="T28" s="773" t="s">
        <v>21</v>
      </c>
      <c r="U28" s="774">
        <f t="shared" si="13"/>
        <v>100</v>
      </c>
      <c r="V28" s="773" t="s">
        <v>21</v>
      </c>
      <c r="W28" s="774">
        <f t="shared" si="14"/>
        <v>100</v>
      </c>
      <c r="X28" s="1811"/>
      <c r="Y28" s="3217"/>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24"/>
      <c r="Q29" s="1808">
        <f t="shared" si="11"/>
        <v>111</v>
      </c>
      <c r="R29" s="773" t="s">
        <v>21</v>
      </c>
      <c r="S29" s="774">
        <f t="shared" si="12"/>
        <v>100</v>
      </c>
      <c r="T29" s="773" t="s">
        <v>21</v>
      </c>
      <c r="U29" s="774">
        <f t="shared" si="13"/>
        <v>100</v>
      </c>
      <c r="V29" s="773" t="s">
        <v>21</v>
      </c>
      <c r="W29" s="774">
        <f t="shared" si="14"/>
        <v>100</v>
      </c>
      <c r="X29" s="1811"/>
      <c r="Y29" s="3217"/>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24"/>
      <c r="Q30" s="1808">
        <f t="shared" si="11"/>
        <v>111</v>
      </c>
      <c r="R30" s="773" t="s">
        <v>21</v>
      </c>
      <c r="S30" s="774">
        <f t="shared" si="12"/>
        <v>100</v>
      </c>
      <c r="T30" s="773" t="s">
        <v>21</v>
      </c>
      <c r="U30" s="774">
        <f t="shared" si="13"/>
        <v>100</v>
      </c>
      <c r="V30" s="773" t="s">
        <v>21</v>
      </c>
      <c r="W30" s="774">
        <f t="shared" si="14"/>
        <v>100</v>
      </c>
      <c r="X30" s="1811"/>
      <c r="Y30" s="3217"/>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24"/>
      <c r="Q31" s="1808">
        <f t="shared" si="11"/>
        <v>111</v>
      </c>
      <c r="R31" s="773" t="s">
        <v>21</v>
      </c>
      <c r="S31" s="774">
        <f t="shared" si="12"/>
        <v>100</v>
      </c>
      <c r="T31" s="773" t="s">
        <v>21</v>
      </c>
      <c r="U31" s="774">
        <f t="shared" si="13"/>
        <v>100</v>
      </c>
      <c r="V31" s="773" t="s">
        <v>21</v>
      </c>
      <c r="W31" s="774">
        <f t="shared" si="14"/>
        <v>100</v>
      </c>
      <c r="X31" s="1811"/>
      <c r="Y31" s="3217"/>
      <c r="Z31" s="1812">
        <f t="shared" si="18"/>
        <v>111</v>
      </c>
      <c r="AA31" s="1809">
        <f t="shared" si="15"/>
        <v>1</v>
      </c>
      <c r="AB31" s="1809">
        <f t="shared" si="16"/>
        <v>1</v>
      </c>
      <c r="AC31" s="1809">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18" t="s">
        <v>2565</v>
      </c>
      <c r="Q32" s="1808" t="str">
        <f t="shared" si="11"/>
        <v>建筑类型</v>
      </c>
      <c r="R32" s="773" t="s">
        <v>21</v>
      </c>
      <c r="S32" s="774">
        <f t="shared" si="12"/>
        <v>100</v>
      </c>
      <c r="T32" s="773" t="s">
        <v>21</v>
      </c>
      <c r="U32" s="774">
        <f t="shared" si="13"/>
        <v>100</v>
      </c>
      <c r="V32" s="773" t="s">
        <v>21</v>
      </c>
      <c r="W32" s="774">
        <f t="shared" si="14"/>
        <v>100</v>
      </c>
      <c r="X32" s="1811"/>
      <c r="Y32" s="3221" t="s">
        <v>2565</v>
      </c>
      <c r="Z32" s="1812" t="str">
        <f t="shared" si="18"/>
        <v>建筑类型</v>
      </c>
      <c r="AA32" s="1809">
        <f t="shared" si="15"/>
        <v>1</v>
      </c>
      <c r="AB32" s="1809">
        <f t="shared" si="16"/>
        <v>1</v>
      </c>
      <c r="AC32" s="1809">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19"/>
      <c r="Q33" s="775" t="str">
        <f t="shared" si="11"/>
        <v>项目建筑规模</v>
      </c>
      <c r="R33" s="776" t="s">
        <v>21</v>
      </c>
      <c r="S33" s="777" t="e">
        <f t="shared" si="12"/>
        <v>#N/A</v>
      </c>
      <c r="T33" s="776" t="s">
        <v>21</v>
      </c>
      <c r="U33" s="777" t="e">
        <f t="shared" si="13"/>
        <v>#N/A</v>
      </c>
      <c r="V33" s="776" t="s">
        <v>21</v>
      </c>
      <c r="W33" s="777" t="e">
        <f t="shared" si="14"/>
        <v>#N/A</v>
      </c>
      <c r="X33" s="778"/>
      <c r="Y33" s="3221"/>
      <c r="Z33" s="779" t="str">
        <f t="shared" si="18"/>
        <v>项目建筑规模</v>
      </c>
      <c r="AA33" s="1809" t="e">
        <f t="shared" si="15"/>
        <v>#N/A</v>
      </c>
      <c r="AB33" s="1809" t="e">
        <f t="shared" si="16"/>
        <v>#N/A</v>
      </c>
      <c r="AC33" s="1809"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19"/>
      <c r="Q34" s="1808" t="str">
        <f t="shared" si="11"/>
        <v>建筑结构</v>
      </c>
      <c r="R34" s="773" t="s">
        <v>21</v>
      </c>
      <c r="S34" s="774">
        <f t="shared" si="12"/>
        <v>100</v>
      </c>
      <c r="T34" s="773" t="s">
        <v>21</v>
      </c>
      <c r="U34" s="774">
        <f t="shared" si="13"/>
        <v>100</v>
      </c>
      <c r="V34" s="773" t="s">
        <v>21</v>
      </c>
      <c r="W34" s="774">
        <f t="shared" si="14"/>
        <v>100</v>
      </c>
      <c r="X34" s="1811"/>
      <c r="Y34" s="3221"/>
      <c r="Z34" s="1812" t="str">
        <f t="shared" si="18"/>
        <v>建筑结构</v>
      </c>
      <c r="AA34" s="1809">
        <f t="shared" si="15"/>
        <v>1</v>
      </c>
      <c r="AB34" s="1809">
        <f t="shared" si="16"/>
        <v>1</v>
      </c>
      <c r="AC34" s="1809">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19"/>
      <c r="Q35" s="1808" t="str">
        <f t="shared" si="11"/>
        <v>建筑品质</v>
      </c>
      <c r="R35" s="773" t="s">
        <v>21</v>
      </c>
      <c r="S35" s="774">
        <f t="shared" si="12"/>
        <v>100</v>
      </c>
      <c r="T35" s="773" t="s">
        <v>21</v>
      </c>
      <c r="U35" s="774">
        <f t="shared" si="13"/>
        <v>100</v>
      </c>
      <c r="V35" s="773" t="s">
        <v>21</v>
      </c>
      <c r="W35" s="774">
        <f t="shared" si="14"/>
        <v>100</v>
      </c>
      <c r="X35" s="1811"/>
      <c r="Y35" s="3221"/>
      <c r="Z35" s="1812" t="str">
        <f t="shared" si="18"/>
        <v>建筑品质</v>
      </c>
      <c r="AA35" s="1809">
        <f t="shared" si="15"/>
        <v>1</v>
      </c>
      <c r="AB35" s="1809">
        <f t="shared" si="16"/>
        <v>1</v>
      </c>
      <c r="AC35" s="1809">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19"/>
      <c r="Q36" s="1808" t="str">
        <f t="shared" si="11"/>
        <v>公共部分装修</v>
      </c>
      <c r="R36" s="773" t="s">
        <v>21</v>
      </c>
      <c r="S36" s="774">
        <f t="shared" si="12"/>
        <v>100</v>
      </c>
      <c r="T36" s="773" t="s">
        <v>21</v>
      </c>
      <c r="U36" s="774">
        <f t="shared" si="13"/>
        <v>100</v>
      </c>
      <c r="V36" s="773" t="s">
        <v>21</v>
      </c>
      <c r="W36" s="774">
        <f t="shared" si="14"/>
        <v>100</v>
      </c>
      <c r="X36" s="1811"/>
      <c r="Y36" s="3221"/>
      <c r="Z36" s="1812" t="str">
        <f t="shared" si="18"/>
        <v>公共部分装修</v>
      </c>
      <c r="AA36" s="1809">
        <f t="shared" si="15"/>
        <v>1</v>
      </c>
      <c r="AB36" s="1809">
        <f t="shared" si="16"/>
        <v>1</v>
      </c>
      <c r="AC36" s="1809">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9"/>
      <c r="Q37" s="1793" t="str">
        <f t="shared" si="11"/>
        <v>成新度</v>
      </c>
      <c r="R37" s="769" t="s">
        <v>21</v>
      </c>
      <c r="S37" s="770" t="e">
        <f t="shared" si="12"/>
        <v>#N/A</v>
      </c>
      <c r="T37" s="769" t="s">
        <v>21</v>
      </c>
      <c r="U37" s="770" t="e">
        <f t="shared" si="13"/>
        <v>#N/A</v>
      </c>
      <c r="V37" s="769" t="s">
        <v>21</v>
      </c>
      <c r="W37" s="770" t="e">
        <f t="shared" si="14"/>
        <v>#N/A</v>
      </c>
      <c r="X37" s="771"/>
      <c r="Y37" s="3221"/>
      <c r="Z37" s="55" t="str">
        <f t="shared" si="18"/>
        <v>成新度</v>
      </c>
      <c r="AA37" s="772" t="e">
        <f t="shared" si="15"/>
        <v>#N/A</v>
      </c>
      <c r="AB37" s="772" t="e">
        <f t="shared" si="16"/>
        <v>#N/A</v>
      </c>
      <c r="AC37" s="772"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19" t="s">
        <v>2565</v>
      </c>
      <c r="Q38" s="1808" t="str">
        <f t="shared" si="11"/>
        <v>物业管理</v>
      </c>
      <c r="R38" s="773" t="s">
        <v>21</v>
      </c>
      <c r="S38" s="774">
        <f t="shared" si="12"/>
        <v>100</v>
      </c>
      <c r="T38" s="773" t="s">
        <v>21</v>
      </c>
      <c r="U38" s="774">
        <f t="shared" si="13"/>
        <v>100</v>
      </c>
      <c r="V38" s="773" t="s">
        <v>21</v>
      </c>
      <c r="W38" s="774">
        <f t="shared" si="14"/>
        <v>100</v>
      </c>
      <c r="X38" s="1811"/>
      <c r="Y38" s="3221" t="s">
        <v>2565</v>
      </c>
      <c r="Z38" s="1812" t="str">
        <f t="shared" si="18"/>
        <v>物业管理</v>
      </c>
      <c r="AA38" s="1809">
        <f t="shared" si="15"/>
        <v>1</v>
      </c>
      <c r="AB38" s="1809">
        <f t="shared" si="16"/>
        <v>1</v>
      </c>
      <c r="AC38" s="1809">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19"/>
      <c r="Q39" s="1808" t="str">
        <f t="shared" si="11"/>
        <v>市政基础设施</v>
      </c>
      <c r="R39" s="773" t="s">
        <v>21</v>
      </c>
      <c r="S39" s="774">
        <f t="shared" si="12"/>
        <v>100</v>
      </c>
      <c r="T39" s="773" t="s">
        <v>21</v>
      </c>
      <c r="U39" s="774">
        <f t="shared" si="13"/>
        <v>100</v>
      </c>
      <c r="V39" s="773" t="s">
        <v>21</v>
      </c>
      <c r="W39" s="774">
        <f t="shared" si="14"/>
        <v>100</v>
      </c>
      <c r="X39" s="1811"/>
      <c r="Y39" s="3221"/>
      <c r="Z39" s="1812" t="str">
        <f t="shared" si="18"/>
        <v>市政基础设施</v>
      </c>
      <c r="AA39" s="1809">
        <f t="shared" si="15"/>
        <v>1</v>
      </c>
      <c r="AB39" s="1809">
        <f t="shared" si="16"/>
        <v>1</v>
      </c>
      <c r="AC39" s="1809">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19"/>
      <c r="Q40" s="1808" t="str">
        <f t="shared" si="11"/>
        <v>房型</v>
      </c>
      <c r="R40" s="773" t="s">
        <v>21</v>
      </c>
      <c r="S40" s="774">
        <f t="shared" si="12"/>
        <v>100</v>
      </c>
      <c r="T40" s="773" t="s">
        <v>21</v>
      </c>
      <c r="U40" s="774">
        <f t="shared" si="13"/>
        <v>100</v>
      </c>
      <c r="V40" s="773" t="s">
        <v>21</v>
      </c>
      <c r="W40" s="774">
        <f t="shared" si="14"/>
        <v>100</v>
      </c>
      <c r="X40" s="1811"/>
      <c r="Y40" s="3221"/>
      <c r="Z40" s="1812" t="str">
        <f t="shared" si="18"/>
        <v>房型</v>
      </c>
      <c r="AA40" s="1809">
        <f t="shared" si="15"/>
        <v>1</v>
      </c>
      <c r="AB40" s="1809">
        <f t="shared" si="16"/>
        <v>1</v>
      </c>
      <c r="AC40" s="1809">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19"/>
      <c r="Q41" s="775" t="str">
        <f t="shared" si="11"/>
        <v>单套/主力户型建筑面积</v>
      </c>
      <c r="R41" s="776" t="s">
        <v>21</v>
      </c>
      <c r="S41" s="777">
        <f t="shared" si="12"/>
        <v>100</v>
      </c>
      <c r="T41" s="776" t="s">
        <v>21</v>
      </c>
      <c r="U41" s="777">
        <f t="shared" si="13"/>
        <v>100</v>
      </c>
      <c r="V41" s="776" t="s">
        <v>21</v>
      </c>
      <c r="W41" s="777">
        <f t="shared" si="14"/>
        <v>100</v>
      </c>
      <c r="X41" s="778"/>
      <c r="Y41" s="3221"/>
      <c r="Z41" s="779" t="str">
        <f t="shared" si="18"/>
        <v>单套/主力户型建筑面积</v>
      </c>
      <c r="AA41" s="1809">
        <f t="shared" si="15"/>
        <v>1</v>
      </c>
      <c r="AB41" s="1809">
        <f t="shared" si="16"/>
        <v>1</v>
      </c>
      <c r="AC41" s="1809">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19"/>
      <c r="Q42" s="1808" t="str">
        <f t="shared" si="11"/>
        <v>内部装修</v>
      </c>
      <c r="R42" s="773" t="s">
        <v>21</v>
      </c>
      <c r="S42" s="774">
        <f t="shared" si="12"/>
        <v>100</v>
      </c>
      <c r="T42" s="773" t="s">
        <v>21</v>
      </c>
      <c r="U42" s="774">
        <f t="shared" si="13"/>
        <v>100</v>
      </c>
      <c r="V42" s="773" t="s">
        <v>21</v>
      </c>
      <c r="W42" s="774">
        <f t="shared" si="14"/>
        <v>100</v>
      </c>
      <c r="X42" s="1811"/>
      <c r="Y42" s="3221"/>
      <c r="Z42" s="1812" t="str">
        <f t="shared" si="18"/>
        <v>内部装修</v>
      </c>
      <c r="AA42" s="1809">
        <f t="shared" si="15"/>
        <v>1</v>
      </c>
      <c r="AB42" s="1809">
        <f t="shared" si="16"/>
        <v>1</v>
      </c>
      <c r="AC42" s="1809">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19"/>
      <c r="Q43" s="1808" t="str">
        <f t="shared" si="11"/>
        <v>内部装修维护情况</v>
      </c>
      <c r="R43" s="773" t="s">
        <v>21</v>
      </c>
      <c r="S43" s="774">
        <f t="shared" si="12"/>
        <v>100</v>
      </c>
      <c r="T43" s="773" t="s">
        <v>21</v>
      </c>
      <c r="U43" s="774">
        <f t="shared" si="13"/>
        <v>100</v>
      </c>
      <c r="V43" s="773" t="s">
        <v>21</v>
      </c>
      <c r="W43" s="774">
        <f t="shared" si="14"/>
        <v>100</v>
      </c>
      <c r="X43" s="1811"/>
      <c r="Y43" s="3221"/>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19"/>
      <c r="Q44" s="1793">
        <f t="shared" si="11"/>
        <v>111</v>
      </c>
      <c r="R44" s="769" t="s">
        <v>21</v>
      </c>
      <c r="S44" s="770">
        <f t="shared" si="12"/>
        <v>100</v>
      </c>
      <c r="T44" s="769" t="s">
        <v>21</v>
      </c>
      <c r="U44" s="770">
        <f t="shared" si="13"/>
        <v>100</v>
      </c>
      <c r="V44" s="769" t="s">
        <v>21</v>
      </c>
      <c r="W44" s="770">
        <f t="shared" si="14"/>
        <v>100</v>
      </c>
      <c r="X44" s="771"/>
      <c r="Y44" s="3221"/>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19"/>
      <c r="Q45" s="1808">
        <f t="shared" si="11"/>
        <v>111</v>
      </c>
      <c r="R45" s="773" t="s">
        <v>21</v>
      </c>
      <c r="S45" s="774">
        <f t="shared" si="12"/>
        <v>100</v>
      </c>
      <c r="T45" s="773" t="s">
        <v>21</v>
      </c>
      <c r="U45" s="774">
        <f t="shared" si="13"/>
        <v>100</v>
      </c>
      <c r="V45" s="773" t="s">
        <v>21</v>
      </c>
      <c r="W45" s="774">
        <f t="shared" si="14"/>
        <v>100</v>
      </c>
      <c r="X45" s="1811"/>
      <c r="Y45" s="3221"/>
      <c r="Z45" s="1812">
        <f t="shared" si="18"/>
        <v>111</v>
      </c>
      <c r="AA45" s="1809">
        <f t="shared" si="15"/>
        <v>1</v>
      </c>
      <c r="AB45" s="1809">
        <f t="shared" si="16"/>
        <v>1</v>
      </c>
      <c r="AC45" s="1809">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20"/>
      <c r="Q46" s="1808">
        <f t="shared" si="11"/>
        <v>111</v>
      </c>
      <c r="R46" s="773" t="s">
        <v>20</v>
      </c>
      <c r="S46" s="774">
        <f t="shared" si="12"/>
        <v>100</v>
      </c>
      <c r="T46" s="773" t="s">
        <v>20</v>
      </c>
      <c r="U46" s="774">
        <f t="shared" si="13"/>
        <v>100</v>
      </c>
      <c r="V46" s="773" t="s">
        <v>20</v>
      </c>
      <c r="W46" s="774">
        <f t="shared" si="14"/>
        <v>100</v>
      </c>
      <c r="X46" s="1811"/>
      <c r="Y46" s="3222"/>
      <c r="Z46" s="1812">
        <f t="shared" si="18"/>
        <v>111</v>
      </c>
      <c r="AA46" s="1809">
        <f t="shared" si="15"/>
        <v>1</v>
      </c>
      <c r="AB46" s="1809">
        <f t="shared" si="16"/>
        <v>1</v>
      </c>
      <c r="AC46" s="1809">
        <f t="shared" si="17"/>
        <v>1</v>
      </c>
    </row>
    <row r="47" spans="1:29" ht="15">
      <c r="A47" s="479" t="s">
        <v>2577</v>
      </c>
      <c r="B47" s="480"/>
      <c r="C47" s="1406" t="s">
        <v>19</v>
      </c>
      <c r="D47" s="1407"/>
      <c r="E47" s="1408"/>
      <c r="F47" s="1409"/>
      <c r="G47" s="1410"/>
      <c r="H47" s="1411"/>
      <c r="I47" s="1408"/>
      <c r="J47" s="1411"/>
      <c r="K47" s="2623"/>
      <c r="L47" s="1142"/>
      <c r="M47" s="1143"/>
      <c r="N47" s="1130"/>
      <c r="O47" s="1143"/>
      <c r="P47" s="3214" t="str">
        <f>A47</f>
        <v>成交单价（元/平方米）</v>
      </c>
      <c r="Q47" s="3214"/>
      <c r="R47" s="3215">
        <f>E47</f>
        <v>0</v>
      </c>
      <c r="S47" s="3215"/>
      <c r="T47" s="3215">
        <f>G47</f>
        <v>0</v>
      </c>
      <c r="U47" s="3215"/>
      <c r="V47" s="3215">
        <f>I47</f>
        <v>0</v>
      </c>
      <c r="W47" s="3215"/>
      <c r="X47" s="758"/>
      <c r="Y47" s="780"/>
      <c r="Z47" s="758"/>
      <c r="AA47" s="758"/>
      <c r="AB47" s="758"/>
      <c r="AC47" s="758"/>
    </row>
    <row r="48" spans="1:29" ht="15.75" thickBot="1">
      <c r="A48" s="486" t="s">
        <v>2578</v>
      </c>
      <c r="B48" s="487"/>
      <c r="C48" s="1412" t="e">
        <f>R49</f>
        <v>#DIV/0!</v>
      </c>
      <c r="D48" s="1413"/>
      <c r="E48" s="1414" t="e">
        <f>R48</f>
        <v>#DIV/0!</v>
      </c>
      <c r="F48" s="1414"/>
      <c r="G48" s="1412" t="e">
        <f>T48</f>
        <v>#DIV/0!</v>
      </c>
      <c r="H48" s="1413"/>
      <c r="I48" s="1414" t="e">
        <f>V48</f>
        <v>#DIV/0!</v>
      </c>
      <c r="J48" s="1413"/>
      <c r="K48" s="2624"/>
      <c r="L48" s="1142"/>
      <c r="M48" s="1143"/>
      <c r="N48" s="1143"/>
      <c r="O48" s="1143"/>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8"/>
      <c r="Y48" s="758"/>
      <c r="Z48" s="758"/>
      <c r="AA48" s="758"/>
      <c r="AB48" s="758"/>
      <c r="AC48" s="758"/>
    </row>
    <row r="49" spans="1:29" ht="15.75" thickBot="1">
      <c r="A49" s="492" t="s">
        <v>2579</v>
      </c>
      <c r="B49" s="493"/>
      <c r="C49" s="1415" t="e">
        <f>R49</f>
        <v>#DIV/0!</v>
      </c>
      <c r="D49" s="1416"/>
      <c r="E49" s="1416"/>
      <c r="F49" s="1416"/>
      <c r="G49" s="1416"/>
      <c r="H49" s="1416"/>
      <c r="I49" s="1416"/>
      <c r="J49" s="1416"/>
      <c r="K49" s="2625"/>
      <c r="L49" s="1142"/>
      <c r="M49" s="1143"/>
      <c r="N49" s="1143"/>
      <c r="O49" s="1143"/>
      <c r="P49" s="3211" t="str">
        <f>A49</f>
        <v>估价对象XX用房的比较价值（楼面单价，元/平方米）</v>
      </c>
      <c r="Q49" s="3212"/>
      <c r="R49" s="3213" t="e">
        <f>IF(F1="售价",ROUND(AVERAGE(R48:V48),0),ROUND(AVERAGE(R48:V48),1))</f>
        <v>#DIV/0!</v>
      </c>
      <c r="S49" s="3213"/>
      <c r="T49" s="3213"/>
      <c r="U49" s="3213"/>
      <c r="V49" s="3213"/>
      <c r="W49" s="321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2" t="s">
        <v>2583</v>
      </c>
      <c r="B57" s="758"/>
      <c r="C57" s="763"/>
      <c r="D57" s="763"/>
      <c r="E57" s="763"/>
      <c r="F57" s="764"/>
      <c r="G57" s="764"/>
      <c r="H57" s="763"/>
      <c r="I57" s="763"/>
      <c r="J57" s="763"/>
      <c r="K57" s="1159"/>
      <c r="L57" s="1160"/>
      <c r="M57" s="1158"/>
      <c r="N57" s="1158"/>
      <c r="O57" s="1158"/>
      <c r="P57" s="2628"/>
      <c r="Q57" s="504"/>
    </row>
    <row r="58" spans="1:29" s="508" customFormat="1" ht="15">
      <c r="A58" s="505" t="s">
        <v>2584</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2588</v>
      </c>
      <c r="B63" s="528" t="s">
        <v>2554</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2610</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2611</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2563</v>
      </c>
      <c r="B100" s="528" t="s">
        <v>2612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2614</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2615</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2616</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2617</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2618</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2619</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2574</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2620</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3">
        <v>6</v>
      </c>
      <c r="C139" s="1084">
        <v>96</v>
      </c>
      <c r="D139" s="2650" t="s">
        <v>2631</v>
      </c>
      <c r="E139" s="1085">
        <v>100</v>
      </c>
      <c r="F139" s="1086">
        <v>102.5</v>
      </c>
      <c r="G139" s="2650" t="s">
        <v>2631</v>
      </c>
      <c r="H139" s="1087">
        <v>105</v>
      </c>
      <c r="I139" s="2651" t="s">
        <v>2632</v>
      </c>
      <c r="J139" s="1084">
        <v>20</v>
      </c>
      <c r="K139" s="1088">
        <f>C145/(J139-2)</f>
        <v>4.0555555555555553E-3</v>
      </c>
    </row>
    <row r="140" spans="1:17" ht="15">
      <c r="B140" s="1089">
        <v>5</v>
      </c>
      <c r="C140" s="1090">
        <v>100</v>
      </c>
      <c r="D140" s="1090"/>
      <c r="E140" s="1091"/>
      <c r="F140" s="1092">
        <v>102</v>
      </c>
      <c r="G140" s="1090"/>
      <c r="H140" s="1093"/>
      <c r="I140" s="2652" t="s">
        <v>2633</v>
      </c>
      <c r="J140" s="315">
        <f>ROUNDUP((J139-1)/2,0)</f>
        <v>10</v>
      </c>
      <c r="K140" s="1094">
        <v>100</v>
      </c>
    </row>
    <row r="141" spans="1:17" ht="15">
      <c r="B141" s="1089">
        <v>4</v>
      </c>
      <c r="C141" s="1090">
        <v>102</v>
      </c>
      <c r="D141" s="1090"/>
      <c r="E141" s="1091"/>
      <c r="F141" s="1092">
        <v>101.5</v>
      </c>
      <c r="G141" s="1090"/>
      <c r="H141" s="1093"/>
      <c r="I141" s="2652" t="s">
        <v>2634</v>
      </c>
      <c r="J141" s="315">
        <v>1</v>
      </c>
      <c r="K141" s="1095">
        <f>ROUND(100+(J141-J140)*K139*100,1)</f>
        <v>96.4</v>
      </c>
    </row>
    <row r="142" spans="1:17" ht="15">
      <c r="B142" s="1089">
        <v>3</v>
      </c>
      <c r="C142" s="1090">
        <v>103</v>
      </c>
      <c r="D142" s="1090"/>
      <c r="E142" s="1091"/>
      <c r="F142" s="1092">
        <v>101</v>
      </c>
      <c r="G142" s="1090"/>
      <c r="H142" s="1093"/>
      <c r="I142" s="2652" t="s">
        <v>2635</v>
      </c>
      <c r="J142" s="315">
        <f>J139</f>
        <v>20</v>
      </c>
      <c r="K142" s="1096">
        <v>95</v>
      </c>
    </row>
    <row r="143" spans="1:17" ht="15">
      <c r="B143" s="1089">
        <v>2</v>
      </c>
      <c r="C143" s="1090">
        <v>100</v>
      </c>
      <c r="D143" s="1090"/>
      <c r="E143" s="1091"/>
      <c r="F143" s="1092">
        <v>100.5</v>
      </c>
      <c r="G143" s="1090"/>
      <c r="H143" s="1093"/>
      <c r="I143" s="2652" t="s">
        <v>2636</v>
      </c>
      <c r="J143" s="1090">
        <v>15</v>
      </c>
      <c r="K143" s="1095">
        <f>ROUND(100+(J143-J140)*K139*100,1)</f>
        <v>102</v>
      </c>
    </row>
    <row r="144" spans="1:17" ht="15">
      <c r="B144" s="1089">
        <v>1</v>
      </c>
      <c r="C144" s="1090">
        <v>98</v>
      </c>
      <c r="D144" s="2653" t="s">
        <v>2637</v>
      </c>
      <c r="E144" s="1091">
        <v>102</v>
      </c>
      <c r="F144" s="1097">
        <v>100</v>
      </c>
      <c r="G144" s="2653" t="s">
        <v>2637</v>
      </c>
      <c r="H144" s="1093">
        <v>105</v>
      </c>
      <c r="I144" s="2652" t="s">
        <v>2636</v>
      </c>
      <c r="J144" s="1090">
        <v>18</v>
      </c>
      <c r="K144" s="1095">
        <f>ROUND(100+(J144-J140)*K139*100,1)</f>
        <v>103.2</v>
      </c>
    </row>
    <row r="145" spans="2:11" ht="15.75" thickBot="1">
      <c r="B145" s="2654" t="s">
        <v>2638</v>
      </c>
      <c r="C145" s="1098">
        <f>ROUND(MAX(C139:C144)/MIN(C139:C144)-1,3)</f>
        <v>7.2999999999999995E-2</v>
      </c>
      <c r="D145" s="1099"/>
      <c r="E145" s="1099"/>
      <c r="F145" s="2655" t="s">
        <v>2639</v>
      </c>
      <c r="G145" s="2656"/>
      <c r="H145" s="2657"/>
      <c r="I145" s="2658" t="s">
        <v>2636</v>
      </c>
      <c r="J145" s="1100">
        <v>8</v>
      </c>
      <c r="K145" s="1101">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t="e">
        <f ca="1">IF(C2="——",ROUND(C49*D3/10000,0),ROUND(C49*D3/10000,0)-D2)</f>
        <v>#DIV/0!</v>
      </c>
      <c r="C2" s="2588"/>
      <c r="D2" s="1364" t="e">
        <f ca="1">SUMIF(INDIRECT("'"&amp;F2&amp;"'"&amp;"!A:A"),"承租人权益价值",INDIRECT("'"&amp;F2&amp;"'"&amp;"!c:c"))</f>
        <v>#REF!</v>
      </c>
      <c r="E2" s="2589" t="s">
        <v>2328</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2329</v>
      </c>
      <c r="B3" s="609" t="e">
        <f ca="1">IF(C2="——",C49,ROUND(B2*10000/D3,0))</f>
        <v>#DIV/0!</v>
      </c>
      <c r="C3" s="400" t="s">
        <v>2644</v>
      </c>
      <c r="D3" s="399">
        <f>IF(D1="",'数据-汇总表'!E3,SUMIF('数据-汇总表'!$C19:$C33,D1,'数据-汇总表'!$E19:$E33))</f>
        <v>81.84</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184" t="s">
        <v>2647</v>
      </c>
      <c r="S4" s="3185"/>
      <c r="T4" s="3184" t="s">
        <v>2648</v>
      </c>
      <c r="U4" s="3185"/>
      <c r="V4" s="3209" t="s">
        <v>2649</v>
      </c>
      <c r="W4" s="3209"/>
      <c r="X4" s="1811"/>
      <c r="Y4" s="3184" t="s">
        <v>2651</v>
      </c>
      <c r="Z4" s="3185"/>
      <c r="AA4" s="3179" t="s">
        <v>2647</v>
      </c>
      <c r="AB4" s="3209" t="s">
        <v>2648</v>
      </c>
      <c r="AC4" s="3179" t="s">
        <v>2649</v>
      </c>
    </row>
    <row r="5" spans="1:29" ht="15">
      <c r="A5" s="404"/>
      <c r="B5" s="405"/>
      <c r="C5" s="3190" t="s">
        <v>2542</v>
      </c>
      <c r="D5" s="3191"/>
      <c r="E5" s="3188" t="s">
        <v>2543</v>
      </c>
      <c r="F5" s="3189"/>
      <c r="G5" s="3190" t="s">
        <v>2544</v>
      </c>
      <c r="H5" s="3191"/>
      <c r="I5" s="3190" t="s">
        <v>2545</v>
      </c>
      <c r="J5" s="3191"/>
      <c r="K5" s="610"/>
      <c r="L5" s="1129"/>
      <c r="M5" s="1130"/>
      <c r="N5" s="1130"/>
      <c r="O5" s="1130"/>
      <c r="P5" s="3203"/>
      <c r="Q5" s="3204"/>
      <c r="R5" s="3186"/>
      <c r="S5" s="3187"/>
      <c r="T5" s="3186"/>
      <c r="U5" s="3187"/>
      <c r="V5" s="3209"/>
      <c r="W5" s="3209"/>
      <c r="X5" s="1811"/>
      <c r="Y5" s="3186"/>
      <c r="Z5" s="3187"/>
      <c r="AA5" s="3180"/>
      <c r="AB5" s="3209"/>
      <c r="AC5" s="3180"/>
    </row>
    <row r="6" spans="1:29" ht="15.75" thickBot="1">
      <c r="A6" s="406"/>
      <c r="B6" s="407"/>
      <c r="C6" s="3192" t="s">
        <v>2546</v>
      </c>
      <c r="D6" s="3193"/>
      <c r="E6" s="3194" t="s">
        <v>2546</v>
      </c>
      <c r="F6" s="3195"/>
      <c r="G6" s="3192" t="s">
        <v>2546</v>
      </c>
      <c r="H6" s="3193"/>
      <c r="I6" s="3192" t="s">
        <v>2546</v>
      </c>
      <c r="J6" s="3193"/>
      <c r="K6" s="610" t="s">
        <v>2547</v>
      </c>
      <c r="L6" s="1129"/>
      <c r="M6" s="1130"/>
      <c r="N6" s="1130"/>
      <c r="O6" s="1130"/>
      <c r="P6" s="3205"/>
      <c r="Q6" s="3206"/>
      <c r="R6" s="3186"/>
      <c r="S6" s="3187"/>
      <c r="T6" s="3207"/>
      <c r="U6" s="3208"/>
      <c r="V6" s="3209"/>
      <c r="W6" s="3209"/>
      <c r="X6" s="1811"/>
      <c r="Y6" s="3207"/>
      <c r="Z6" s="3208"/>
      <c r="AA6" s="3181"/>
      <c r="AB6" s="3209"/>
      <c r="AC6" s="3181"/>
    </row>
    <row r="7" spans="1:29" s="117" customFormat="1" ht="15.75" thickBot="1">
      <c r="A7" s="408" t="s">
        <v>2548</v>
      </c>
      <c r="B7" s="409"/>
      <c r="C7" s="410">
        <f>'数据-取费表'!B2</f>
        <v>43643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82" t="s">
        <v>2549</v>
      </c>
      <c r="Q7" s="3210"/>
      <c r="R7" s="769" t="s">
        <v>17</v>
      </c>
      <c r="S7" s="770">
        <f t="shared" ref="S7:S15" si="0">F7</f>
        <v>0</v>
      </c>
      <c r="T7" s="769" t="s">
        <v>17</v>
      </c>
      <c r="U7" s="770">
        <f t="shared" ref="U7:U15" si="1">H7</f>
        <v>0</v>
      </c>
      <c r="V7" s="769" t="s">
        <v>17</v>
      </c>
      <c r="W7" s="770">
        <f t="shared" ref="W7:W15" si="2">J7</f>
        <v>0</v>
      </c>
      <c r="X7" s="771"/>
      <c r="Y7" s="3182" t="s">
        <v>2549</v>
      </c>
      <c r="Z7" s="3183"/>
      <c r="AA7" s="772" t="e">
        <f>D7/F7</f>
        <v>#DIV/0!</v>
      </c>
      <c r="AB7" s="772" t="e">
        <f>D7/H7</f>
        <v>#DIV/0!</v>
      </c>
      <c r="AC7" s="772"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82" t="s">
        <v>2552</v>
      </c>
      <c r="Q8" s="3183"/>
      <c r="R8" s="769" t="s">
        <v>17</v>
      </c>
      <c r="S8" s="770">
        <f t="shared" si="0"/>
        <v>0</v>
      </c>
      <c r="T8" s="769" t="s">
        <v>17</v>
      </c>
      <c r="U8" s="770">
        <f t="shared" si="1"/>
        <v>0</v>
      </c>
      <c r="V8" s="769" t="s">
        <v>17</v>
      </c>
      <c r="W8" s="770">
        <f t="shared" si="2"/>
        <v>0</v>
      </c>
      <c r="X8" s="771"/>
      <c r="Y8" s="3182" t="s">
        <v>2552</v>
      </c>
      <c r="Z8" s="3183"/>
      <c r="AA8" s="772" t="e">
        <f t="shared" ref="AA8:AA46" si="3">D8/F8</f>
        <v>#DIV/0!</v>
      </c>
      <c r="AB8" s="772" t="e">
        <f t="shared" ref="AB8:AB46" si="4">D8/H8</f>
        <v>#DIV/0!</v>
      </c>
      <c r="AC8" s="772"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6" t="s">
        <v>2555</v>
      </c>
      <c r="Q9" s="1793" t="str">
        <f t="shared" ref="Q9:Q15" si="6">B9</f>
        <v>用途</v>
      </c>
      <c r="R9" s="769" t="s">
        <v>17</v>
      </c>
      <c r="S9" s="770">
        <f t="shared" si="0"/>
        <v>100</v>
      </c>
      <c r="T9" s="769" t="s">
        <v>17</v>
      </c>
      <c r="U9" s="770">
        <f t="shared" si="1"/>
        <v>100</v>
      </c>
      <c r="V9" s="769" t="s">
        <v>17</v>
      </c>
      <c r="W9" s="770">
        <f t="shared" si="2"/>
        <v>100</v>
      </c>
      <c r="X9" s="771"/>
      <c r="Y9" s="3029"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6"/>
      <c r="Q10" s="1793"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6"/>
      <c r="Q11" s="1793"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6"/>
      <c r="Q12" s="1793">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6"/>
      <c r="Q13" s="1793">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6"/>
      <c r="Q14" s="1793">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23" t="s">
        <v>2560</v>
      </c>
      <c r="Q15" s="1808" t="str">
        <f t="shared" si="6"/>
        <v>商业繁华度</v>
      </c>
      <c r="R15" s="773" t="s">
        <v>17</v>
      </c>
      <c r="S15" s="774">
        <f t="shared" si="0"/>
        <v>100</v>
      </c>
      <c r="T15" s="773" t="s">
        <v>17</v>
      </c>
      <c r="U15" s="774">
        <f t="shared" si="1"/>
        <v>100</v>
      </c>
      <c r="V15" s="773" t="s">
        <v>17</v>
      </c>
      <c r="W15" s="774">
        <f t="shared" si="2"/>
        <v>100</v>
      </c>
      <c r="X15" s="1811"/>
      <c r="Y15" s="3216" t="s">
        <v>2560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24"/>
      <c r="Q16" s="1808"/>
      <c r="R16" s="773"/>
      <c r="S16" s="774"/>
      <c r="T16" s="773"/>
      <c r="U16" s="774"/>
      <c r="V16" s="773"/>
      <c r="W16" s="774"/>
      <c r="X16" s="1811"/>
      <c r="Y16" s="3217"/>
      <c r="Z16" s="1812"/>
      <c r="AA16" s="1809">
        <v>1</v>
      </c>
      <c r="AB16" s="1809">
        <v>1</v>
      </c>
      <c r="AC16" s="1809">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24"/>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9"/>
      <c r="M18" s="1130"/>
      <c r="N18" s="1130"/>
      <c r="O18" s="1130"/>
      <c r="P18" s="3224"/>
      <c r="Q18" s="1808"/>
      <c r="R18" s="773"/>
      <c r="S18" s="774"/>
      <c r="T18" s="773"/>
      <c r="U18" s="774"/>
      <c r="V18" s="773"/>
      <c r="W18" s="774"/>
      <c r="X18" s="1811"/>
      <c r="Y18" s="3217"/>
      <c r="Z18" s="1812"/>
      <c r="AA18" s="1809">
        <v>1</v>
      </c>
      <c r="AB18" s="1809">
        <v>1</v>
      </c>
      <c r="AC18" s="1809">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24"/>
      <c r="Q19" s="1808" t="str">
        <f>B19</f>
        <v>公共配套设施</v>
      </c>
      <c r="R19" s="773" t="s">
        <v>17</v>
      </c>
      <c r="S19" s="774">
        <f>F19</f>
        <v>100</v>
      </c>
      <c r="T19" s="773" t="s">
        <v>17</v>
      </c>
      <c r="U19" s="774">
        <f>H19</f>
        <v>100</v>
      </c>
      <c r="V19" s="773" t="s">
        <v>17</v>
      </c>
      <c r="W19" s="774">
        <f>J19</f>
        <v>100</v>
      </c>
      <c r="X19" s="1811"/>
      <c r="Y19" s="3217"/>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9"/>
      <c r="M20" s="1130"/>
      <c r="N20" s="1130"/>
      <c r="O20" s="1130"/>
      <c r="P20" s="3224"/>
      <c r="Q20" s="1808"/>
      <c r="R20" s="773"/>
      <c r="S20" s="774"/>
      <c r="T20" s="773"/>
      <c r="U20" s="774"/>
      <c r="V20" s="773"/>
      <c r="W20" s="774"/>
      <c r="X20" s="1811"/>
      <c r="Y20" s="3217"/>
      <c r="Z20" s="1812"/>
      <c r="AA20" s="1809">
        <v>1</v>
      </c>
      <c r="AB20" s="1809">
        <v>1</v>
      </c>
      <c r="AC20" s="1809">
        <v>1</v>
      </c>
    </row>
    <row r="21" spans="1:29" ht="28.5">
      <c r="A21" s="428"/>
      <c r="B21" s="1383"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24"/>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10"/>
      <c r="D22" s="448"/>
      <c r="E22" s="447"/>
      <c r="F22" s="449"/>
      <c r="G22" s="447"/>
      <c r="H22" s="448"/>
      <c r="I22" s="447"/>
      <c r="J22" s="448"/>
      <c r="K22" s="1382"/>
      <c r="L22" s="1139"/>
      <c r="M22" s="1130"/>
      <c r="N22" s="1130"/>
      <c r="O22" s="1130"/>
      <c r="P22" s="3224"/>
      <c r="Q22" s="1808"/>
      <c r="R22" s="773"/>
      <c r="S22" s="774"/>
      <c r="T22" s="773"/>
      <c r="U22" s="774"/>
      <c r="V22" s="773"/>
      <c r="W22" s="774"/>
      <c r="X22" s="1811"/>
      <c r="Y22" s="3217"/>
      <c r="Z22" s="1812"/>
      <c r="AA22" s="1809">
        <v>1</v>
      </c>
      <c r="AB22" s="1809">
        <v>1</v>
      </c>
      <c r="AC22" s="1809">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24"/>
      <c r="Q23" s="1808" t="str">
        <f>B23</f>
        <v>自然及人文环境</v>
      </c>
      <c r="R23" s="773" t="s">
        <v>17</v>
      </c>
      <c r="S23" s="774">
        <f>F23</f>
        <v>100</v>
      </c>
      <c r="T23" s="773" t="s">
        <v>17</v>
      </c>
      <c r="U23" s="774">
        <f>H23</f>
        <v>100</v>
      </c>
      <c r="V23" s="773" t="s">
        <v>17</v>
      </c>
      <c r="W23" s="774">
        <f>J23</f>
        <v>100</v>
      </c>
      <c r="X23" s="1811"/>
      <c r="Y23" s="3217"/>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39"/>
      <c r="M24" s="1130"/>
      <c r="N24" s="1130"/>
      <c r="O24" s="1130"/>
      <c r="P24" s="3224"/>
      <c r="Q24" s="1808"/>
      <c r="R24" s="773"/>
      <c r="S24" s="774"/>
      <c r="T24" s="773"/>
      <c r="U24" s="774"/>
      <c r="V24" s="773"/>
      <c r="W24" s="774"/>
      <c r="X24" s="1811"/>
      <c r="Y24" s="3217"/>
      <c r="Z24" s="1812"/>
      <c r="AA24" s="1809">
        <v>1</v>
      </c>
      <c r="AB24" s="1809">
        <v>1</v>
      </c>
      <c r="AC24" s="1809">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24"/>
      <c r="Q25" s="1808" t="str">
        <f t="shared" ref="Q25:Q46" si="11">B25</f>
        <v>临街状况</v>
      </c>
      <c r="R25" s="773" t="s">
        <v>17</v>
      </c>
      <c r="S25" s="774">
        <f>F25</f>
        <v>100</v>
      </c>
      <c r="T25" s="773" t="s">
        <v>17</v>
      </c>
      <c r="U25" s="774">
        <f>H25</f>
        <v>100</v>
      </c>
      <c r="V25" s="773" t="s">
        <v>17</v>
      </c>
      <c r="W25" s="774">
        <f>J25</f>
        <v>100</v>
      </c>
      <c r="X25" s="1811"/>
      <c r="Y25" s="3217"/>
      <c r="Z25" s="1812" t="str">
        <f>Q25</f>
        <v>临街状况</v>
      </c>
      <c r="AA25" s="1809">
        <f t="shared" si="3"/>
        <v>1</v>
      </c>
      <c r="AB25" s="1809">
        <f t="shared" si="4"/>
        <v>1</v>
      </c>
      <c r="AC25" s="1809">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24"/>
      <c r="Q26" s="1808" t="str">
        <f t="shared" si="11"/>
        <v>平面位置/可视性</v>
      </c>
      <c r="R26" s="773" t="s">
        <v>17</v>
      </c>
      <c r="S26" s="774">
        <f>F26</f>
        <v>100</v>
      </c>
      <c r="T26" s="773" t="s">
        <v>17</v>
      </c>
      <c r="U26" s="774">
        <f>H26</f>
        <v>100</v>
      </c>
      <c r="V26" s="773" t="s">
        <v>17</v>
      </c>
      <c r="W26" s="774">
        <f>J26</f>
        <v>100</v>
      </c>
      <c r="X26" s="1811"/>
      <c r="Y26" s="3217"/>
      <c r="Z26" s="1812" t="str">
        <f>Q26</f>
        <v>平面位置/可视性</v>
      </c>
      <c r="AA26" s="1809">
        <f t="shared" si="3"/>
        <v>1</v>
      </c>
      <c r="AB26" s="1809">
        <f t="shared" si="4"/>
        <v>1</v>
      </c>
      <c r="AC26" s="1809">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24"/>
      <c r="Q27" s="1793" t="str">
        <f t="shared" si="11"/>
        <v>人流量</v>
      </c>
      <c r="R27" s="769" t="s">
        <v>17</v>
      </c>
      <c r="S27" s="770">
        <f>F27</f>
        <v>100</v>
      </c>
      <c r="T27" s="769" t="s">
        <v>17</v>
      </c>
      <c r="U27" s="770">
        <f>H27</f>
        <v>100</v>
      </c>
      <c r="V27" s="769" t="s">
        <v>17</v>
      </c>
      <c r="W27" s="770">
        <f>J27</f>
        <v>100</v>
      </c>
      <c r="X27" s="771"/>
      <c r="Y27" s="3217"/>
      <c r="Z27" s="55" t="str">
        <f>Q27</f>
        <v>人流量</v>
      </c>
      <c r="AA27" s="1809">
        <f>D27/F27</f>
        <v>1</v>
      </c>
      <c r="AB27" s="1809">
        <f>D27/H27</f>
        <v>1</v>
      </c>
      <c r="AC27" s="1809">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2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7"/>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4"/>
      <c r="Q29" s="1808">
        <f t="shared" si="11"/>
        <v>111</v>
      </c>
      <c r="R29" s="773" t="s">
        <v>17</v>
      </c>
      <c r="S29" s="774">
        <f t="shared" si="12"/>
        <v>100</v>
      </c>
      <c r="T29" s="773" t="s">
        <v>17</v>
      </c>
      <c r="U29" s="774">
        <f t="shared" si="13"/>
        <v>100</v>
      </c>
      <c r="V29" s="773" t="s">
        <v>17</v>
      </c>
      <c r="W29" s="774">
        <f t="shared" si="14"/>
        <v>100</v>
      </c>
      <c r="X29" s="1811"/>
      <c r="Y29" s="3217"/>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4"/>
      <c r="Q30" s="1808">
        <f t="shared" si="11"/>
        <v>111</v>
      </c>
      <c r="R30" s="773" t="s">
        <v>17</v>
      </c>
      <c r="S30" s="774">
        <f t="shared" si="12"/>
        <v>100</v>
      </c>
      <c r="T30" s="773" t="s">
        <v>17</v>
      </c>
      <c r="U30" s="774">
        <f t="shared" si="13"/>
        <v>100</v>
      </c>
      <c r="V30" s="773" t="s">
        <v>17</v>
      </c>
      <c r="W30" s="774">
        <f t="shared" si="14"/>
        <v>100</v>
      </c>
      <c r="X30" s="1811"/>
      <c r="Y30" s="3217"/>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4"/>
      <c r="Q31" s="1808">
        <f t="shared" si="11"/>
        <v>111</v>
      </c>
      <c r="R31" s="773" t="s">
        <v>17</v>
      </c>
      <c r="S31" s="774">
        <f t="shared" si="12"/>
        <v>100</v>
      </c>
      <c r="T31" s="773" t="s">
        <v>17</v>
      </c>
      <c r="U31" s="774">
        <f t="shared" si="13"/>
        <v>100</v>
      </c>
      <c r="V31" s="773" t="s">
        <v>17</v>
      </c>
      <c r="W31" s="774">
        <f t="shared" si="14"/>
        <v>100</v>
      </c>
      <c r="X31" s="1811"/>
      <c r="Y31" s="3217"/>
      <c r="Z31" s="1812">
        <f t="shared" si="15"/>
        <v>111</v>
      </c>
      <c r="AA31" s="1809">
        <f t="shared" si="3"/>
        <v>1</v>
      </c>
      <c r="AB31" s="1809">
        <f t="shared" si="4"/>
        <v>1</v>
      </c>
      <c r="AC31" s="1809">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18" t="s">
        <v>2565</v>
      </c>
      <c r="Q32" s="1808" t="str">
        <f t="shared" si="11"/>
        <v>商业类型</v>
      </c>
      <c r="R32" s="773" t="s">
        <v>17</v>
      </c>
      <c r="S32" s="774">
        <f t="shared" si="12"/>
        <v>100</v>
      </c>
      <c r="T32" s="773" t="s">
        <v>17</v>
      </c>
      <c r="U32" s="774">
        <f t="shared" si="13"/>
        <v>100</v>
      </c>
      <c r="V32" s="773" t="s">
        <v>17</v>
      </c>
      <c r="W32" s="774">
        <f t="shared" si="14"/>
        <v>100</v>
      </c>
      <c r="X32" s="1811"/>
      <c r="Y32" s="3221" t="s">
        <v>2565</v>
      </c>
      <c r="Z32" s="1812" t="str">
        <f t="shared" si="15"/>
        <v>商业类型</v>
      </c>
      <c r="AA32" s="1809">
        <f t="shared" si="3"/>
        <v>1</v>
      </c>
      <c r="AB32" s="1809">
        <f t="shared" si="4"/>
        <v>1</v>
      </c>
      <c r="AC32" s="1809">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19"/>
      <c r="Q33" s="775" t="str">
        <f t="shared" si="11"/>
        <v>项目建筑规模</v>
      </c>
      <c r="R33" s="776" t="s">
        <v>17</v>
      </c>
      <c r="S33" s="777" t="e">
        <f t="shared" si="12"/>
        <v>#N/A</v>
      </c>
      <c r="T33" s="776" t="s">
        <v>17</v>
      </c>
      <c r="U33" s="777" t="e">
        <f t="shared" si="13"/>
        <v>#N/A</v>
      </c>
      <c r="V33" s="776" t="s">
        <v>17</v>
      </c>
      <c r="W33" s="777" t="e">
        <f t="shared" si="14"/>
        <v>#N/A</v>
      </c>
      <c r="X33" s="778"/>
      <c r="Y33" s="3221"/>
      <c r="Z33" s="779" t="str">
        <f t="shared" si="15"/>
        <v>项目建筑规模</v>
      </c>
      <c r="AA33" s="1809" t="e">
        <f t="shared" si="3"/>
        <v>#N/A</v>
      </c>
      <c r="AB33" s="1809" t="e">
        <f t="shared" si="4"/>
        <v>#N/A</v>
      </c>
      <c r="AC33" s="1809"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19"/>
      <c r="Q34" s="1808" t="str">
        <f t="shared" si="11"/>
        <v>建筑结构</v>
      </c>
      <c r="R34" s="773" t="s">
        <v>17</v>
      </c>
      <c r="S34" s="774">
        <f t="shared" si="12"/>
        <v>100</v>
      </c>
      <c r="T34" s="773" t="s">
        <v>17</v>
      </c>
      <c r="U34" s="774">
        <f t="shared" si="13"/>
        <v>100</v>
      </c>
      <c r="V34" s="773" t="s">
        <v>17</v>
      </c>
      <c r="W34" s="774">
        <f t="shared" si="14"/>
        <v>100</v>
      </c>
      <c r="X34" s="1811"/>
      <c r="Y34" s="3221"/>
      <c r="Z34" s="1812" t="str">
        <f t="shared" si="15"/>
        <v>建筑结构</v>
      </c>
      <c r="AA34" s="1809">
        <f t="shared" si="3"/>
        <v>1</v>
      </c>
      <c r="AB34" s="1809">
        <f t="shared" si="4"/>
        <v>1</v>
      </c>
      <c r="AC34" s="1809">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19"/>
      <c r="Q35" s="1808" t="str">
        <f t="shared" si="11"/>
        <v>公共部分装修</v>
      </c>
      <c r="R35" s="773" t="s">
        <v>17</v>
      </c>
      <c r="S35" s="774">
        <f t="shared" si="12"/>
        <v>100</v>
      </c>
      <c r="T35" s="773" t="s">
        <v>17</v>
      </c>
      <c r="U35" s="774">
        <f t="shared" si="13"/>
        <v>100</v>
      </c>
      <c r="V35" s="773" t="s">
        <v>17</v>
      </c>
      <c r="W35" s="774">
        <f t="shared" si="14"/>
        <v>100</v>
      </c>
      <c r="X35" s="1811"/>
      <c r="Y35" s="3221"/>
      <c r="Z35" s="1812" t="str">
        <f t="shared" si="15"/>
        <v>公共部分装修</v>
      </c>
      <c r="AA35" s="1809">
        <f t="shared" si="3"/>
        <v>1</v>
      </c>
      <c r="AB35" s="1809">
        <f t="shared" si="4"/>
        <v>1</v>
      </c>
      <c r="AC35" s="1809">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9"/>
      <c r="Q36" s="1808" t="str">
        <f t="shared" si="11"/>
        <v>成新度</v>
      </c>
      <c r="R36" s="773" t="s">
        <v>17</v>
      </c>
      <c r="S36" s="774" t="e">
        <f t="shared" si="12"/>
        <v>#N/A</v>
      </c>
      <c r="T36" s="773" t="s">
        <v>17</v>
      </c>
      <c r="U36" s="774" t="e">
        <f t="shared" si="13"/>
        <v>#N/A</v>
      </c>
      <c r="V36" s="773" t="s">
        <v>17</v>
      </c>
      <c r="W36" s="774" t="e">
        <f t="shared" si="14"/>
        <v>#N/A</v>
      </c>
      <c r="X36" s="1811"/>
      <c r="Y36" s="3221"/>
      <c r="Z36" s="1812" t="str">
        <f t="shared" si="15"/>
        <v>成新度</v>
      </c>
      <c r="AA36" s="1809" t="e">
        <f t="shared" si="3"/>
        <v>#N/A</v>
      </c>
      <c r="AB36" s="1809" t="e">
        <f t="shared" si="4"/>
        <v>#N/A</v>
      </c>
      <c r="AC36" s="1809"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19"/>
      <c r="Q37" s="1793" t="str">
        <f t="shared" si="11"/>
        <v>市政基础设施</v>
      </c>
      <c r="R37" s="769" t="s">
        <v>17</v>
      </c>
      <c r="S37" s="770">
        <f t="shared" si="12"/>
        <v>100</v>
      </c>
      <c r="T37" s="769" t="s">
        <v>17</v>
      </c>
      <c r="U37" s="770">
        <f t="shared" si="13"/>
        <v>100</v>
      </c>
      <c r="V37" s="769" t="s">
        <v>17</v>
      </c>
      <c r="W37" s="770">
        <f t="shared" si="14"/>
        <v>100</v>
      </c>
      <c r="X37" s="771"/>
      <c r="Y37" s="3221"/>
      <c r="Z37" s="55" t="str">
        <f t="shared" si="15"/>
        <v>市政基础设施</v>
      </c>
      <c r="AA37" s="772">
        <f t="shared" si="3"/>
        <v>1</v>
      </c>
      <c r="AB37" s="772">
        <f t="shared" si="4"/>
        <v>1</v>
      </c>
      <c r="AC37" s="772">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19" t="s">
        <v>2565</v>
      </c>
      <c r="Q38" s="1808" t="str">
        <f t="shared" si="11"/>
        <v>业态</v>
      </c>
      <c r="R38" s="773" t="s">
        <v>17</v>
      </c>
      <c r="S38" s="774">
        <f t="shared" si="12"/>
        <v>100</v>
      </c>
      <c r="T38" s="773" t="s">
        <v>17</v>
      </c>
      <c r="U38" s="774">
        <f t="shared" si="13"/>
        <v>100</v>
      </c>
      <c r="V38" s="773" t="s">
        <v>17</v>
      </c>
      <c r="W38" s="774">
        <f t="shared" si="14"/>
        <v>100</v>
      </c>
      <c r="X38" s="1811"/>
      <c r="Y38" s="3221" t="s">
        <v>2565</v>
      </c>
      <c r="Z38" s="1812" t="str">
        <f t="shared" si="15"/>
        <v>业态</v>
      </c>
      <c r="AA38" s="1809">
        <f t="shared" si="3"/>
        <v>1</v>
      </c>
      <c r="AB38" s="1809">
        <f t="shared" si="4"/>
        <v>1</v>
      </c>
      <c r="AC38" s="1809">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19"/>
      <c r="Q39" s="1808" t="str">
        <f t="shared" si="11"/>
        <v>层高</v>
      </c>
      <c r="R39" s="773" t="s">
        <v>17</v>
      </c>
      <c r="S39" s="774">
        <f t="shared" si="12"/>
        <v>100</v>
      </c>
      <c r="T39" s="773" t="s">
        <v>17</v>
      </c>
      <c r="U39" s="774">
        <f t="shared" si="13"/>
        <v>100</v>
      </c>
      <c r="V39" s="773" t="s">
        <v>17</v>
      </c>
      <c r="W39" s="774">
        <f t="shared" si="14"/>
        <v>100</v>
      </c>
      <c r="X39" s="1811"/>
      <c r="Y39" s="3221"/>
      <c r="Z39" s="1812" t="str">
        <f t="shared" si="15"/>
        <v>层高</v>
      </c>
      <c r="AA39" s="1809">
        <f t="shared" si="3"/>
        <v>1</v>
      </c>
      <c r="AB39" s="1809">
        <f t="shared" si="4"/>
        <v>1</v>
      </c>
      <c r="AC39" s="1809">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9"/>
      <c r="Q40" s="1808" t="str">
        <f t="shared" si="11"/>
        <v>单套建筑面积</v>
      </c>
      <c r="R40" s="773" t="s">
        <v>17</v>
      </c>
      <c r="S40" s="774">
        <f t="shared" si="12"/>
        <v>100</v>
      </c>
      <c r="T40" s="773" t="s">
        <v>17</v>
      </c>
      <c r="U40" s="774">
        <f t="shared" si="13"/>
        <v>100</v>
      </c>
      <c r="V40" s="773" t="s">
        <v>17</v>
      </c>
      <c r="W40" s="774">
        <f t="shared" si="14"/>
        <v>100</v>
      </c>
      <c r="X40" s="1811"/>
      <c r="Y40" s="3221"/>
      <c r="Z40" s="1812" t="str">
        <f t="shared" si="15"/>
        <v>单套建筑面积</v>
      </c>
      <c r="AA40" s="1809">
        <f t="shared" si="3"/>
        <v>1</v>
      </c>
      <c r="AB40" s="1809">
        <f t="shared" si="4"/>
        <v>1</v>
      </c>
      <c r="AC40" s="1809">
        <f t="shared" si="5"/>
        <v>1</v>
      </c>
    </row>
    <row r="41" spans="1:29" s="471" customFormat="1" ht="15">
      <c r="A41" s="468"/>
      <c r="B41" s="1810"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9"/>
      <c r="Q41" s="775" t="str">
        <f t="shared" si="11"/>
        <v>进深比</v>
      </c>
      <c r="R41" s="776" t="s">
        <v>17</v>
      </c>
      <c r="S41" s="777">
        <f t="shared" si="12"/>
        <v>100</v>
      </c>
      <c r="T41" s="776" t="s">
        <v>17</v>
      </c>
      <c r="U41" s="777">
        <f t="shared" si="13"/>
        <v>100</v>
      </c>
      <c r="V41" s="776" t="s">
        <v>17</v>
      </c>
      <c r="W41" s="777">
        <f t="shared" si="14"/>
        <v>100</v>
      </c>
      <c r="X41" s="778"/>
      <c r="Y41" s="3221"/>
      <c r="Z41" s="779" t="str">
        <f t="shared" si="15"/>
        <v>进深比</v>
      </c>
      <c r="AA41" s="1809">
        <f t="shared" si="3"/>
        <v>1</v>
      </c>
      <c r="AB41" s="1809">
        <f t="shared" si="4"/>
        <v>1</v>
      </c>
      <c r="AC41" s="1809">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19"/>
      <c r="Q42" s="1808" t="str">
        <f t="shared" si="11"/>
        <v>内部装修</v>
      </c>
      <c r="R42" s="773" t="s">
        <v>17</v>
      </c>
      <c r="S42" s="774">
        <f t="shared" si="12"/>
        <v>100</v>
      </c>
      <c r="T42" s="773" t="s">
        <v>17</v>
      </c>
      <c r="U42" s="774">
        <f t="shared" si="13"/>
        <v>100</v>
      </c>
      <c r="V42" s="773" t="s">
        <v>17</v>
      </c>
      <c r="W42" s="774">
        <f t="shared" si="14"/>
        <v>100</v>
      </c>
      <c r="X42" s="1811"/>
      <c r="Y42" s="3221"/>
      <c r="Z42" s="1812" t="str">
        <f t="shared" si="15"/>
        <v>内部装修</v>
      </c>
      <c r="AA42" s="1809">
        <f t="shared" si="3"/>
        <v>1</v>
      </c>
      <c r="AB42" s="1809">
        <f t="shared" si="4"/>
        <v>1</v>
      </c>
      <c r="AC42" s="1809">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19"/>
      <c r="Q43" s="1808" t="str">
        <f t="shared" si="11"/>
        <v>内部装修维护情况</v>
      </c>
      <c r="R43" s="773" t="s">
        <v>17</v>
      </c>
      <c r="S43" s="774">
        <f t="shared" si="12"/>
        <v>100</v>
      </c>
      <c r="T43" s="773" t="s">
        <v>17</v>
      </c>
      <c r="U43" s="774">
        <f t="shared" si="13"/>
        <v>100</v>
      </c>
      <c r="V43" s="773" t="s">
        <v>17</v>
      </c>
      <c r="W43" s="774">
        <f t="shared" si="14"/>
        <v>100</v>
      </c>
      <c r="X43" s="1811"/>
      <c r="Y43" s="3221"/>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9"/>
      <c r="Q44" s="1793">
        <f t="shared" si="11"/>
        <v>111</v>
      </c>
      <c r="R44" s="769" t="s">
        <v>17</v>
      </c>
      <c r="S44" s="770">
        <f t="shared" si="12"/>
        <v>100</v>
      </c>
      <c r="T44" s="769" t="s">
        <v>17</v>
      </c>
      <c r="U44" s="770">
        <f t="shared" si="13"/>
        <v>100</v>
      </c>
      <c r="V44" s="769" t="s">
        <v>17</v>
      </c>
      <c r="W44" s="770">
        <f t="shared" si="14"/>
        <v>100</v>
      </c>
      <c r="X44" s="771"/>
      <c r="Y44" s="3221"/>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9"/>
      <c r="Q45" s="1808">
        <f t="shared" si="11"/>
        <v>111</v>
      </c>
      <c r="R45" s="773" t="s">
        <v>17</v>
      </c>
      <c r="S45" s="774">
        <f t="shared" si="12"/>
        <v>100</v>
      </c>
      <c r="T45" s="773" t="s">
        <v>17</v>
      </c>
      <c r="U45" s="774">
        <f t="shared" si="13"/>
        <v>100</v>
      </c>
      <c r="V45" s="773" t="s">
        <v>17</v>
      </c>
      <c r="W45" s="774">
        <f t="shared" si="14"/>
        <v>100</v>
      </c>
      <c r="X45" s="1811"/>
      <c r="Y45" s="3221"/>
      <c r="Z45" s="1812">
        <f t="shared" si="15"/>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0"/>
      <c r="Q46" s="1808">
        <f t="shared" si="11"/>
        <v>111</v>
      </c>
      <c r="R46" s="773" t="s">
        <v>17</v>
      </c>
      <c r="S46" s="774">
        <f t="shared" si="12"/>
        <v>100</v>
      </c>
      <c r="T46" s="773" t="s">
        <v>17</v>
      </c>
      <c r="U46" s="774">
        <f t="shared" si="13"/>
        <v>100</v>
      </c>
      <c r="V46" s="773" t="s">
        <v>17</v>
      </c>
      <c r="W46" s="774">
        <f t="shared" si="14"/>
        <v>100</v>
      </c>
      <c r="X46" s="1811"/>
      <c r="Y46" s="3222"/>
      <c r="Z46" s="1812">
        <f t="shared" si="15"/>
        <v>111</v>
      </c>
      <c r="AA46" s="1809">
        <f t="shared" si="3"/>
        <v>1</v>
      </c>
      <c r="AB46" s="1809">
        <f t="shared" si="4"/>
        <v>1</v>
      </c>
      <c r="AC46" s="1809">
        <f t="shared" si="5"/>
        <v>1</v>
      </c>
    </row>
    <row r="47" spans="1:29" ht="15">
      <c r="A47" s="479" t="s">
        <v>2577</v>
      </c>
      <c r="B47" s="480"/>
      <c r="C47" s="1406" t="s">
        <v>1</v>
      </c>
      <c r="D47" s="1407"/>
      <c r="E47" s="1408"/>
      <c r="F47" s="1409"/>
      <c r="G47" s="1410"/>
      <c r="H47" s="1411"/>
      <c r="I47" s="1408"/>
      <c r="J47" s="1411"/>
      <c r="K47" s="782"/>
      <c r="L47" s="1142"/>
      <c r="M47" s="1143"/>
      <c r="N47" s="1130"/>
      <c r="O47" s="1143"/>
      <c r="P47" s="3214" t="str">
        <f>A47</f>
        <v>成交单价（元/平方米）</v>
      </c>
      <c r="Q47" s="3214"/>
      <c r="R47" s="3209">
        <f>E47</f>
        <v>0</v>
      </c>
      <c r="S47" s="3209"/>
      <c r="T47" s="3209">
        <f>G47</f>
        <v>0</v>
      </c>
      <c r="U47" s="3209"/>
      <c r="V47" s="3209">
        <f>I47</f>
        <v>0</v>
      </c>
      <c r="W47" s="3209"/>
      <c r="X47" s="758"/>
      <c r="Y47" s="780"/>
      <c r="Z47" s="758"/>
      <c r="AA47" s="758"/>
      <c r="AB47" s="758"/>
      <c r="AC47" s="758"/>
    </row>
    <row r="48" spans="1:29" ht="15.75" thickBot="1">
      <c r="A48" s="486" t="s">
        <v>2669</v>
      </c>
      <c r="B48" s="487"/>
      <c r="C48" s="1412" t="e">
        <f>R49</f>
        <v>#DIV/0!</v>
      </c>
      <c r="D48" s="1413"/>
      <c r="E48" s="1414" t="e">
        <f>R48</f>
        <v>#DIV/0!</v>
      </c>
      <c r="F48" s="1414"/>
      <c r="G48" s="1412" t="e">
        <f>T48</f>
        <v>#DIV/0!</v>
      </c>
      <c r="H48" s="1413"/>
      <c r="I48" s="1414" t="e">
        <f>V48</f>
        <v>#DIV/0!</v>
      </c>
      <c r="J48" s="1413"/>
      <c r="K48" s="783"/>
      <c r="L48" s="1142"/>
      <c r="M48" s="1143"/>
      <c r="N48" s="1130"/>
      <c r="O48" s="1143"/>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8"/>
      <c r="Y48" s="758"/>
      <c r="Z48" s="758"/>
      <c r="AA48" s="758"/>
      <c r="AB48" s="758"/>
      <c r="AC48" s="758"/>
    </row>
    <row r="49" spans="1:29" ht="15.75" thickBot="1">
      <c r="A49" s="492" t="s">
        <v>2670</v>
      </c>
      <c r="B49" s="493"/>
      <c r="C49" s="1416" t="e">
        <f>R49</f>
        <v>#DIV/0!</v>
      </c>
      <c r="D49" s="1416"/>
      <c r="E49" s="1416"/>
      <c r="F49" s="1416"/>
      <c r="G49" s="1416"/>
      <c r="H49" s="1416"/>
      <c r="I49" s="1416"/>
      <c r="J49" s="1416"/>
      <c r="K49" s="784"/>
      <c r="L49" s="1142"/>
      <c r="M49" s="1143"/>
      <c r="N49" s="1130"/>
      <c r="O49" s="1143"/>
      <c r="P49" s="3211" t="str">
        <f>A49</f>
        <v>估价对象XX用房的比较价值（楼面单价，元/平方米）</v>
      </c>
      <c r="Q49" s="3212"/>
      <c r="R49" s="3213" t="e">
        <f>IF(F1="售价",ROUND(AVERAGE(R48:V48),0),ROUND(AVERAGE(R48:V48),1))</f>
        <v>#DIV/0!</v>
      </c>
      <c r="S49" s="3213"/>
      <c r="T49" s="3213"/>
      <c r="U49" s="3213"/>
      <c r="V49" s="3213"/>
      <c r="W49" s="321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0"/>
      <c r="M57" s="1158"/>
      <c r="N57" s="1158"/>
      <c r="O57" s="1158"/>
      <c r="P57" s="2669"/>
      <c r="Q57" s="2670"/>
      <c r="R57" s="758"/>
      <c r="S57" s="758"/>
      <c r="T57" s="758"/>
      <c r="U57" s="758"/>
      <c r="V57" s="758"/>
      <c r="W57" s="758"/>
      <c r="X57" s="758"/>
      <c r="Y57" s="758"/>
      <c r="Z57" s="758"/>
      <c r="AA57" s="758"/>
      <c r="AB57" s="758"/>
      <c r="AC57" s="758"/>
    </row>
    <row r="58" spans="1:29" s="508" customFormat="1" ht="15">
      <c r="A58" s="505" t="s">
        <v>2548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2588</v>
      </c>
      <c r="B63" s="528" t="s">
        <v>2554</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2680</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2563</v>
      </c>
      <c r="B100" s="528" t="s">
        <v>2681</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2614</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2616</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2618</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2682</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2683</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2684</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2685</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2620</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2644</v>
      </c>
      <c r="D3" s="399">
        <f>IF(D1="",'数据-汇总表'!E3,SUMIF('数据-汇总表'!$C19:$C33,D1,'数据-汇总表'!$E19:$E33))</f>
        <v>81.84</v>
      </c>
      <c r="E3" s="266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31" t="s">
        <v>2651</v>
      </c>
      <c r="Q4" s="3232"/>
      <c r="R4" s="3226" t="s">
        <v>2647</v>
      </c>
      <c r="S4" s="3227"/>
      <c r="T4" s="3226" t="s">
        <v>2648</v>
      </c>
      <c r="U4" s="3227"/>
      <c r="V4" s="3235" t="s">
        <v>2649</v>
      </c>
      <c r="W4" s="3235"/>
      <c r="X4" s="2672"/>
      <c r="Y4" s="3226" t="s">
        <v>2651</v>
      </c>
      <c r="Z4" s="3227"/>
      <c r="AA4" s="3225" t="s">
        <v>2647</v>
      </c>
      <c r="AB4" s="3225" t="s">
        <v>2648</v>
      </c>
      <c r="AC4" s="3228" t="s">
        <v>2649</v>
      </c>
    </row>
    <row r="5" spans="1:29" ht="15">
      <c r="A5" s="404"/>
      <c r="B5" s="405"/>
      <c r="C5" s="3190" t="s">
        <v>2542</v>
      </c>
      <c r="D5" s="3191"/>
      <c r="E5" s="3188" t="s">
        <v>2543</v>
      </c>
      <c r="F5" s="3189"/>
      <c r="G5" s="3190" t="s">
        <v>2544</v>
      </c>
      <c r="H5" s="3191"/>
      <c r="I5" s="3190" t="s">
        <v>2545</v>
      </c>
      <c r="J5" s="3191"/>
      <c r="K5" s="610"/>
      <c r="L5" s="1129"/>
      <c r="M5" s="1130"/>
      <c r="N5" s="1130"/>
      <c r="O5" s="1130"/>
      <c r="P5" s="3233"/>
      <c r="Q5" s="3204"/>
      <c r="R5" s="3186"/>
      <c r="S5" s="3187"/>
      <c r="T5" s="3186"/>
      <c r="U5" s="3187"/>
      <c r="V5" s="3209"/>
      <c r="W5" s="3209"/>
      <c r="X5" s="1811"/>
      <c r="Y5" s="3186"/>
      <c r="Z5" s="3187"/>
      <c r="AA5" s="3180"/>
      <c r="AB5" s="3180"/>
      <c r="AC5" s="3229"/>
    </row>
    <row r="6" spans="1:29" ht="15.75" thickBot="1">
      <c r="A6" s="406"/>
      <c r="B6" s="407"/>
      <c r="C6" s="3192" t="s">
        <v>2546</v>
      </c>
      <c r="D6" s="3193"/>
      <c r="E6" s="3194" t="s">
        <v>2546</v>
      </c>
      <c r="F6" s="3195"/>
      <c r="G6" s="3192" t="s">
        <v>2546</v>
      </c>
      <c r="H6" s="3193"/>
      <c r="I6" s="3192" t="s">
        <v>2546</v>
      </c>
      <c r="J6" s="3193"/>
      <c r="K6" s="610" t="s">
        <v>2547</v>
      </c>
      <c r="L6" s="1129"/>
      <c r="M6" s="1130"/>
      <c r="N6" s="1130"/>
      <c r="O6" s="1130"/>
      <c r="P6" s="3234"/>
      <c r="Q6" s="3206"/>
      <c r="R6" s="3186"/>
      <c r="S6" s="3187"/>
      <c r="T6" s="3207"/>
      <c r="U6" s="3208"/>
      <c r="V6" s="3209"/>
      <c r="W6" s="3209"/>
      <c r="X6" s="1811"/>
      <c r="Y6" s="3207"/>
      <c r="Z6" s="3208"/>
      <c r="AA6" s="3181"/>
      <c r="AB6" s="3181"/>
      <c r="AC6" s="3230"/>
    </row>
    <row r="7" spans="1:29" s="117" customFormat="1" ht="15.75" thickBot="1">
      <c r="A7" s="408" t="s">
        <v>2548</v>
      </c>
      <c r="B7" s="409"/>
      <c r="C7" s="410">
        <f>'数据-取费表'!B2</f>
        <v>43643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36" t="s">
        <v>2549</v>
      </c>
      <c r="Q7" s="3210"/>
      <c r="R7" s="769" t="s">
        <v>17</v>
      </c>
      <c r="S7" s="770">
        <f t="shared" ref="S7:S15" si="0">F7</f>
        <v>0</v>
      </c>
      <c r="T7" s="769" t="s">
        <v>17</v>
      </c>
      <c r="U7" s="770">
        <f t="shared" ref="U7:U15" si="1">H7</f>
        <v>0</v>
      </c>
      <c r="V7" s="769" t="s">
        <v>17</v>
      </c>
      <c r="W7" s="770">
        <f t="shared" ref="W7:W15" si="2">J7</f>
        <v>0</v>
      </c>
      <c r="X7" s="771"/>
      <c r="Y7" s="3182" t="s">
        <v>2549</v>
      </c>
      <c r="Z7" s="3183"/>
      <c r="AA7" s="772" t="e">
        <f>D7/F7</f>
        <v>#DIV/0!</v>
      </c>
      <c r="AB7" s="772"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36" t="s">
        <v>2552</v>
      </c>
      <c r="Q8" s="3183"/>
      <c r="R8" s="769" t="s">
        <v>17</v>
      </c>
      <c r="S8" s="770">
        <f t="shared" si="0"/>
        <v>0</v>
      </c>
      <c r="T8" s="769" t="s">
        <v>17</v>
      </c>
      <c r="U8" s="770">
        <f t="shared" si="1"/>
        <v>0</v>
      </c>
      <c r="V8" s="769" t="s">
        <v>17</v>
      </c>
      <c r="W8" s="770">
        <f t="shared" si="2"/>
        <v>0</v>
      </c>
      <c r="X8" s="771"/>
      <c r="Y8" s="3182" t="s">
        <v>2552</v>
      </c>
      <c r="Z8" s="3183"/>
      <c r="AA8" s="772" t="e">
        <f t="shared" ref="AA8:AA47" si="3">D8/F8</f>
        <v>#DIV/0!</v>
      </c>
      <c r="AB8" s="772"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6" t="s">
        <v>2555</v>
      </c>
      <c r="Q9" s="1793" t="str">
        <f t="shared" ref="Q9:Q15" si="6">B9</f>
        <v>用途</v>
      </c>
      <c r="R9" s="769" t="s">
        <v>17</v>
      </c>
      <c r="S9" s="770">
        <f t="shared" si="0"/>
        <v>100</v>
      </c>
      <c r="T9" s="769" t="s">
        <v>17</v>
      </c>
      <c r="U9" s="770">
        <f t="shared" si="1"/>
        <v>100</v>
      </c>
      <c r="V9" s="769" t="s">
        <v>17</v>
      </c>
      <c r="W9" s="770">
        <f t="shared" si="2"/>
        <v>100</v>
      </c>
      <c r="X9" s="771"/>
      <c r="Y9" s="3029" t="s">
        <v>2556</v>
      </c>
      <c r="Z9" s="55" t="str">
        <f t="shared" ref="Z9:Z15" si="7">Q9</f>
        <v>用途</v>
      </c>
      <c r="AA9" s="772">
        <f t="shared" si="3"/>
        <v>1</v>
      </c>
      <c r="AB9" s="772">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6"/>
      <c r="Q10" s="1793"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6"/>
      <c r="Q11" s="1793"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96"/>
      <c r="Q12" s="1793">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96"/>
      <c r="Q13" s="1793">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96"/>
      <c r="Q14" s="1793">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23" t="s">
        <v>2560</v>
      </c>
      <c r="Q15" s="1808" t="str">
        <f t="shared" si="6"/>
        <v>办公集聚程度</v>
      </c>
      <c r="R15" s="773" t="s">
        <v>17</v>
      </c>
      <c r="S15" s="774">
        <f t="shared" si="0"/>
        <v>100</v>
      </c>
      <c r="T15" s="773" t="s">
        <v>17</v>
      </c>
      <c r="U15" s="774">
        <f t="shared" si="1"/>
        <v>100</v>
      </c>
      <c r="V15" s="773" t="s">
        <v>17</v>
      </c>
      <c r="W15" s="774">
        <f t="shared" si="2"/>
        <v>100</v>
      </c>
      <c r="X15" s="1811"/>
      <c r="Y15" s="3216" t="s">
        <v>2560</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39"/>
      <c r="M16" s="1130"/>
      <c r="N16" s="1130"/>
      <c r="O16" s="1130"/>
      <c r="P16" s="3224"/>
      <c r="Q16" s="1808"/>
      <c r="R16" s="773"/>
      <c r="S16" s="774"/>
      <c r="T16" s="773"/>
      <c r="U16" s="774"/>
      <c r="V16" s="773"/>
      <c r="W16" s="774"/>
      <c r="X16" s="1811"/>
      <c r="Y16" s="3217"/>
      <c r="Z16" s="1812"/>
      <c r="AA16" s="1809">
        <v>1</v>
      </c>
      <c r="AB16" s="1809">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4"/>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39"/>
      <c r="M18" s="1130"/>
      <c r="N18" s="1130"/>
      <c r="O18" s="1130"/>
      <c r="P18" s="3224"/>
      <c r="Q18" s="1808"/>
      <c r="R18" s="773"/>
      <c r="S18" s="774"/>
      <c r="T18" s="773"/>
      <c r="U18" s="774"/>
      <c r="V18" s="773"/>
      <c r="W18" s="774"/>
      <c r="X18" s="1811"/>
      <c r="Y18" s="3217"/>
      <c r="Z18" s="1812"/>
      <c r="AA18" s="1809">
        <v>1</v>
      </c>
      <c r="AB18" s="1809">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4"/>
      <c r="Q19" s="1808" t="str">
        <f>B19</f>
        <v>公共配套设施</v>
      </c>
      <c r="R19" s="773" t="s">
        <v>17</v>
      </c>
      <c r="S19" s="774">
        <f>F19</f>
        <v>100</v>
      </c>
      <c r="T19" s="773" t="s">
        <v>17</v>
      </c>
      <c r="U19" s="774">
        <f>H19</f>
        <v>100</v>
      </c>
      <c r="V19" s="773" t="s">
        <v>17</v>
      </c>
      <c r="W19" s="774">
        <f>J19</f>
        <v>100</v>
      </c>
      <c r="X19" s="1811"/>
      <c r="Y19" s="3217"/>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39"/>
      <c r="M20" s="1130"/>
      <c r="N20" s="1130"/>
      <c r="O20" s="1130"/>
      <c r="P20" s="3224"/>
      <c r="Q20" s="1808"/>
      <c r="R20" s="773"/>
      <c r="S20" s="774"/>
      <c r="T20" s="773"/>
      <c r="U20" s="774"/>
      <c r="V20" s="773"/>
      <c r="W20" s="774"/>
      <c r="X20" s="1811"/>
      <c r="Y20" s="3217"/>
      <c r="Z20" s="1812"/>
      <c r="AA20" s="1809">
        <v>1</v>
      </c>
      <c r="AB20" s="1809">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4"/>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24"/>
      <c r="Q22" s="1808"/>
      <c r="R22" s="773"/>
      <c r="S22" s="774"/>
      <c r="T22" s="773"/>
      <c r="U22" s="774"/>
      <c r="V22" s="773"/>
      <c r="W22" s="774"/>
      <c r="X22" s="1811"/>
      <c r="Y22" s="3217"/>
      <c r="Z22" s="1812"/>
      <c r="AA22" s="1809">
        <v>1</v>
      </c>
      <c r="AB22" s="1809">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4"/>
      <c r="Q23" s="1808" t="str">
        <f>B23</f>
        <v>环境质量</v>
      </c>
      <c r="R23" s="773" t="s">
        <v>17</v>
      </c>
      <c r="S23" s="774">
        <f>F23</f>
        <v>100</v>
      </c>
      <c r="T23" s="773" t="s">
        <v>17</v>
      </c>
      <c r="U23" s="774">
        <f>H23</f>
        <v>100</v>
      </c>
      <c r="V23" s="773" t="s">
        <v>17</v>
      </c>
      <c r="W23" s="774">
        <f>J23</f>
        <v>100</v>
      </c>
      <c r="X23" s="1811"/>
      <c r="Y23" s="3217"/>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39"/>
      <c r="M24" s="1130"/>
      <c r="N24" s="1130"/>
      <c r="O24" s="1130"/>
      <c r="P24" s="3224"/>
      <c r="Q24" s="1808"/>
      <c r="R24" s="773"/>
      <c r="S24" s="774"/>
      <c r="T24" s="773"/>
      <c r="U24" s="774"/>
      <c r="V24" s="773"/>
      <c r="W24" s="774"/>
      <c r="X24" s="1811"/>
      <c r="Y24" s="3217"/>
      <c r="Z24" s="1812"/>
      <c r="AA24" s="1809">
        <v>1</v>
      </c>
      <c r="AB24" s="1809">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24"/>
      <c r="Q25" s="1808" t="str">
        <f>B25</f>
        <v>毗邻道路的类型与等级</v>
      </c>
      <c r="R25" s="773" t="s">
        <v>17</v>
      </c>
      <c r="S25" s="774">
        <f>F25</f>
        <v>100</v>
      </c>
      <c r="T25" s="773" t="s">
        <v>17</v>
      </c>
      <c r="U25" s="774">
        <f>H25</f>
        <v>100</v>
      </c>
      <c r="V25" s="773" t="s">
        <v>17</v>
      </c>
      <c r="W25" s="774">
        <f>J25</f>
        <v>100</v>
      </c>
      <c r="X25" s="1811"/>
      <c r="Y25" s="3217"/>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39"/>
      <c r="M26" s="1130"/>
      <c r="N26" s="1130"/>
      <c r="O26" s="1130"/>
      <c r="P26" s="3224"/>
      <c r="Q26" s="1808"/>
      <c r="R26" s="773"/>
      <c r="S26" s="774"/>
      <c r="T26" s="773"/>
      <c r="U26" s="774"/>
      <c r="V26" s="773"/>
      <c r="W26" s="774"/>
      <c r="X26" s="1811"/>
      <c r="Y26" s="3217"/>
      <c r="Z26" s="1812"/>
      <c r="AA26" s="1809">
        <v>1</v>
      </c>
      <c r="AB26" s="1809">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24"/>
      <c r="Q27" s="1808" t="str">
        <f t="shared" ref="Q27:Q47" si="11">B27</f>
        <v>楼层</v>
      </c>
      <c r="R27" s="773" t="s">
        <v>17</v>
      </c>
      <c r="S27" s="774">
        <f>F27</f>
        <v>100</v>
      </c>
      <c r="T27" s="773" t="s">
        <v>17</v>
      </c>
      <c r="U27" s="774">
        <f>H27</f>
        <v>100</v>
      </c>
      <c r="V27" s="773" t="s">
        <v>17</v>
      </c>
      <c r="W27" s="774">
        <f>J27</f>
        <v>100</v>
      </c>
      <c r="X27" s="1811"/>
      <c r="Y27" s="3217"/>
      <c r="Z27" s="1812" t="str">
        <f>Q27</f>
        <v>楼层</v>
      </c>
      <c r="AA27" s="1809">
        <f t="shared" si="3"/>
        <v>1</v>
      </c>
      <c r="AB27" s="1809">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24"/>
      <c r="Q28" s="1793" t="str">
        <f t="shared" si="11"/>
        <v>朝向</v>
      </c>
      <c r="R28" s="769" t="s">
        <v>17</v>
      </c>
      <c r="S28" s="770">
        <f>F28</f>
        <v>100</v>
      </c>
      <c r="T28" s="769" t="s">
        <v>17</v>
      </c>
      <c r="U28" s="770">
        <f>H28</f>
        <v>100</v>
      </c>
      <c r="V28" s="769" t="s">
        <v>17</v>
      </c>
      <c r="W28" s="770">
        <f>J28</f>
        <v>100</v>
      </c>
      <c r="X28" s="771"/>
      <c r="Y28" s="3217"/>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24"/>
      <c r="Q29" s="1808">
        <f t="shared" si="11"/>
        <v>111</v>
      </c>
      <c r="R29" s="773" t="s">
        <v>17</v>
      </c>
      <c r="S29" s="774">
        <f t="shared" ref="S29:S47" si="12">F29</f>
        <v>100</v>
      </c>
      <c r="T29" s="773" t="s">
        <v>17</v>
      </c>
      <c r="U29" s="774">
        <f t="shared" ref="U29:U47" si="13">H29</f>
        <v>100</v>
      </c>
      <c r="V29" s="773" t="s">
        <v>17</v>
      </c>
      <c r="W29" s="774">
        <f t="shared" ref="W29:W47" si="14">J29</f>
        <v>100</v>
      </c>
      <c r="X29" s="1811"/>
      <c r="Y29" s="3217"/>
      <c r="Z29" s="1812">
        <f t="shared" ref="Z29:Z47" si="15">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24"/>
      <c r="Q30" s="1808">
        <f t="shared" si="11"/>
        <v>111</v>
      </c>
      <c r="R30" s="773" t="s">
        <v>17</v>
      </c>
      <c r="S30" s="774">
        <f t="shared" si="12"/>
        <v>100</v>
      </c>
      <c r="T30" s="773" t="s">
        <v>17</v>
      </c>
      <c r="U30" s="774">
        <f t="shared" si="13"/>
        <v>100</v>
      </c>
      <c r="V30" s="773" t="s">
        <v>17</v>
      </c>
      <c r="W30" s="774">
        <f t="shared" si="14"/>
        <v>100</v>
      </c>
      <c r="X30" s="1811"/>
      <c r="Y30" s="3217"/>
      <c r="Z30" s="1812">
        <f t="shared" si="15"/>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24"/>
      <c r="Q31" s="1808">
        <f t="shared" si="11"/>
        <v>111</v>
      </c>
      <c r="R31" s="773" t="s">
        <v>17</v>
      </c>
      <c r="S31" s="774">
        <f t="shared" si="12"/>
        <v>100</v>
      </c>
      <c r="T31" s="773" t="s">
        <v>17</v>
      </c>
      <c r="U31" s="774">
        <f t="shared" si="13"/>
        <v>100</v>
      </c>
      <c r="V31" s="773" t="s">
        <v>17</v>
      </c>
      <c r="W31" s="774">
        <f t="shared" si="14"/>
        <v>100</v>
      </c>
      <c r="X31" s="1811"/>
      <c r="Y31" s="3217"/>
      <c r="Z31" s="1812">
        <f t="shared" si="15"/>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24"/>
      <c r="Q32" s="1808">
        <f t="shared" si="11"/>
        <v>111</v>
      </c>
      <c r="R32" s="773" t="s">
        <v>17</v>
      </c>
      <c r="S32" s="774">
        <f t="shared" si="12"/>
        <v>100</v>
      </c>
      <c r="T32" s="773" t="s">
        <v>17</v>
      </c>
      <c r="U32" s="774">
        <f t="shared" si="13"/>
        <v>100</v>
      </c>
      <c r="V32" s="773" t="s">
        <v>17</v>
      </c>
      <c r="W32" s="774">
        <f t="shared" si="14"/>
        <v>100</v>
      </c>
      <c r="X32" s="1811"/>
      <c r="Y32" s="3217"/>
      <c r="Z32" s="1812">
        <f t="shared" si="15"/>
        <v>111</v>
      </c>
      <c r="AA32" s="1809">
        <f t="shared" si="3"/>
        <v>1</v>
      </c>
      <c r="AB32" s="1809">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18" t="s">
        <v>2565</v>
      </c>
      <c r="Q33" s="1808" t="str">
        <f t="shared" si="11"/>
        <v>建筑类型</v>
      </c>
      <c r="R33" s="773" t="s">
        <v>17</v>
      </c>
      <c r="S33" s="774">
        <f t="shared" si="12"/>
        <v>100</v>
      </c>
      <c r="T33" s="773" t="s">
        <v>17</v>
      </c>
      <c r="U33" s="774">
        <f t="shared" si="13"/>
        <v>100</v>
      </c>
      <c r="V33" s="773" t="s">
        <v>17</v>
      </c>
      <c r="W33" s="774">
        <f t="shared" si="14"/>
        <v>100</v>
      </c>
      <c r="X33" s="1811"/>
      <c r="Y33" s="3221" t="s">
        <v>2565</v>
      </c>
      <c r="Z33" s="1812" t="str">
        <f t="shared" si="15"/>
        <v>建筑类型</v>
      </c>
      <c r="AA33" s="1809">
        <f t="shared" si="3"/>
        <v>1</v>
      </c>
      <c r="AB33" s="1809">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9"/>
      <c r="Q34" s="775" t="str">
        <f t="shared" si="11"/>
        <v>项目建筑规模</v>
      </c>
      <c r="R34" s="776" t="s">
        <v>17</v>
      </c>
      <c r="S34" s="777" t="e">
        <f t="shared" si="12"/>
        <v>#N/A</v>
      </c>
      <c r="T34" s="776" t="s">
        <v>17</v>
      </c>
      <c r="U34" s="777" t="e">
        <f t="shared" si="13"/>
        <v>#N/A</v>
      </c>
      <c r="V34" s="776" t="s">
        <v>17</v>
      </c>
      <c r="W34" s="777" t="e">
        <f t="shared" si="14"/>
        <v>#N/A</v>
      </c>
      <c r="X34" s="778"/>
      <c r="Y34" s="3221"/>
      <c r="Z34" s="779" t="str">
        <f t="shared" si="15"/>
        <v>项目建筑规模</v>
      </c>
      <c r="AA34" s="1809" t="e">
        <f t="shared" si="3"/>
        <v>#N/A</v>
      </c>
      <c r="AB34" s="1809"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9"/>
      <c r="Q35" s="1808" t="str">
        <f t="shared" si="11"/>
        <v>建筑结构</v>
      </c>
      <c r="R35" s="773" t="s">
        <v>17</v>
      </c>
      <c r="S35" s="774">
        <f t="shared" si="12"/>
        <v>100</v>
      </c>
      <c r="T35" s="773" t="s">
        <v>17</v>
      </c>
      <c r="U35" s="774">
        <f t="shared" si="13"/>
        <v>100</v>
      </c>
      <c r="V35" s="773" t="s">
        <v>17</v>
      </c>
      <c r="W35" s="774">
        <f t="shared" si="14"/>
        <v>100</v>
      </c>
      <c r="X35" s="1811"/>
      <c r="Y35" s="3221"/>
      <c r="Z35" s="1812" t="str">
        <f t="shared" si="15"/>
        <v>建筑结构</v>
      </c>
      <c r="AA35" s="1809">
        <f t="shared" si="3"/>
        <v>1</v>
      </c>
      <c r="AB35" s="1809">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9"/>
      <c r="Q36" s="1808" t="str">
        <f t="shared" si="11"/>
        <v>公共部分装修</v>
      </c>
      <c r="R36" s="773" t="s">
        <v>17</v>
      </c>
      <c r="S36" s="774">
        <f t="shared" si="12"/>
        <v>100</v>
      </c>
      <c r="T36" s="773" t="s">
        <v>17</v>
      </c>
      <c r="U36" s="774">
        <f t="shared" si="13"/>
        <v>100</v>
      </c>
      <c r="V36" s="773" t="s">
        <v>17</v>
      </c>
      <c r="W36" s="774">
        <f t="shared" si="14"/>
        <v>100</v>
      </c>
      <c r="X36" s="1811"/>
      <c r="Y36" s="3221"/>
      <c r="Z36" s="1812" t="str">
        <f t="shared" si="15"/>
        <v>公共部分装修</v>
      </c>
      <c r="AA36" s="1809">
        <f t="shared" si="3"/>
        <v>1</v>
      </c>
      <c r="AB36" s="1809">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9"/>
      <c r="Q37" s="1808" t="str">
        <f t="shared" si="11"/>
        <v>成新度</v>
      </c>
      <c r="R37" s="773" t="s">
        <v>17</v>
      </c>
      <c r="S37" s="774" t="e">
        <f t="shared" si="12"/>
        <v>#N/A</v>
      </c>
      <c r="T37" s="773" t="s">
        <v>17</v>
      </c>
      <c r="U37" s="774" t="e">
        <f t="shared" si="13"/>
        <v>#N/A</v>
      </c>
      <c r="V37" s="773" t="s">
        <v>17</v>
      </c>
      <c r="W37" s="774" t="e">
        <f t="shared" si="14"/>
        <v>#N/A</v>
      </c>
      <c r="X37" s="1811"/>
      <c r="Y37" s="3221"/>
      <c r="Z37" s="1812" t="str">
        <f t="shared" si="15"/>
        <v>成新度</v>
      </c>
      <c r="AA37" s="1809" t="e">
        <f t="shared" si="3"/>
        <v>#N/A</v>
      </c>
      <c r="AB37" s="1809"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9"/>
      <c r="Q38" s="1793" t="str">
        <f t="shared" si="11"/>
        <v>写字楼等级</v>
      </c>
      <c r="R38" s="769" t="s">
        <v>17</v>
      </c>
      <c r="S38" s="770">
        <f t="shared" si="12"/>
        <v>100</v>
      </c>
      <c r="T38" s="769" t="s">
        <v>17</v>
      </c>
      <c r="U38" s="770">
        <f t="shared" si="13"/>
        <v>100</v>
      </c>
      <c r="V38" s="769" t="s">
        <v>17</v>
      </c>
      <c r="W38" s="770">
        <f t="shared" si="14"/>
        <v>100</v>
      </c>
      <c r="X38" s="771"/>
      <c r="Y38" s="3221"/>
      <c r="Z38" s="55" t="str">
        <f t="shared" si="15"/>
        <v>写字楼等级</v>
      </c>
      <c r="AA38" s="772">
        <f t="shared" si="3"/>
        <v>1</v>
      </c>
      <c r="AB38" s="772">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9" t="s">
        <v>2565</v>
      </c>
      <c r="Q39" s="1808" t="str">
        <f t="shared" si="11"/>
        <v>物业管理</v>
      </c>
      <c r="R39" s="773" t="s">
        <v>17</v>
      </c>
      <c r="S39" s="774">
        <f t="shared" si="12"/>
        <v>100</v>
      </c>
      <c r="T39" s="773" t="s">
        <v>17</v>
      </c>
      <c r="U39" s="774">
        <f t="shared" si="13"/>
        <v>100</v>
      </c>
      <c r="V39" s="773" t="s">
        <v>17</v>
      </c>
      <c r="W39" s="774">
        <f t="shared" si="14"/>
        <v>100</v>
      </c>
      <c r="X39" s="1811"/>
      <c r="Y39" s="3221" t="s">
        <v>2565</v>
      </c>
      <c r="Z39" s="1812" t="str">
        <f t="shared" si="15"/>
        <v>物业管理</v>
      </c>
      <c r="AA39" s="1809">
        <f t="shared" si="3"/>
        <v>1</v>
      </c>
      <c r="AB39" s="1809">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9"/>
      <c r="Q40" s="1808" t="str">
        <f t="shared" si="11"/>
        <v>市政基础设施</v>
      </c>
      <c r="R40" s="773" t="s">
        <v>17</v>
      </c>
      <c r="S40" s="774">
        <f t="shared" si="12"/>
        <v>100</v>
      </c>
      <c r="T40" s="773" t="s">
        <v>17</v>
      </c>
      <c r="U40" s="774">
        <f t="shared" si="13"/>
        <v>100</v>
      </c>
      <c r="V40" s="773" t="s">
        <v>17</v>
      </c>
      <c r="W40" s="774">
        <f t="shared" si="14"/>
        <v>100</v>
      </c>
      <c r="X40" s="1811"/>
      <c r="Y40" s="3221"/>
      <c r="Z40" s="1812" t="str">
        <f t="shared" si="15"/>
        <v>市政基础设施</v>
      </c>
      <c r="AA40" s="1809">
        <f t="shared" si="3"/>
        <v>1</v>
      </c>
      <c r="AB40" s="1809">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9"/>
      <c r="Q41" s="1808" t="str">
        <f t="shared" si="11"/>
        <v>层高</v>
      </c>
      <c r="R41" s="773" t="s">
        <v>17</v>
      </c>
      <c r="S41" s="774">
        <f t="shared" si="12"/>
        <v>100</v>
      </c>
      <c r="T41" s="773" t="s">
        <v>17</v>
      </c>
      <c r="U41" s="774">
        <f t="shared" si="13"/>
        <v>100</v>
      </c>
      <c r="V41" s="773" t="s">
        <v>17</v>
      </c>
      <c r="W41" s="774">
        <f t="shared" si="14"/>
        <v>100</v>
      </c>
      <c r="X41" s="1811"/>
      <c r="Y41" s="3221"/>
      <c r="Z41" s="1812" t="str">
        <f t="shared" si="15"/>
        <v>层高</v>
      </c>
      <c r="AA41" s="1809">
        <f t="shared" si="3"/>
        <v>1</v>
      </c>
      <c r="AB41" s="1809">
        <f t="shared" si="4"/>
        <v>1</v>
      </c>
      <c r="AC41" s="2676">
        <f t="shared" si="5"/>
        <v>1</v>
      </c>
    </row>
    <row r="42" spans="1:29" s="471" customFormat="1" ht="15">
      <c r="A42" s="468"/>
      <c r="B42" s="1810"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9"/>
      <c r="Q42" s="775" t="str">
        <f t="shared" si="11"/>
        <v>单套建筑面积</v>
      </c>
      <c r="R42" s="776" t="s">
        <v>17</v>
      </c>
      <c r="S42" s="777">
        <f t="shared" si="12"/>
        <v>100</v>
      </c>
      <c r="T42" s="776" t="s">
        <v>17</v>
      </c>
      <c r="U42" s="777">
        <f t="shared" si="13"/>
        <v>100</v>
      </c>
      <c r="V42" s="776" t="s">
        <v>17</v>
      </c>
      <c r="W42" s="777">
        <f t="shared" si="14"/>
        <v>100</v>
      </c>
      <c r="X42" s="778"/>
      <c r="Y42" s="3221"/>
      <c r="Z42" s="779" t="str">
        <f t="shared" si="15"/>
        <v>单套建筑面积</v>
      </c>
      <c r="AA42" s="1809">
        <f t="shared" si="3"/>
        <v>1</v>
      </c>
      <c r="AB42" s="1809">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9"/>
      <c r="Q43" s="1808" t="str">
        <f t="shared" si="11"/>
        <v>内部装修</v>
      </c>
      <c r="R43" s="773" t="s">
        <v>17</v>
      </c>
      <c r="S43" s="774">
        <f t="shared" si="12"/>
        <v>100</v>
      </c>
      <c r="T43" s="773" t="s">
        <v>17</v>
      </c>
      <c r="U43" s="774">
        <f t="shared" si="13"/>
        <v>100</v>
      </c>
      <c r="V43" s="773" t="s">
        <v>17</v>
      </c>
      <c r="W43" s="774">
        <f t="shared" si="14"/>
        <v>100</v>
      </c>
      <c r="X43" s="1811"/>
      <c r="Y43" s="3221"/>
      <c r="Z43" s="1812" t="str">
        <f t="shared" si="15"/>
        <v>内部装修</v>
      </c>
      <c r="AA43" s="1809">
        <f t="shared" si="3"/>
        <v>1</v>
      </c>
      <c r="AB43" s="1809">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19"/>
      <c r="Q44" s="1808" t="str">
        <f t="shared" si="11"/>
        <v>内部装修维护情况</v>
      </c>
      <c r="R44" s="773" t="s">
        <v>17</v>
      </c>
      <c r="S44" s="774">
        <f t="shared" si="12"/>
        <v>100</v>
      </c>
      <c r="T44" s="773" t="s">
        <v>17</v>
      </c>
      <c r="U44" s="774">
        <f t="shared" si="13"/>
        <v>100</v>
      </c>
      <c r="V44" s="773" t="s">
        <v>17</v>
      </c>
      <c r="W44" s="774">
        <f t="shared" si="14"/>
        <v>100</v>
      </c>
      <c r="X44" s="1811"/>
      <c r="Y44" s="3221"/>
      <c r="Z44" s="1812" t="str">
        <f t="shared" si="15"/>
        <v>内部装修维护情况</v>
      </c>
      <c r="AA44" s="1809">
        <f t="shared" si="3"/>
        <v>1</v>
      </c>
      <c r="AB44" s="1809">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9"/>
      <c r="Q45" s="1793">
        <f t="shared" si="11"/>
        <v>111</v>
      </c>
      <c r="R45" s="769" t="s">
        <v>17</v>
      </c>
      <c r="S45" s="770">
        <f t="shared" si="12"/>
        <v>100</v>
      </c>
      <c r="T45" s="769" t="s">
        <v>17</v>
      </c>
      <c r="U45" s="770">
        <f t="shared" si="13"/>
        <v>100</v>
      </c>
      <c r="V45" s="769" t="s">
        <v>17</v>
      </c>
      <c r="W45" s="770">
        <f t="shared" si="14"/>
        <v>100</v>
      </c>
      <c r="X45" s="771"/>
      <c r="Y45" s="3221"/>
      <c r="Z45" s="55">
        <f t="shared" si="15"/>
        <v>111</v>
      </c>
      <c r="AA45" s="772">
        <f t="shared" si="3"/>
        <v>1</v>
      </c>
      <c r="AB45" s="772">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9"/>
      <c r="Q46" s="1808">
        <f t="shared" si="11"/>
        <v>111</v>
      </c>
      <c r="R46" s="773" t="s">
        <v>17</v>
      </c>
      <c r="S46" s="774">
        <f t="shared" si="12"/>
        <v>100</v>
      </c>
      <c r="T46" s="773" t="s">
        <v>17</v>
      </c>
      <c r="U46" s="774">
        <f t="shared" si="13"/>
        <v>100</v>
      </c>
      <c r="V46" s="773" t="s">
        <v>17</v>
      </c>
      <c r="W46" s="774">
        <f t="shared" si="14"/>
        <v>100</v>
      </c>
      <c r="X46" s="1811"/>
      <c r="Y46" s="3221"/>
      <c r="Z46" s="1812">
        <f t="shared" si="15"/>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0"/>
      <c r="Q47" s="1808">
        <f t="shared" si="11"/>
        <v>111</v>
      </c>
      <c r="R47" s="773" t="s">
        <v>17</v>
      </c>
      <c r="S47" s="774">
        <f t="shared" si="12"/>
        <v>100</v>
      </c>
      <c r="T47" s="773" t="s">
        <v>17</v>
      </c>
      <c r="U47" s="774">
        <f t="shared" si="13"/>
        <v>100</v>
      </c>
      <c r="V47" s="773" t="s">
        <v>17</v>
      </c>
      <c r="W47" s="774">
        <f t="shared" si="14"/>
        <v>100</v>
      </c>
      <c r="X47" s="1811"/>
      <c r="Y47" s="3222"/>
      <c r="Z47" s="1812">
        <f t="shared" si="15"/>
        <v>111</v>
      </c>
      <c r="AA47" s="1809">
        <f t="shared" si="3"/>
        <v>1</v>
      </c>
      <c r="AB47" s="1809">
        <f t="shared" si="4"/>
        <v>1</v>
      </c>
      <c r="AC47" s="2676">
        <f t="shared" si="5"/>
        <v>1</v>
      </c>
    </row>
    <row r="48" spans="1:29" ht="15">
      <c r="A48" s="479" t="s">
        <v>2577</v>
      </c>
      <c r="B48" s="480"/>
      <c r="C48" s="1406" t="s">
        <v>1</v>
      </c>
      <c r="D48" s="1407"/>
      <c r="E48" s="1408"/>
      <c r="F48" s="1409"/>
      <c r="G48" s="1410"/>
      <c r="H48" s="1411"/>
      <c r="I48" s="1408"/>
      <c r="J48" s="485"/>
      <c r="K48" s="782"/>
      <c r="L48" s="1142"/>
      <c r="M48" s="1130"/>
      <c r="N48" s="1130"/>
      <c r="O48" s="1130"/>
      <c r="P48" s="3196" t="str">
        <f>A48</f>
        <v>成交单价（元/平方米）</v>
      </c>
      <c r="Q48" s="3214"/>
      <c r="R48" s="3215">
        <f>E48</f>
        <v>0</v>
      </c>
      <c r="S48" s="3215"/>
      <c r="T48" s="3215">
        <f>G48</f>
        <v>0</v>
      </c>
      <c r="U48" s="3215"/>
      <c r="V48" s="3215">
        <f>I48</f>
        <v>0</v>
      </c>
      <c r="W48" s="3215"/>
      <c r="X48" s="446"/>
      <c r="Y48" s="780"/>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3"/>
      <c r="L49" s="1142"/>
      <c r="M49" s="1130"/>
      <c r="N49" s="1130"/>
      <c r="O49" s="1130"/>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4"/>
      <c r="L50" s="1142"/>
      <c r="M50" s="1130"/>
      <c r="N50" s="1130"/>
      <c r="O50" s="1130"/>
      <c r="P50" s="3237" t="str">
        <f>A50</f>
        <v>估价对象XX用房的比较价值（楼面单价，元/平方米）</v>
      </c>
      <c r="Q50" s="3238"/>
      <c r="R50" s="3239" t="e">
        <f>IF(F1="售价",ROUND(AVERAGE(R49:V49),0),ROUND(AVERAGE(R49:V49),1))</f>
        <v>#DIV/0!</v>
      </c>
      <c r="S50" s="3239"/>
      <c r="T50" s="3239"/>
      <c r="U50" s="3239"/>
      <c r="V50" s="3239"/>
      <c r="W50" s="3239"/>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2" t="s">
        <v>2674</v>
      </c>
      <c r="B58" s="758"/>
      <c r="C58" s="763"/>
      <c r="D58" s="763"/>
      <c r="E58" s="763"/>
      <c r="F58" s="764"/>
      <c r="G58" s="764"/>
      <c r="H58" s="763"/>
      <c r="I58" s="763"/>
      <c r="J58" s="763"/>
      <c r="K58" s="765"/>
      <c r="L58" s="1160"/>
      <c r="M58" s="1158"/>
      <c r="N58" s="1158"/>
      <c r="O58" s="1158"/>
      <c r="P58" s="2683"/>
      <c r="Q58" s="504"/>
    </row>
    <row r="59" spans="1:29" s="508" customFormat="1" ht="15">
      <c r="A59" s="505" t="s">
        <v>2548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2588</v>
      </c>
      <c r="B64" s="528" t="s">
        <v>2554</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2699</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2563</v>
      </c>
      <c r="B101" s="528" t="s">
        <v>2612</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2614</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2616</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2700</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2617</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2618</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2701</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2684</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2620</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3" t="e">
        <f ca="1">SUMIF(INDIRECT("'"&amp;F2&amp;"'"&amp;"!A:A"),"承租人权益价值",INDIRECT("'"&amp;F2&amp;"'"&amp;"!c:c"))</f>
        <v>#REF!</v>
      </c>
      <c r="E2" s="2589" t="s">
        <v>2328</v>
      </c>
      <c r="F2" s="259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2644</v>
      </c>
      <c r="D3" s="399">
        <f>IF(D1="",'数据-汇总表'!E3,SUMIF('数据-汇总表'!$C19:$C33,D1,'数据-汇总表'!$E19:$E33))</f>
        <v>81.84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184" t="s">
        <v>2647</v>
      </c>
      <c r="S4" s="3185"/>
      <c r="T4" s="3184" t="s">
        <v>2648</v>
      </c>
      <c r="U4" s="3185"/>
      <c r="V4" s="3209" t="s">
        <v>2649</v>
      </c>
      <c r="W4" s="3209"/>
      <c r="X4" s="1811"/>
      <c r="Y4" s="3184" t="s">
        <v>2651</v>
      </c>
      <c r="Z4" s="3185"/>
      <c r="AA4" s="3179" t="s">
        <v>2647</v>
      </c>
      <c r="AB4" s="3180" t="s">
        <v>2648</v>
      </c>
      <c r="AC4" s="3179" t="s">
        <v>2649</v>
      </c>
    </row>
    <row r="5" spans="1:29" ht="15">
      <c r="A5" s="404"/>
      <c r="B5" s="405"/>
      <c r="C5" s="3190" t="s">
        <v>2542</v>
      </c>
      <c r="D5" s="3191"/>
      <c r="E5" s="3188" t="s">
        <v>2543</v>
      </c>
      <c r="F5" s="3189"/>
      <c r="G5" s="3190" t="s">
        <v>2544</v>
      </c>
      <c r="H5" s="3191"/>
      <c r="I5" s="3190" t="s">
        <v>2545</v>
      </c>
      <c r="J5" s="3191"/>
      <c r="K5" s="610"/>
      <c r="L5" s="1129"/>
      <c r="M5" s="1130"/>
      <c r="N5" s="1130"/>
      <c r="O5" s="1130"/>
      <c r="P5" s="3203"/>
      <c r="Q5" s="3204"/>
      <c r="R5" s="3186"/>
      <c r="S5" s="3187"/>
      <c r="T5" s="3186"/>
      <c r="U5" s="3187"/>
      <c r="V5" s="3209"/>
      <c r="W5" s="3209"/>
      <c r="X5" s="1811"/>
      <c r="Y5" s="3186"/>
      <c r="Z5" s="3187"/>
      <c r="AA5" s="3180"/>
      <c r="AB5" s="3180"/>
      <c r="AC5" s="3180"/>
    </row>
    <row r="6" spans="1:29" ht="15.75" thickBot="1">
      <c r="A6" s="406"/>
      <c r="B6" s="407"/>
      <c r="C6" s="3192" t="s">
        <v>2546</v>
      </c>
      <c r="D6" s="3193"/>
      <c r="E6" s="3194" t="s">
        <v>2546</v>
      </c>
      <c r="F6" s="3195"/>
      <c r="G6" s="3192" t="s">
        <v>2546</v>
      </c>
      <c r="H6" s="3193"/>
      <c r="I6" s="3192" t="s">
        <v>2546</v>
      </c>
      <c r="J6" s="3193"/>
      <c r="K6" s="610" t="s">
        <v>2547</v>
      </c>
      <c r="L6" s="1129"/>
      <c r="M6" s="1130"/>
      <c r="N6" s="1130"/>
      <c r="O6" s="1130"/>
      <c r="P6" s="3205"/>
      <c r="Q6" s="3206"/>
      <c r="R6" s="3186"/>
      <c r="S6" s="3187"/>
      <c r="T6" s="3207"/>
      <c r="U6" s="3208"/>
      <c r="V6" s="3209"/>
      <c r="W6" s="3209"/>
      <c r="X6" s="1811"/>
      <c r="Y6" s="3207"/>
      <c r="Z6" s="3208"/>
      <c r="AA6" s="3181"/>
      <c r="AB6" s="3181"/>
      <c r="AC6" s="3181"/>
    </row>
    <row r="7" spans="1:29" s="117" customFormat="1" ht="15.75" thickBot="1">
      <c r="A7" s="408" t="s">
        <v>2548</v>
      </c>
      <c r="B7" s="409"/>
      <c r="C7" s="410">
        <f>'数据-取费表'!B2</f>
        <v>43643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82" t="s">
        <v>2549</v>
      </c>
      <c r="Q7" s="3210"/>
      <c r="R7" s="769" t="s">
        <v>17</v>
      </c>
      <c r="S7" s="770">
        <f t="shared" ref="S7:S15" si="0">F7</f>
        <v>0</v>
      </c>
      <c r="T7" s="769" t="s">
        <v>17</v>
      </c>
      <c r="U7" s="770">
        <f t="shared" ref="U7:U15" si="1">H7</f>
        <v>0</v>
      </c>
      <c r="V7" s="769" t="s">
        <v>17</v>
      </c>
      <c r="W7" s="770">
        <f t="shared" ref="W7:W15" si="2">J7</f>
        <v>0</v>
      </c>
      <c r="X7" s="771"/>
      <c r="Y7" s="3182" t="s">
        <v>2549</v>
      </c>
      <c r="Z7" s="3183"/>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82" t="s">
        <v>2552</v>
      </c>
      <c r="Q8" s="3183"/>
      <c r="R8" s="769" t="s">
        <v>17</v>
      </c>
      <c r="S8" s="770">
        <f t="shared" si="0"/>
        <v>0</v>
      </c>
      <c r="T8" s="769" t="s">
        <v>17</v>
      </c>
      <c r="U8" s="770">
        <f t="shared" si="1"/>
        <v>0</v>
      </c>
      <c r="V8" s="769" t="s">
        <v>17</v>
      </c>
      <c r="W8" s="770">
        <f t="shared" si="2"/>
        <v>0</v>
      </c>
      <c r="X8" s="771"/>
      <c r="Y8" s="3182" t="s">
        <v>2552</v>
      </c>
      <c r="Z8" s="3183"/>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4" t="s">
        <v>2555</v>
      </c>
      <c r="Q9" s="1793" t="str">
        <f t="shared" ref="Q9:Q15" si="6">B9</f>
        <v>用途</v>
      </c>
      <c r="R9" s="769" t="s">
        <v>17</v>
      </c>
      <c r="S9" s="770">
        <f t="shared" si="0"/>
        <v>100</v>
      </c>
      <c r="T9" s="769" t="s">
        <v>17</v>
      </c>
      <c r="U9" s="770">
        <f t="shared" si="1"/>
        <v>100</v>
      </c>
      <c r="V9" s="769" t="s">
        <v>17</v>
      </c>
      <c r="W9" s="770">
        <f t="shared" si="2"/>
        <v>100</v>
      </c>
      <c r="X9" s="771"/>
      <c r="Y9" s="3029"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4"/>
      <c r="Q10" s="1793"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4"/>
      <c r="Q11" s="1793"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14"/>
      <c r="Q12" s="1793">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14"/>
      <c r="Q13" s="1793">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14"/>
      <c r="Q14" s="1793">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6" t="s">
        <v>2560</v>
      </c>
      <c r="Q15" s="1808" t="str">
        <f t="shared" si="6"/>
        <v>产业集聚程度</v>
      </c>
      <c r="R15" s="773" t="s">
        <v>17</v>
      </c>
      <c r="S15" s="774">
        <f t="shared" si="0"/>
        <v>100</v>
      </c>
      <c r="T15" s="773" t="s">
        <v>17</v>
      </c>
      <c r="U15" s="774">
        <f t="shared" si="1"/>
        <v>100</v>
      </c>
      <c r="V15" s="773" t="s">
        <v>17</v>
      </c>
      <c r="W15" s="774">
        <f t="shared" si="2"/>
        <v>100</v>
      </c>
      <c r="X15" s="1811"/>
      <c r="Y15" s="3216" t="s">
        <v>2560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17"/>
      <c r="Q16" s="1808"/>
      <c r="R16" s="773"/>
      <c r="S16" s="774"/>
      <c r="T16" s="773"/>
      <c r="U16" s="774"/>
      <c r="V16" s="773"/>
      <c r="W16" s="774"/>
      <c r="X16" s="1811"/>
      <c r="Y16" s="3217"/>
      <c r="Z16" s="1812"/>
      <c r="AA16" s="1809">
        <v>1</v>
      </c>
      <c r="AB16" s="1809">
        <v>1</v>
      </c>
      <c r="AC16" s="1809">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7"/>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9"/>
      <c r="M18" s="1130"/>
      <c r="N18" s="1130"/>
      <c r="O18" s="1138"/>
      <c r="P18" s="3217"/>
      <c r="Q18" s="1808"/>
      <c r="R18" s="773"/>
      <c r="S18" s="774"/>
      <c r="T18" s="773"/>
      <c r="U18" s="774"/>
      <c r="V18" s="773"/>
      <c r="W18" s="774"/>
      <c r="X18" s="1811"/>
      <c r="Y18" s="3217"/>
      <c r="Z18" s="1812"/>
      <c r="AA18" s="1809">
        <v>1</v>
      </c>
      <c r="AB18" s="1809">
        <v>1</v>
      </c>
      <c r="AC18" s="1809">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7"/>
      <c r="Q19" s="1808" t="str">
        <f>B19</f>
        <v>公共配套设施</v>
      </c>
      <c r="R19" s="773" t="s">
        <v>17</v>
      </c>
      <c r="S19" s="774">
        <f>F19</f>
        <v>100</v>
      </c>
      <c r="T19" s="773" t="s">
        <v>17</v>
      </c>
      <c r="U19" s="774">
        <f>H19</f>
        <v>100</v>
      </c>
      <c r="V19" s="773" t="s">
        <v>17</v>
      </c>
      <c r="W19" s="774">
        <f>J19</f>
        <v>100</v>
      </c>
      <c r="X19" s="1811"/>
      <c r="Y19" s="3217"/>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9"/>
      <c r="M20" s="1130"/>
      <c r="N20" s="1130"/>
      <c r="O20" s="1138"/>
      <c r="P20" s="3217"/>
      <c r="Q20" s="1808"/>
      <c r="R20" s="773"/>
      <c r="S20" s="774"/>
      <c r="T20" s="773"/>
      <c r="U20" s="774"/>
      <c r="V20" s="773"/>
      <c r="W20" s="774"/>
      <c r="X20" s="1811"/>
      <c r="Y20" s="3217"/>
      <c r="Z20" s="1812"/>
      <c r="AA20" s="1809">
        <v>1</v>
      </c>
      <c r="AB20" s="1809">
        <v>1</v>
      </c>
      <c r="AC20" s="1809">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7"/>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10"/>
      <c r="D22" s="448"/>
      <c r="E22" s="447"/>
      <c r="F22" s="449"/>
      <c r="G22" s="447"/>
      <c r="H22" s="448"/>
      <c r="I22" s="447"/>
      <c r="J22" s="448"/>
      <c r="K22" s="1382"/>
      <c r="L22" s="1139"/>
      <c r="M22" s="1130"/>
      <c r="N22" s="1130"/>
      <c r="O22" s="1138"/>
      <c r="P22" s="3217"/>
      <c r="Q22" s="1808"/>
      <c r="R22" s="773"/>
      <c r="S22" s="774"/>
      <c r="T22" s="773"/>
      <c r="U22" s="774"/>
      <c r="V22" s="773"/>
      <c r="W22" s="774"/>
      <c r="X22" s="1811"/>
      <c r="Y22" s="3217"/>
      <c r="Z22" s="1812"/>
      <c r="AA22" s="1809">
        <v>1</v>
      </c>
      <c r="AB22" s="1809">
        <v>1</v>
      </c>
      <c r="AC22" s="1809">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7"/>
      <c r="Q23" s="1808" t="str">
        <f>B23</f>
        <v>环境质量</v>
      </c>
      <c r="R23" s="773" t="s">
        <v>17</v>
      </c>
      <c r="S23" s="774">
        <f>F23</f>
        <v>100</v>
      </c>
      <c r="T23" s="773" t="s">
        <v>17</v>
      </c>
      <c r="U23" s="774">
        <f>H23</f>
        <v>100</v>
      </c>
      <c r="V23" s="773" t="s">
        <v>17</v>
      </c>
      <c r="W23" s="774">
        <f>J23</f>
        <v>100</v>
      </c>
      <c r="X23" s="1811"/>
      <c r="Y23" s="3217"/>
      <c r="Z23" s="1812" t="str">
        <f>Q23</f>
        <v>环境质量</v>
      </c>
      <c r="AA23" s="1809">
        <f t="shared" si="3"/>
        <v>1</v>
      </c>
      <c r="AB23" s="1809">
        <f t="shared" si="4"/>
        <v>1</v>
      </c>
      <c r="AC23" s="1809">
        <f t="shared" si="5"/>
        <v>1</v>
      </c>
    </row>
    <row r="24" spans="1:29" ht="15">
      <c r="A24" s="428"/>
      <c r="B24" s="1383"/>
      <c r="C24" s="447"/>
      <c r="D24" s="448"/>
      <c r="E24" s="2607"/>
      <c r="F24" s="449"/>
      <c r="G24" s="2606"/>
      <c r="H24" s="448"/>
      <c r="I24" s="2607"/>
      <c r="J24" s="448"/>
      <c r="K24" s="615"/>
      <c r="L24" s="1139"/>
      <c r="M24" s="1130"/>
      <c r="N24" s="1130"/>
      <c r="O24" s="1138"/>
      <c r="P24" s="3217"/>
      <c r="Q24" s="1808"/>
      <c r="R24" s="773"/>
      <c r="S24" s="774"/>
      <c r="T24" s="773"/>
      <c r="U24" s="774"/>
      <c r="V24" s="773"/>
      <c r="W24" s="774"/>
      <c r="X24" s="1811"/>
      <c r="Y24" s="3217"/>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7"/>
      <c r="Q25" s="1808">
        <f>B25</f>
        <v>111</v>
      </c>
      <c r="R25" s="773" t="s">
        <v>17</v>
      </c>
      <c r="S25" s="774">
        <f>F25</f>
        <v>100</v>
      </c>
      <c r="T25" s="773" t="s">
        <v>17</v>
      </c>
      <c r="U25" s="774">
        <f>H25</f>
        <v>100</v>
      </c>
      <c r="V25" s="773" t="s">
        <v>17</v>
      </c>
      <c r="W25" s="774">
        <f>J25</f>
        <v>100</v>
      </c>
      <c r="X25" s="1811"/>
      <c r="Y25" s="3217"/>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7"/>
      <c r="Q26" s="1808">
        <f t="shared" ref="Q26:Q40" si="11">B26</f>
        <v>111</v>
      </c>
      <c r="R26" s="773" t="s">
        <v>17</v>
      </c>
      <c r="S26" s="774">
        <f>F26</f>
        <v>100</v>
      </c>
      <c r="T26" s="773" t="s">
        <v>17</v>
      </c>
      <c r="U26" s="774">
        <f>H26</f>
        <v>100</v>
      </c>
      <c r="V26" s="773" t="s">
        <v>17</v>
      </c>
      <c r="W26" s="774">
        <f>J26</f>
        <v>100</v>
      </c>
      <c r="X26" s="1811"/>
      <c r="Y26" s="3217"/>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7"/>
      <c r="Q27" s="1793">
        <f t="shared" si="11"/>
        <v>111</v>
      </c>
      <c r="R27" s="769" t="s">
        <v>17</v>
      </c>
      <c r="S27" s="770">
        <f>F27</f>
        <v>100</v>
      </c>
      <c r="T27" s="769" t="s">
        <v>17</v>
      </c>
      <c r="U27" s="770">
        <f>H27</f>
        <v>100</v>
      </c>
      <c r="V27" s="769" t="s">
        <v>17</v>
      </c>
      <c r="W27" s="770">
        <f>J27</f>
        <v>100</v>
      </c>
      <c r="X27" s="771"/>
      <c r="Y27" s="3217"/>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7"/>
      <c r="Q28" s="1808">
        <f t="shared" si="11"/>
        <v>111</v>
      </c>
      <c r="R28" s="773" t="s">
        <v>17</v>
      </c>
      <c r="S28" s="774">
        <f t="shared" ref="S28:S40" si="12">F28</f>
        <v>100</v>
      </c>
      <c r="T28" s="773" t="s">
        <v>17</v>
      </c>
      <c r="U28" s="774">
        <f t="shared" ref="U28:U40" si="13">H28</f>
        <v>100</v>
      </c>
      <c r="V28" s="773" t="s">
        <v>17</v>
      </c>
      <c r="W28" s="774">
        <f t="shared" ref="W28:W40" si="14">J28</f>
        <v>100</v>
      </c>
      <c r="X28" s="1811"/>
      <c r="Y28" s="3217"/>
      <c r="Z28" s="1812">
        <f t="shared" ref="Z28:Z40" si="15">Q28</f>
        <v>111</v>
      </c>
      <c r="AA28" s="1809">
        <f t="shared" si="3"/>
        <v>1</v>
      </c>
      <c r="AB28" s="1809">
        <f t="shared" si="4"/>
        <v>1</v>
      </c>
      <c r="AC28" s="1809">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40" t="s">
        <v>2565</v>
      </c>
      <c r="Q29" s="1808" t="str">
        <f t="shared" si="11"/>
        <v>建筑类型</v>
      </c>
      <c r="R29" s="773" t="s">
        <v>17</v>
      </c>
      <c r="S29" s="774">
        <f t="shared" si="12"/>
        <v>100</v>
      </c>
      <c r="T29" s="773" t="s">
        <v>17</v>
      </c>
      <c r="U29" s="774">
        <f t="shared" si="13"/>
        <v>100</v>
      </c>
      <c r="V29" s="773" t="s">
        <v>17</v>
      </c>
      <c r="W29" s="774">
        <f t="shared" si="14"/>
        <v>100</v>
      </c>
      <c r="X29" s="1811"/>
      <c r="Y29" s="3221" t="s">
        <v>2565</v>
      </c>
      <c r="Z29" s="1812" t="str">
        <f t="shared" si="15"/>
        <v>建筑类型</v>
      </c>
      <c r="AA29" s="1809">
        <f t="shared" si="3"/>
        <v>1</v>
      </c>
      <c r="AB29" s="1809">
        <f t="shared" si="4"/>
        <v>1</v>
      </c>
      <c r="AC29" s="1809">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1"/>
      <c r="Q30" s="775" t="str">
        <f t="shared" si="11"/>
        <v>项目建筑规模</v>
      </c>
      <c r="R30" s="776" t="s">
        <v>17</v>
      </c>
      <c r="S30" s="777" t="e">
        <f t="shared" si="12"/>
        <v>#N/A</v>
      </c>
      <c r="T30" s="776" t="s">
        <v>17</v>
      </c>
      <c r="U30" s="777" t="e">
        <f t="shared" si="13"/>
        <v>#N/A</v>
      </c>
      <c r="V30" s="776" t="s">
        <v>17</v>
      </c>
      <c r="W30" s="777" t="e">
        <f t="shared" si="14"/>
        <v>#N/A</v>
      </c>
      <c r="X30" s="778"/>
      <c r="Y30" s="3221"/>
      <c r="Z30" s="779" t="str">
        <f t="shared" si="15"/>
        <v>项目建筑规模</v>
      </c>
      <c r="AA30" s="1809" t="e">
        <f t="shared" si="3"/>
        <v>#N/A</v>
      </c>
      <c r="AB30" s="1809" t="e">
        <f t="shared" si="4"/>
        <v>#N/A</v>
      </c>
      <c r="AC30" s="1809"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1"/>
      <c r="Q31" s="1808" t="str">
        <f t="shared" si="11"/>
        <v>建筑结构</v>
      </c>
      <c r="R31" s="773" t="s">
        <v>17</v>
      </c>
      <c r="S31" s="774">
        <f t="shared" si="12"/>
        <v>100</v>
      </c>
      <c r="T31" s="773" t="s">
        <v>17</v>
      </c>
      <c r="U31" s="774">
        <f t="shared" si="13"/>
        <v>100</v>
      </c>
      <c r="V31" s="773" t="s">
        <v>17</v>
      </c>
      <c r="W31" s="774">
        <f t="shared" si="14"/>
        <v>100</v>
      </c>
      <c r="X31" s="1811"/>
      <c r="Y31" s="3221"/>
      <c r="Z31" s="1812" t="str">
        <f t="shared" si="15"/>
        <v>建筑结构</v>
      </c>
      <c r="AA31" s="1809">
        <f t="shared" si="3"/>
        <v>1</v>
      </c>
      <c r="AB31" s="1809">
        <f t="shared" si="4"/>
        <v>1</v>
      </c>
      <c r="AC31" s="1809">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1"/>
      <c r="Q32" s="1808" t="str">
        <f t="shared" si="11"/>
        <v>公共部分装修</v>
      </c>
      <c r="R32" s="773" t="s">
        <v>17</v>
      </c>
      <c r="S32" s="774">
        <f t="shared" si="12"/>
        <v>100</v>
      </c>
      <c r="T32" s="773" t="s">
        <v>17</v>
      </c>
      <c r="U32" s="774">
        <f t="shared" si="13"/>
        <v>100</v>
      </c>
      <c r="V32" s="773" t="s">
        <v>17</v>
      </c>
      <c r="W32" s="774">
        <f t="shared" si="14"/>
        <v>100</v>
      </c>
      <c r="X32" s="1811"/>
      <c r="Y32" s="3221"/>
      <c r="Z32" s="1812" t="str">
        <f t="shared" si="15"/>
        <v>公共部分装修</v>
      </c>
      <c r="AA32" s="1809">
        <f t="shared" si="3"/>
        <v>1</v>
      </c>
      <c r="AB32" s="1809">
        <f t="shared" si="4"/>
        <v>1</v>
      </c>
      <c r="AC32" s="1809">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1"/>
      <c r="Q33" s="1808" t="str">
        <f t="shared" si="11"/>
        <v>成新度</v>
      </c>
      <c r="R33" s="773" t="s">
        <v>17</v>
      </c>
      <c r="S33" s="774" t="e">
        <f t="shared" si="12"/>
        <v>#N/A</v>
      </c>
      <c r="T33" s="773" t="s">
        <v>17</v>
      </c>
      <c r="U33" s="774" t="e">
        <f t="shared" si="13"/>
        <v>#N/A</v>
      </c>
      <c r="V33" s="773" t="s">
        <v>17</v>
      </c>
      <c r="W33" s="774" t="e">
        <f t="shared" si="14"/>
        <v>#N/A</v>
      </c>
      <c r="X33" s="1811"/>
      <c r="Y33" s="3221"/>
      <c r="Z33" s="1812" t="str">
        <f t="shared" si="15"/>
        <v>成新度</v>
      </c>
      <c r="AA33" s="1809" t="e">
        <f t="shared" si="3"/>
        <v>#N/A</v>
      </c>
      <c r="AB33" s="1809" t="e">
        <f t="shared" si="4"/>
        <v>#N/A</v>
      </c>
      <c r="AC33" s="1809"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1"/>
      <c r="Q34" s="1793" t="str">
        <f t="shared" si="11"/>
        <v>物业管理</v>
      </c>
      <c r="R34" s="769" t="s">
        <v>17</v>
      </c>
      <c r="S34" s="770">
        <f t="shared" si="12"/>
        <v>100</v>
      </c>
      <c r="T34" s="769" t="s">
        <v>17</v>
      </c>
      <c r="U34" s="770">
        <f t="shared" si="13"/>
        <v>100</v>
      </c>
      <c r="V34" s="769" t="s">
        <v>17</v>
      </c>
      <c r="W34" s="770">
        <f t="shared" si="14"/>
        <v>100</v>
      </c>
      <c r="X34" s="771"/>
      <c r="Y34" s="3221"/>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1" t="s">
        <v>2565</v>
      </c>
      <c r="Q35" s="1808" t="str">
        <f t="shared" si="11"/>
        <v>市政基础设施</v>
      </c>
      <c r="R35" s="773" t="s">
        <v>17</v>
      </c>
      <c r="S35" s="774">
        <f t="shared" si="12"/>
        <v>100</v>
      </c>
      <c r="T35" s="773" t="s">
        <v>17</v>
      </c>
      <c r="U35" s="774">
        <f t="shared" si="13"/>
        <v>100</v>
      </c>
      <c r="V35" s="773" t="s">
        <v>17</v>
      </c>
      <c r="W35" s="774">
        <f t="shared" si="14"/>
        <v>100</v>
      </c>
      <c r="X35" s="1811"/>
      <c r="Y35" s="3221" t="s">
        <v>2565</v>
      </c>
      <c r="Z35" s="1812" t="str">
        <f t="shared" si="15"/>
        <v>市政基础设施</v>
      </c>
      <c r="AA35" s="1809">
        <f t="shared" si="3"/>
        <v>1</v>
      </c>
      <c r="AB35" s="1809">
        <f t="shared" si="4"/>
        <v>1</v>
      </c>
      <c r="AC35" s="1809">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1"/>
      <c r="Q36" s="1808" t="str">
        <f t="shared" si="11"/>
        <v>内部装修</v>
      </c>
      <c r="R36" s="773" t="s">
        <v>17</v>
      </c>
      <c r="S36" s="774">
        <f t="shared" si="12"/>
        <v>100</v>
      </c>
      <c r="T36" s="773" t="s">
        <v>17</v>
      </c>
      <c r="U36" s="774">
        <f t="shared" si="13"/>
        <v>100</v>
      </c>
      <c r="V36" s="773" t="s">
        <v>17</v>
      </c>
      <c r="W36" s="774">
        <f t="shared" si="14"/>
        <v>100</v>
      </c>
      <c r="X36" s="1811"/>
      <c r="Y36" s="3221"/>
      <c r="Z36" s="1812" t="str">
        <f t="shared" si="15"/>
        <v>内部装修</v>
      </c>
      <c r="AA36" s="1809">
        <f t="shared" si="3"/>
        <v>1</v>
      </c>
      <c r="AB36" s="1809">
        <f t="shared" si="4"/>
        <v>1</v>
      </c>
      <c r="AC36" s="1809">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1"/>
      <c r="Q37" s="1808" t="str">
        <f t="shared" si="11"/>
        <v>内部装修状况</v>
      </c>
      <c r="R37" s="773" t="s">
        <v>17</v>
      </c>
      <c r="S37" s="774">
        <f t="shared" si="12"/>
        <v>100</v>
      </c>
      <c r="T37" s="773" t="s">
        <v>17</v>
      </c>
      <c r="U37" s="774">
        <f t="shared" si="13"/>
        <v>100</v>
      </c>
      <c r="V37" s="773" t="s">
        <v>17</v>
      </c>
      <c r="W37" s="774">
        <f t="shared" si="14"/>
        <v>100</v>
      </c>
      <c r="X37" s="1811"/>
      <c r="Y37" s="3221"/>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1"/>
      <c r="Q38" s="775">
        <f t="shared" si="11"/>
        <v>111</v>
      </c>
      <c r="R38" s="776" t="s">
        <v>17</v>
      </c>
      <c r="S38" s="777">
        <f t="shared" si="12"/>
        <v>100</v>
      </c>
      <c r="T38" s="776" t="s">
        <v>17</v>
      </c>
      <c r="U38" s="777">
        <f t="shared" si="13"/>
        <v>100</v>
      </c>
      <c r="V38" s="776" t="s">
        <v>17</v>
      </c>
      <c r="W38" s="777">
        <f t="shared" si="14"/>
        <v>100</v>
      </c>
      <c r="X38" s="778"/>
      <c r="Y38" s="3221"/>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1"/>
      <c r="Q39" s="1808">
        <f t="shared" si="11"/>
        <v>111</v>
      </c>
      <c r="R39" s="773" t="s">
        <v>17</v>
      </c>
      <c r="S39" s="774">
        <f t="shared" si="12"/>
        <v>100</v>
      </c>
      <c r="T39" s="773" t="s">
        <v>17</v>
      </c>
      <c r="U39" s="774">
        <f t="shared" si="13"/>
        <v>100</v>
      </c>
      <c r="V39" s="773" t="s">
        <v>17</v>
      </c>
      <c r="W39" s="774">
        <f t="shared" si="14"/>
        <v>100</v>
      </c>
      <c r="X39" s="1811"/>
      <c r="Y39" s="3221"/>
      <c r="Z39" s="1812">
        <f t="shared" si="15"/>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2"/>
      <c r="Q40" s="1808">
        <f t="shared" si="11"/>
        <v>111</v>
      </c>
      <c r="R40" s="773" t="s">
        <v>17</v>
      </c>
      <c r="S40" s="774">
        <f t="shared" si="12"/>
        <v>100</v>
      </c>
      <c r="T40" s="773" t="s">
        <v>17</v>
      </c>
      <c r="U40" s="774">
        <f t="shared" si="13"/>
        <v>100</v>
      </c>
      <c r="V40" s="773" t="s">
        <v>17</v>
      </c>
      <c r="W40" s="774">
        <f t="shared" si="14"/>
        <v>100</v>
      </c>
      <c r="X40" s="1811"/>
      <c r="Y40" s="3222"/>
      <c r="Z40" s="1812">
        <f t="shared" si="15"/>
        <v>111</v>
      </c>
      <c r="AA40" s="1809">
        <f t="shared" si="3"/>
        <v>1</v>
      </c>
      <c r="AB40" s="1809">
        <f t="shared" si="4"/>
        <v>1</v>
      </c>
      <c r="AC40" s="1809">
        <f t="shared" si="5"/>
        <v>1</v>
      </c>
    </row>
    <row r="41" spans="1:29" ht="15">
      <c r="A41" s="479" t="s">
        <v>2577</v>
      </c>
      <c r="B41" s="480"/>
      <c r="C41" s="1406" t="s">
        <v>1</v>
      </c>
      <c r="D41" s="1407"/>
      <c r="E41" s="1408"/>
      <c r="F41" s="1409"/>
      <c r="G41" s="1410"/>
      <c r="H41" s="1411"/>
      <c r="I41" s="1408"/>
      <c r="J41" s="1411"/>
      <c r="K41" s="782"/>
      <c r="L41" s="1142"/>
      <c r="M41" s="1143"/>
      <c r="N41" s="1130"/>
      <c r="O41" s="1143"/>
      <c r="P41" s="3214" t="str">
        <f>A41</f>
        <v>成交单价（元/平方米）</v>
      </c>
      <c r="Q41" s="3214"/>
      <c r="R41" s="3215">
        <f>E41</f>
        <v>0</v>
      </c>
      <c r="S41" s="3215"/>
      <c r="T41" s="3215">
        <f>G41</f>
        <v>0</v>
      </c>
      <c r="U41" s="3215"/>
      <c r="V41" s="3215">
        <f>I41</f>
        <v>0</v>
      </c>
      <c r="W41" s="3215"/>
      <c r="X41" s="758"/>
      <c r="Y41" s="780"/>
      <c r="Z41" s="758"/>
      <c r="AA41" s="758"/>
      <c r="AB41" s="758"/>
      <c r="AC41" s="758"/>
    </row>
    <row r="42" spans="1:29" ht="15.75" thickBot="1">
      <c r="A42" s="486" t="s">
        <v>2669</v>
      </c>
      <c r="B42" s="487"/>
      <c r="C42" s="1412" t="e">
        <f>R43</f>
        <v>#DIV/0!</v>
      </c>
      <c r="D42" s="1413"/>
      <c r="E42" s="1414" t="e">
        <f>R42</f>
        <v>#DIV/0!</v>
      </c>
      <c r="F42" s="1414"/>
      <c r="G42" s="1412" t="e">
        <f>T42</f>
        <v>#DIV/0!</v>
      </c>
      <c r="H42" s="1413"/>
      <c r="I42" s="1414" t="e">
        <f>V42</f>
        <v>#DIV/0!</v>
      </c>
      <c r="J42" s="1413"/>
      <c r="K42" s="783"/>
      <c r="L42" s="1142"/>
      <c r="M42" s="1143"/>
      <c r="N42" s="1130"/>
      <c r="O42" s="1143"/>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8"/>
      <c r="Y42" s="758"/>
      <c r="Z42" s="758"/>
      <c r="AA42" s="758"/>
      <c r="AB42" s="758"/>
      <c r="AC42" s="758"/>
    </row>
    <row r="43" spans="1:29" ht="15.75" thickBot="1">
      <c r="A43" s="492" t="s">
        <v>2670</v>
      </c>
      <c r="B43" s="493"/>
      <c r="C43" s="1416" t="e">
        <f>R43</f>
        <v>#DIV/0!</v>
      </c>
      <c r="D43" s="1416"/>
      <c r="E43" s="1416"/>
      <c r="F43" s="1416"/>
      <c r="G43" s="1416"/>
      <c r="H43" s="1416"/>
      <c r="I43" s="1416"/>
      <c r="J43" s="1416"/>
      <c r="K43" s="784"/>
      <c r="L43" s="1142"/>
      <c r="M43" s="1143"/>
      <c r="N43" s="1143"/>
      <c r="O43" s="1143"/>
      <c r="P43" s="3211" t="str">
        <f>A43</f>
        <v>估价对象XX用房的比较价值（楼面单价，元/平方米）</v>
      </c>
      <c r="Q43" s="3212"/>
      <c r="R43" s="3213" t="e">
        <f>IF(F1="售价",ROUND(AVERAGE(R42:V42),0),ROUND(AVERAGE(R42:V42),1))</f>
        <v>#DIV/0!</v>
      </c>
      <c r="S43" s="3213"/>
      <c r="T43" s="3213"/>
      <c r="U43" s="3213"/>
      <c r="V43" s="3213"/>
      <c r="W43" s="321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2674</v>
      </c>
      <c r="B51" s="758"/>
      <c r="C51" s="763"/>
      <c r="D51" s="763"/>
      <c r="E51" s="763"/>
      <c r="F51" s="764"/>
      <c r="G51" s="764"/>
      <c r="H51" s="763"/>
      <c r="I51" s="763"/>
      <c r="J51" s="763"/>
      <c r="K51" s="1159"/>
      <c r="L51" s="1160"/>
      <c r="M51" s="1158"/>
      <c r="N51" s="1158"/>
      <c r="O51" s="1158"/>
      <c r="P51" s="503"/>
      <c r="Q51" s="504"/>
    </row>
    <row r="52" spans="1:17" s="508" customFormat="1" ht="15">
      <c r="A52" s="505" t="s">
        <v>2548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2588</v>
      </c>
      <c r="B57" s="528" t="s">
        <v>2554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2563</v>
      </c>
      <c r="B88" s="528" t="s">
        <v>2612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1607</v>
      </c>
    </row>
    <row r="6" spans="1:1" ht="18.75">
      <c r="A6" s="1948" t="s">
        <v>1608</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估价对象为北京市房地产，为所有。根据《国有土地使用证》[]，估价对象（分摊）出让国有建设用地使用权面积为0平方米，建筑面积为81.84平方米。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估价对象为北京市房地产,属开发建设的，该项目尚在开发建设中。根据《国有土地使用证》[]，估价对象（分摊）出让国有建设用地使用权面积为0平方米，规划建筑面积为81.84平方米。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2019年6月27日（评估专业人员实地查勘之日）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27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3" t="e">
        <f ca="1">SUMIF(INDIRECT("'"&amp;F2&amp;"'"&amp;"!A:A"),"承租人权益价值",INDIRECT("'"&amp;F2&amp;"'"&amp;"!c:c"))</f>
        <v>#REF!</v>
      </c>
      <c r="E2" s="2589" t="s">
        <v>2328</v>
      </c>
      <c r="F2" s="259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184" t="s">
        <v>2647</v>
      </c>
      <c r="S4" s="3185"/>
      <c r="T4" s="3184" t="s">
        <v>2648</v>
      </c>
      <c r="U4" s="3185"/>
      <c r="V4" s="3209" t="s">
        <v>2649</v>
      </c>
      <c r="W4" s="3209"/>
      <c r="X4" s="1811"/>
      <c r="Y4" s="3184" t="s">
        <v>2651</v>
      </c>
      <c r="Z4" s="3185"/>
      <c r="AA4" s="3179" t="s">
        <v>2647</v>
      </c>
      <c r="AB4" s="3180" t="s">
        <v>2648</v>
      </c>
      <c r="AC4" s="3179" t="s">
        <v>2649</v>
      </c>
    </row>
    <row r="5" spans="1:29" ht="15">
      <c r="A5" s="404"/>
      <c r="B5" s="405"/>
      <c r="C5" s="3190" t="s">
        <v>2542</v>
      </c>
      <c r="D5" s="3191"/>
      <c r="E5" s="3188" t="s">
        <v>2543</v>
      </c>
      <c r="F5" s="3189"/>
      <c r="G5" s="3190" t="s">
        <v>2544</v>
      </c>
      <c r="H5" s="3191"/>
      <c r="I5" s="3190" t="s">
        <v>2545</v>
      </c>
      <c r="J5" s="3191"/>
      <c r="K5" s="610"/>
      <c r="L5" s="1129"/>
      <c r="M5" s="1130"/>
      <c r="N5" s="1130"/>
      <c r="O5" s="1130"/>
      <c r="P5" s="3203"/>
      <c r="Q5" s="3204"/>
      <c r="R5" s="3186"/>
      <c r="S5" s="3187"/>
      <c r="T5" s="3186"/>
      <c r="U5" s="3187"/>
      <c r="V5" s="3209"/>
      <c r="W5" s="3209"/>
      <c r="X5" s="1811"/>
      <c r="Y5" s="3186"/>
      <c r="Z5" s="3187"/>
      <c r="AA5" s="3180"/>
      <c r="AB5" s="3180"/>
      <c r="AC5" s="3180"/>
    </row>
    <row r="6" spans="1:29" ht="15.75" thickBot="1">
      <c r="A6" s="406"/>
      <c r="B6" s="407"/>
      <c r="C6" s="3192" t="s">
        <v>2546</v>
      </c>
      <c r="D6" s="3193"/>
      <c r="E6" s="3194" t="s">
        <v>2546</v>
      </c>
      <c r="F6" s="3195"/>
      <c r="G6" s="3192" t="s">
        <v>2546</v>
      </c>
      <c r="H6" s="3193"/>
      <c r="I6" s="3192" t="s">
        <v>2546</v>
      </c>
      <c r="J6" s="3193"/>
      <c r="K6" s="610" t="s">
        <v>2547</v>
      </c>
      <c r="L6" s="1129"/>
      <c r="M6" s="1130"/>
      <c r="N6" s="1130"/>
      <c r="O6" s="1130"/>
      <c r="P6" s="3205"/>
      <c r="Q6" s="3206"/>
      <c r="R6" s="3186"/>
      <c r="S6" s="3187"/>
      <c r="T6" s="3207"/>
      <c r="U6" s="3208"/>
      <c r="V6" s="3209"/>
      <c r="W6" s="3209"/>
      <c r="X6" s="1811"/>
      <c r="Y6" s="3207"/>
      <c r="Z6" s="3208"/>
      <c r="AA6" s="3181"/>
      <c r="AB6" s="3181"/>
      <c r="AC6" s="3181"/>
    </row>
    <row r="7" spans="1:29" s="117" customFormat="1" ht="15.75" thickBot="1">
      <c r="A7" s="408" t="s">
        <v>2548</v>
      </c>
      <c r="B7" s="409"/>
      <c r="C7" s="410">
        <f>'数据-取费表'!B2</f>
        <v>43643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82" t="s">
        <v>2549</v>
      </c>
      <c r="Q7" s="3210"/>
      <c r="R7" s="769" t="s">
        <v>17</v>
      </c>
      <c r="S7" s="770">
        <f t="shared" ref="S7:S14" si="0">F7</f>
        <v>0</v>
      </c>
      <c r="T7" s="769" t="s">
        <v>17</v>
      </c>
      <c r="U7" s="770">
        <f t="shared" ref="U7:U14" si="1">H7</f>
        <v>0</v>
      </c>
      <c r="V7" s="769" t="s">
        <v>17</v>
      </c>
      <c r="W7" s="770">
        <f t="shared" ref="W7:W14" si="2">J7</f>
        <v>0</v>
      </c>
      <c r="X7" s="771"/>
      <c r="Y7" s="3182" t="s">
        <v>2549</v>
      </c>
      <c r="Z7" s="3183"/>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82" t="s">
        <v>2552</v>
      </c>
      <c r="Q8" s="3183"/>
      <c r="R8" s="769" t="s">
        <v>17</v>
      </c>
      <c r="S8" s="770">
        <f t="shared" si="0"/>
        <v>0</v>
      </c>
      <c r="T8" s="769" t="s">
        <v>17</v>
      </c>
      <c r="U8" s="770">
        <f t="shared" si="1"/>
        <v>0</v>
      </c>
      <c r="V8" s="769" t="s">
        <v>17</v>
      </c>
      <c r="W8" s="770">
        <f t="shared" si="2"/>
        <v>0</v>
      </c>
      <c r="X8" s="771"/>
      <c r="Y8" s="3182" t="s">
        <v>2552</v>
      </c>
      <c r="Z8" s="3183"/>
      <c r="AA8" s="772" t="e">
        <f t="shared" ref="AA8:AA36" si="3">D8/F8</f>
        <v>#DIV/0!</v>
      </c>
      <c r="AB8" s="772" t="e">
        <f t="shared" ref="AB8:AB36" si="4">D8/H8</f>
        <v>#DIV/0!</v>
      </c>
      <c r="AC8" s="772"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4" t="s">
        <v>2555</v>
      </c>
      <c r="Q9" s="1793" t="str">
        <f t="shared" ref="Q9:Q14" si="6">B9</f>
        <v>用途</v>
      </c>
      <c r="R9" s="769" t="s">
        <v>17</v>
      </c>
      <c r="S9" s="770">
        <f t="shared" si="0"/>
        <v>100</v>
      </c>
      <c r="T9" s="769" t="s">
        <v>17</v>
      </c>
      <c r="U9" s="770">
        <f t="shared" si="1"/>
        <v>100</v>
      </c>
      <c r="V9" s="769" t="s">
        <v>17</v>
      </c>
      <c r="W9" s="770">
        <f t="shared" si="2"/>
        <v>100</v>
      </c>
      <c r="X9" s="771"/>
      <c r="Y9" s="3029" t="s">
        <v>2556</v>
      </c>
      <c r="Z9" s="55" t="str">
        <f t="shared" ref="Z9:Z14" si="7">Q9</f>
        <v>用途</v>
      </c>
      <c r="AA9" s="772">
        <f t="shared" si="3"/>
        <v>1</v>
      </c>
      <c r="AB9" s="772">
        <f t="shared" si="4"/>
        <v>1</v>
      </c>
      <c r="AC9" s="772">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4"/>
      <c r="Q10" s="1793"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4"/>
      <c r="Q11" s="1793">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4"/>
      <c r="Q12" s="1793">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4"/>
      <c r="Q13" s="1793">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6" t="s">
        <v>2560</v>
      </c>
      <c r="Q14" s="1808" t="str">
        <f t="shared" si="6"/>
        <v>交通便捷度</v>
      </c>
      <c r="R14" s="773" t="s">
        <v>17</v>
      </c>
      <c r="S14" s="774">
        <f t="shared" si="0"/>
        <v>100</v>
      </c>
      <c r="T14" s="773" t="s">
        <v>17</v>
      </c>
      <c r="U14" s="774">
        <f t="shared" si="1"/>
        <v>100</v>
      </c>
      <c r="V14" s="773" t="s">
        <v>17</v>
      </c>
      <c r="W14" s="774">
        <f t="shared" si="2"/>
        <v>100</v>
      </c>
      <c r="X14" s="1811"/>
      <c r="Y14" s="3216" t="s">
        <v>2560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17"/>
      <c r="Q15" s="1808"/>
      <c r="R15" s="773"/>
      <c r="S15" s="774"/>
      <c r="T15" s="773"/>
      <c r="U15" s="774"/>
      <c r="V15" s="773"/>
      <c r="W15" s="774"/>
      <c r="X15" s="1811"/>
      <c r="Y15" s="3217"/>
      <c r="Z15" s="1812"/>
      <c r="AA15" s="1809">
        <v>1</v>
      </c>
      <c r="AB15" s="1809">
        <v>1</v>
      </c>
      <c r="AC15" s="1809">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7"/>
      <c r="Q16" s="1808" t="str">
        <f>B16</f>
        <v>公共配套设施</v>
      </c>
      <c r="R16" s="773" t="s">
        <v>17</v>
      </c>
      <c r="S16" s="774">
        <f>F16</f>
        <v>100</v>
      </c>
      <c r="T16" s="773" t="s">
        <v>17</v>
      </c>
      <c r="U16" s="774">
        <f>H16</f>
        <v>100</v>
      </c>
      <c r="V16" s="773" t="s">
        <v>17</v>
      </c>
      <c r="W16" s="774">
        <f>J16</f>
        <v>100</v>
      </c>
      <c r="X16" s="1811"/>
      <c r="Y16" s="3217"/>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39"/>
      <c r="M17" s="1130"/>
      <c r="N17" s="1130"/>
      <c r="O17" s="1130"/>
      <c r="P17" s="3217"/>
      <c r="Q17" s="1808"/>
      <c r="R17" s="773"/>
      <c r="S17" s="774"/>
      <c r="T17" s="773"/>
      <c r="U17" s="774"/>
      <c r="V17" s="773"/>
      <c r="W17" s="774"/>
      <c r="X17" s="1811"/>
      <c r="Y17" s="3217"/>
      <c r="Z17" s="1812"/>
      <c r="AA17" s="1809">
        <v>1</v>
      </c>
      <c r="AB17" s="1809">
        <v>1</v>
      </c>
      <c r="AC17" s="1809">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7"/>
      <c r="Q18" s="1808" t="str">
        <f>B18</f>
        <v>基础设施水平</v>
      </c>
      <c r="R18" s="773" t="s">
        <v>17</v>
      </c>
      <c r="S18" s="774">
        <f>F18</f>
        <v>100</v>
      </c>
      <c r="T18" s="773" t="s">
        <v>17</v>
      </c>
      <c r="U18" s="774">
        <f>H18</f>
        <v>100</v>
      </c>
      <c r="V18" s="773" t="s">
        <v>17</v>
      </c>
      <c r="W18" s="774">
        <f>J18</f>
        <v>100</v>
      </c>
      <c r="X18" s="1811"/>
      <c r="Y18" s="3217"/>
      <c r="Z18" s="1812" t="str">
        <f>Q18</f>
        <v>基础设施水平</v>
      </c>
      <c r="AA18" s="1809">
        <f t="shared" ref="AA18" si="8">D18/F18</f>
        <v>1</v>
      </c>
      <c r="AB18" s="1809">
        <f t="shared" ref="AB18" si="9">D18/H18</f>
        <v>1</v>
      </c>
      <c r="AC18" s="1809">
        <f t="shared" ref="AC18" si="10">D18/J18</f>
        <v>1</v>
      </c>
    </row>
    <row r="19" spans="1:29" ht="15">
      <c r="A19" s="404"/>
      <c r="B19" s="633"/>
      <c r="C19" s="2610"/>
      <c r="D19" s="450"/>
      <c r="E19" s="2610"/>
      <c r="F19" s="453"/>
      <c r="G19" s="2610"/>
      <c r="H19" s="448"/>
      <c r="I19" s="447"/>
      <c r="J19" s="448"/>
      <c r="K19" s="1382"/>
      <c r="L19" s="1139"/>
      <c r="M19" s="1130"/>
      <c r="N19" s="1130"/>
      <c r="O19" s="1130"/>
      <c r="P19" s="3217"/>
      <c r="Q19" s="1808"/>
      <c r="R19" s="773"/>
      <c r="S19" s="774"/>
      <c r="T19" s="773"/>
      <c r="U19" s="774"/>
      <c r="V19" s="773"/>
      <c r="W19" s="774"/>
      <c r="X19" s="1811"/>
      <c r="Y19" s="3217"/>
      <c r="Z19" s="1812"/>
      <c r="AA19" s="1809">
        <v>1</v>
      </c>
      <c r="AB19" s="1809">
        <v>1</v>
      </c>
      <c r="AC19" s="1809">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7"/>
      <c r="Q20" s="1808" t="str">
        <f>B20</f>
        <v>自然及人文环境</v>
      </c>
      <c r="R20" s="773" t="s">
        <v>17</v>
      </c>
      <c r="S20" s="774">
        <f>F20</f>
        <v>100</v>
      </c>
      <c r="T20" s="773" t="s">
        <v>17</v>
      </c>
      <c r="U20" s="774">
        <f>H20</f>
        <v>100</v>
      </c>
      <c r="V20" s="773" t="s">
        <v>17</v>
      </c>
      <c r="W20" s="774">
        <f>J20</f>
        <v>100</v>
      </c>
      <c r="X20" s="1811"/>
      <c r="Y20" s="321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17"/>
      <c r="Q21" s="1808"/>
      <c r="R21" s="773"/>
      <c r="S21" s="774"/>
      <c r="T21" s="773"/>
      <c r="U21" s="774"/>
      <c r="V21" s="773"/>
      <c r="W21" s="774"/>
      <c r="X21" s="1811"/>
      <c r="Y21" s="3217"/>
      <c r="Z21" s="1812"/>
      <c r="AA21" s="1809">
        <v>1</v>
      </c>
      <c r="AB21" s="1809">
        <v>1</v>
      </c>
      <c r="AC21" s="1809">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7"/>
      <c r="Q22" s="1808" t="str">
        <f>B22</f>
        <v>楼层</v>
      </c>
      <c r="R22" s="773" t="s">
        <v>17</v>
      </c>
      <c r="S22" s="774">
        <f>F22</f>
        <v>100</v>
      </c>
      <c r="T22" s="773" t="s">
        <v>17</v>
      </c>
      <c r="U22" s="774">
        <f>H22</f>
        <v>100</v>
      </c>
      <c r="V22" s="773" t="s">
        <v>17</v>
      </c>
      <c r="W22" s="774">
        <f>J22</f>
        <v>100</v>
      </c>
      <c r="X22" s="1811"/>
      <c r="Y22" s="321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7"/>
      <c r="Q23" s="1808">
        <f>B23</f>
        <v>111</v>
      </c>
      <c r="R23" s="773" t="s">
        <v>17</v>
      </c>
      <c r="S23" s="774">
        <f>F23</f>
        <v>100</v>
      </c>
      <c r="T23" s="773" t="s">
        <v>17</v>
      </c>
      <c r="U23" s="774">
        <f>H23</f>
        <v>100</v>
      </c>
      <c r="V23" s="773" t="s">
        <v>17</v>
      </c>
      <c r="W23" s="774">
        <f>J23</f>
        <v>100</v>
      </c>
      <c r="X23" s="1811"/>
      <c r="Y23" s="321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7"/>
      <c r="Q24" s="1808">
        <f t="shared" ref="Q24:Q36" si="11">B24</f>
        <v>111</v>
      </c>
      <c r="R24" s="773" t="s">
        <v>17</v>
      </c>
      <c r="S24" s="774">
        <f>F24</f>
        <v>100</v>
      </c>
      <c r="T24" s="773" t="s">
        <v>17</v>
      </c>
      <c r="U24" s="774">
        <f>H24</f>
        <v>100</v>
      </c>
      <c r="V24" s="773" t="s">
        <v>17</v>
      </c>
      <c r="W24" s="774">
        <f>J24</f>
        <v>100</v>
      </c>
      <c r="X24" s="1811"/>
      <c r="Y24" s="321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7"/>
      <c r="Q25" s="1793">
        <f t="shared" si="11"/>
        <v>111</v>
      </c>
      <c r="R25" s="769" t="s">
        <v>17</v>
      </c>
      <c r="S25" s="770">
        <f>F25</f>
        <v>100</v>
      </c>
      <c r="T25" s="769" t="s">
        <v>17</v>
      </c>
      <c r="U25" s="770">
        <f>H25</f>
        <v>100</v>
      </c>
      <c r="V25" s="769" t="s">
        <v>17</v>
      </c>
      <c r="W25" s="770">
        <f>J25</f>
        <v>100</v>
      </c>
      <c r="X25" s="771"/>
      <c r="Y25" s="3217"/>
      <c r="Z25" s="55">
        <f>Q25</f>
        <v>111</v>
      </c>
      <c r="AA25" s="1809">
        <f>D25/F25</f>
        <v>1</v>
      </c>
      <c r="AB25" s="1809">
        <f>D25/H25</f>
        <v>1</v>
      </c>
      <c r="AC25" s="1809">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0" t="s">
        <v>2565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1" t="s">
        <v>2565</v>
      </c>
      <c r="Z26" s="1812" t="str">
        <f t="shared" ref="Z26:Z36" si="15">Q26</f>
        <v>配套类型</v>
      </c>
      <c r="AA26" s="1809">
        <f t="shared" si="3"/>
        <v>1</v>
      </c>
      <c r="AB26" s="1809">
        <f t="shared" si="4"/>
        <v>1</v>
      </c>
      <c r="AC26" s="1809">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1"/>
      <c r="Q27" s="775" t="str">
        <f t="shared" si="11"/>
        <v>项目停车位配比</v>
      </c>
      <c r="R27" s="776" t="s">
        <v>17</v>
      </c>
      <c r="S27" s="777">
        <f t="shared" si="12"/>
        <v>100</v>
      </c>
      <c r="T27" s="776" t="s">
        <v>17</v>
      </c>
      <c r="U27" s="777">
        <f t="shared" si="13"/>
        <v>100</v>
      </c>
      <c r="V27" s="776" t="s">
        <v>17</v>
      </c>
      <c r="W27" s="777">
        <f t="shared" si="14"/>
        <v>100</v>
      </c>
      <c r="X27" s="778"/>
      <c r="Y27" s="3221"/>
      <c r="Z27" s="779" t="str">
        <f t="shared" si="15"/>
        <v>项目停车位配比</v>
      </c>
      <c r="AA27" s="1809">
        <f t="shared" si="3"/>
        <v>1</v>
      </c>
      <c r="AB27" s="1809">
        <f t="shared" si="4"/>
        <v>1</v>
      </c>
      <c r="AC27" s="1809">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1"/>
      <c r="Q28" s="1808" t="str">
        <f t="shared" si="11"/>
        <v>公共部分装修</v>
      </c>
      <c r="R28" s="773" t="s">
        <v>17</v>
      </c>
      <c r="S28" s="774">
        <f t="shared" si="12"/>
        <v>100</v>
      </c>
      <c r="T28" s="773" t="s">
        <v>17</v>
      </c>
      <c r="U28" s="774">
        <f t="shared" si="13"/>
        <v>100</v>
      </c>
      <c r="V28" s="773" t="s">
        <v>17</v>
      </c>
      <c r="W28" s="774">
        <f t="shared" si="14"/>
        <v>100</v>
      </c>
      <c r="X28" s="1811"/>
      <c r="Y28" s="3221"/>
      <c r="Z28" s="1812" t="str">
        <f t="shared" si="15"/>
        <v>公共部分装修</v>
      </c>
      <c r="AA28" s="1809">
        <f t="shared" si="3"/>
        <v>1</v>
      </c>
      <c r="AB28" s="1809">
        <f t="shared" si="4"/>
        <v>1</v>
      </c>
      <c r="AC28" s="1809">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1"/>
      <c r="Q29" s="1808" t="str">
        <f t="shared" si="11"/>
        <v>成新率</v>
      </c>
      <c r="R29" s="773" t="s">
        <v>17</v>
      </c>
      <c r="S29" s="774" t="e">
        <f t="shared" si="12"/>
        <v>#N/A</v>
      </c>
      <c r="T29" s="773" t="s">
        <v>17</v>
      </c>
      <c r="U29" s="774" t="e">
        <f t="shared" si="13"/>
        <v>#N/A</v>
      </c>
      <c r="V29" s="773" t="s">
        <v>17</v>
      </c>
      <c r="W29" s="774" t="e">
        <f t="shared" si="14"/>
        <v>#N/A</v>
      </c>
      <c r="X29" s="1811"/>
      <c r="Y29" s="3221"/>
      <c r="Z29" s="1812" t="str">
        <f t="shared" si="15"/>
        <v>成新率</v>
      </c>
      <c r="AA29" s="1809" t="e">
        <f t="shared" si="3"/>
        <v>#N/A</v>
      </c>
      <c r="AB29" s="1809" t="e">
        <f t="shared" si="4"/>
        <v>#N/A</v>
      </c>
      <c r="AC29" s="1809"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1"/>
      <c r="Q30" s="1808" t="str">
        <f t="shared" si="11"/>
        <v>物业等级</v>
      </c>
      <c r="R30" s="773" t="s">
        <v>17</v>
      </c>
      <c r="S30" s="774">
        <f t="shared" si="12"/>
        <v>100</v>
      </c>
      <c r="T30" s="773" t="s">
        <v>17</v>
      </c>
      <c r="U30" s="774">
        <f t="shared" si="13"/>
        <v>100</v>
      </c>
      <c r="V30" s="773" t="s">
        <v>17</v>
      </c>
      <c r="W30" s="774">
        <f t="shared" si="14"/>
        <v>100</v>
      </c>
      <c r="X30" s="1811"/>
      <c r="Y30" s="3221"/>
      <c r="Z30" s="1812" t="str">
        <f t="shared" si="15"/>
        <v>物业等级</v>
      </c>
      <c r="AA30" s="1809">
        <f t="shared" si="3"/>
        <v>1</v>
      </c>
      <c r="AB30" s="1809">
        <f t="shared" si="4"/>
        <v>1</v>
      </c>
      <c r="AC30" s="1809">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1"/>
      <c r="Q31" s="1793" t="str">
        <f t="shared" si="11"/>
        <v>停车位面积</v>
      </c>
      <c r="R31" s="769" t="s">
        <v>17</v>
      </c>
      <c r="S31" s="770" t="e">
        <f t="shared" si="12"/>
        <v>#N/A</v>
      </c>
      <c r="T31" s="769" t="s">
        <v>17</v>
      </c>
      <c r="U31" s="770" t="e">
        <f t="shared" si="13"/>
        <v>#N/A</v>
      </c>
      <c r="V31" s="769" t="s">
        <v>17</v>
      </c>
      <c r="W31" s="770" t="e">
        <f t="shared" si="14"/>
        <v>#N/A</v>
      </c>
      <c r="X31" s="771"/>
      <c r="Y31" s="3221"/>
      <c r="Z31" s="55" t="str">
        <f t="shared" si="15"/>
        <v>停车位面积</v>
      </c>
      <c r="AA31" s="772" t="e">
        <f t="shared" si="3"/>
        <v>#N/A</v>
      </c>
      <c r="AB31" s="772" t="e">
        <f t="shared" si="4"/>
        <v>#N/A</v>
      </c>
      <c r="AC31" s="772"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1" t="s">
        <v>2565</v>
      </c>
      <c r="Q32" s="1808" t="str">
        <f t="shared" si="11"/>
        <v>车位类型</v>
      </c>
      <c r="R32" s="773" t="s">
        <v>17</v>
      </c>
      <c r="S32" s="774">
        <f t="shared" si="12"/>
        <v>100</v>
      </c>
      <c r="T32" s="773" t="s">
        <v>17</v>
      </c>
      <c r="U32" s="774">
        <f t="shared" si="13"/>
        <v>100</v>
      </c>
      <c r="V32" s="773" t="s">
        <v>17</v>
      </c>
      <c r="W32" s="774">
        <f t="shared" si="14"/>
        <v>100</v>
      </c>
      <c r="X32" s="1811"/>
      <c r="Y32" s="3221" t="s">
        <v>2565</v>
      </c>
      <c r="Z32" s="1812" t="str">
        <f t="shared" si="15"/>
        <v>车位类型</v>
      </c>
      <c r="AA32" s="1809">
        <f t="shared" si="3"/>
        <v>1</v>
      </c>
      <c r="AB32" s="1809">
        <f t="shared" si="4"/>
        <v>1</v>
      </c>
      <c r="AC32" s="1809">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1"/>
      <c r="Q33" s="1808" t="str">
        <f t="shared" si="11"/>
        <v>是否直接入户</v>
      </c>
      <c r="R33" s="773" t="s">
        <v>17</v>
      </c>
      <c r="S33" s="774">
        <f t="shared" si="12"/>
        <v>100</v>
      </c>
      <c r="T33" s="773" t="s">
        <v>17</v>
      </c>
      <c r="U33" s="774">
        <f t="shared" si="13"/>
        <v>100</v>
      </c>
      <c r="V33" s="773" t="s">
        <v>17</v>
      </c>
      <c r="W33" s="774">
        <f t="shared" si="14"/>
        <v>100</v>
      </c>
      <c r="X33" s="1811"/>
      <c r="Y33" s="322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1"/>
      <c r="Q34" s="1808">
        <f t="shared" si="11"/>
        <v>111</v>
      </c>
      <c r="R34" s="773" t="s">
        <v>17</v>
      </c>
      <c r="S34" s="774">
        <f t="shared" si="12"/>
        <v>100</v>
      </c>
      <c r="T34" s="773" t="s">
        <v>17</v>
      </c>
      <c r="U34" s="774">
        <f t="shared" si="13"/>
        <v>100</v>
      </c>
      <c r="V34" s="773" t="s">
        <v>17</v>
      </c>
      <c r="W34" s="774">
        <f t="shared" si="14"/>
        <v>100</v>
      </c>
      <c r="X34" s="1811"/>
      <c r="Y34" s="322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1"/>
      <c r="Q35" s="775">
        <f t="shared" si="11"/>
        <v>111</v>
      </c>
      <c r="R35" s="776" t="s">
        <v>17</v>
      </c>
      <c r="S35" s="777">
        <f t="shared" si="12"/>
        <v>100</v>
      </c>
      <c r="T35" s="776" t="s">
        <v>17</v>
      </c>
      <c r="U35" s="777">
        <f t="shared" si="13"/>
        <v>100</v>
      </c>
      <c r="V35" s="776" t="s">
        <v>17</v>
      </c>
      <c r="W35" s="777">
        <f t="shared" si="14"/>
        <v>100</v>
      </c>
      <c r="X35" s="778"/>
      <c r="Y35" s="3221"/>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1"/>
      <c r="Q36" s="1808">
        <f t="shared" si="11"/>
        <v>111</v>
      </c>
      <c r="R36" s="773" t="s">
        <v>17</v>
      </c>
      <c r="S36" s="774">
        <f t="shared" si="12"/>
        <v>100</v>
      </c>
      <c r="T36" s="773" t="s">
        <v>17</v>
      </c>
      <c r="U36" s="774">
        <f t="shared" si="13"/>
        <v>100</v>
      </c>
      <c r="V36" s="773" t="s">
        <v>17</v>
      </c>
      <c r="W36" s="774">
        <f t="shared" si="14"/>
        <v>100</v>
      </c>
      <c r="X36" s="1811"/>
      <c r="Y36" s="3221"/>
      <c r="Z36" s="1812">
        <f t="shared" si="15"/>
        <v>111</v>
      </c>
      <c r="AA36" s="1809">
        <f t="shared" si="3"/>
        <v>1</v>
      </c>
      <c r="AB36" s="1809">
        <f t="shared" si="4"/>
        <v>1</v>
      </c>
      <c r="AC36" s="1809">
        <f t="shared" si="5"/>
        <v>1</v>
      </c>
    </row>
    <row r="37" spans="1:29" ht="15">
      <c r="A37" s="479" t="s">
        <v>2720</v>
      </c>
      <c r="B37" s="2697" t="s">
        <v>2721</v>
      </c>
      <c r="C37" s="1406" t="s">
        <v>1</v>
      </c>
      <c r="D37" s="1407"/>
      <c r="E37" s="1408"/>
      <c r="F37" s="1409"/>
      <c r="G37" s="1410"/>
      <c r="H37" s="1411"/>
      <c r="I37" s="1408"/>
      <c r="J37" s="1411"/>
      <c r="K37" s="619"/>
      <c r="L37" s="1142"/>
      <c r="M37" s="1143"/>
      <c r="N37" s="1130"/>
      <c r="O37" s="1143"/>
      <c r="P37" s="3214" t="str">
        <f>A37</f>
        <v>成交单价</v>
      </c>
      <c r="Q37" s="3214"/>
      <c r="R37" s="3215">
        <f>E37</f>
        <v>0</v>
      </c>
      <c r="S37" s="3215"/>
      <c r="T37" s="3215">
        <f>G37</f>
        <v>0</v>
      </c>
      <c r="U37" s="3215"/>
      <c r="V37" s="3215">
        <f>I37</f>
        <v>0</v>
      </c>
      <c r="W37" s="3215"/>
      <c r="X37" s="758"/>
      <c r="Y37" s="780"/>
      <c r="Z37" s="758"/>
      <c r="AA37" s="758"/>
      <c r="AB37" s="758"/>
      <c r="AC37" s="758"/>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8"/>
      <c r="Y38" s="758"/>
      <c r="Z38" s="758"/>
      <c r="AA38" s="758"/>
      <c r="AB38" s="758"/>
      <c r="AC38" s="758"/>
    </row>
    <row r="39" spans="1:29" ht="15.75" thickBot="1">
      <c r="A39" s="492" t="s">
        <v>2723</v>
      </c>
      <c r="B39" s="493"/>
      <c r="C39" s="1416" t="e">
        <f>R39</f>
        <v>#DIV/0!</v>
      </c>
      <c r="D39" s="1416"/>
      <c r="E39" s="1416"/>
      <c r="F39" s="1416"/>
      <c r="G39" s="1416"/>
      <c r="H39" s="1416"/>
      <c r="I39" s="1416"/>
      <c r="J39" s="1416"/>
      <c r="K39" s="621"/>
      <c r="L39" s="1142"/>
      <c r="M39" s="1143"/>
      <c r="N39" s="1143"/>
      <c r="O39" s="1143"/>
      <c r="P39" s="3211" t="str">
        <f>A39</f>
        <v>估价对象XX用房的比较价值（楼面单价，元/平方米）</v>
      </c>
      <c r="Q39" s="3212"/>
      <c r="R39" s="3213" t="e">
        <f>IF(F1="售价",ROUND(AVERAGE(R38:V38),0),ROUND(AVERAGE(R38:V38),1))</f>
        <v>#DIV/0!</v>
      </c>
      <c r="S39" s="3213"/>
      <c r="T39" s="3213"/>
      <c r="U39" s="3213"/>
      <c r="V39" s="3213"/>
      <c r="W39" s="321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2728</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2603</v>
      </c>
      <c r="C65" s="578" t="s">
        <v>2597</v>
      </c>
      <c r="D65" s="578" t="s">
        <v>2598</v>
      </c>
      <c r="E65" s="578" t="s">
        <v>2599</v>
      </c>
      <c r="F65" s="578" t="s">
        <v>2600</v>
      </c>
      <c r="G65" s="578" t="s">
        <v>2601</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2689</v>
      </c>
      <c r="C67" s="660" t="s">
        <v>2675</v>
      </c>
      <c r="D67" s="660" t="s">
        <v>2676</v>
      </c>
      <c r="E67" s="660" t="s">
        <v>2677</v>
      </c>
      <c r="F67" s="660" t="s">
        <v>2678</v>
      </c>
      <c r="G67" s="660" t="s">
        <v>2679</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2609</v>
      </c>
      <c r="C69" s="578" t="s">
        <v>2597</v>
      </c>
      <c r="D69" s="578" t="s">
        <v>2598</v>
      </c>
      <c r="E69" s="578" t="s">
        <v>2599</v>
      </c>
      <c r="F69" s="578" t="s">
        <v>2600</v>
      </c>
      <c r="G69" s="578" t="s">
        <v>2601</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2729</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2731</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2733</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2736</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3" t="e">
        <f ca="1">SUMIF(INDIRECT("'"&amp;F2&amp;"'"&amp;"!A:A"),"承租人权益价值",INDIRECT("'"&amp;F2&amp;"'"&amp;"!c:c"))</f>
        <v>#REF!</v>
      </c>
      <c r="E2" s="2589" t="s">
        <v>2328</v>
      </c>
      <c r="F2" s="259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184" t="s">
        <v>2647</v>
      </c>
      <c r="S4" s="3185"/>
      <c r="T4" s="3184" t="s">
        <v>2648</v>
      </c>
      <c r="U4" s="3185"/>
      <c r="V4" s="3209" t="s">
        <v>2649</v>
      </c>
      <c r="W4" s="3209"/>
      <c r="X4" s="1811"/>
      <c r="Y4" s="3184" t="s">
        <v>2651</v>
      </c>
      <c r="Z4" s="3185"/>
      <c r="AA4" s="3179" t="s">
        <v>2647</v>
      </c>
      <c r="AB4" s="3180" t="s">
        <v>2648</v>
      </c>
      <c r="AC4" s="3179" t="s">
        <v>2649</v>
      </c>
    </row>
    <row r="5" spans="1:29" ht="15">
      <c r="A5" s="404"/>
      <c r="B5" s="405"/>
      <c r="C5" s="3190" t="s">
        <v>2542</v>
      </c>
      <c r="D5" s="3191"/>
      <c r="E5" s="3188" t="s">
        <v>2543</v>
      </c>
      <c r="F5" s="3189"/>
      <c r="G5" s="3190" t="s">
        <v>2544</v>
      </c>
      <c r="H5" s="3191"/>
      <c r="I5" s="3190" t="s">
        <v>2545</v>
      </c>
      <c r="J5" s="3191"/>
      <c r="K5" s="610"/>
      <c r="L5" s="1129"/>
      <c r="M5" s="1130"/>
      <c r="N5" s="1130"/>
      <c r="O5" s="1130"/>
      <c r="P5" s="3203"/>
      <c r="Q5" s="3204"/>
      <c r="R5" s="3186"/>
      <c r="S5" s="3187"/>
      <c r="T5" s="3186"/>
      <c r="U5" s="3187"/>
      <c r="V5" s="3209"/>
      <c r="W5" s="3209"/>
      <c r="X5" s="1811"/>
      <c r="Y5" s="3186"/>
      <c r="Z5" s="3187"/>
      <c r="AA5" s="3180"/>
      <c r="AB5" s="3180"/>
      <c r="AC5" s="3180"/>
    </row>
    <row r="6" spans="1:29" ht="15.75" thickBot="1">
      <c r="A6" s="406"/>
      <c r="B6" s="407"/>
      <c r="C6" s="3192" t="s">
        <v>2546</v>
      </c>
      <c r="D6" s="3193"/>
      <c r="E6" s="3194" t="s">
        <v>2546</v>
      </c>
      <c r="F6" s="3195"/>
      <c r="G6" s="3192" t="s">
        <v>2546</v>
      </c>
      <c r="H6" s="3193"/>
      <c r="I6" s="3192" t="s">
        <v>2546</v>
      </c>
      <c r="J6" s="3193"/>
      <c r="K6" s="610" t="s">
        <v>2547</v>
      </c>
      <c r="L6" s="1129"/>
      <c r="M6" s="1130"/>
      <c r="N6" s="1130"/>
      <c r="O6" s="1130"/>
      <c r="P6" s="3205"/>
      <c r="Q6" s="3206"/>
      <c r="R6" s="3186"/>
      <c r="S6" s="3187"/>
      <c r="T6" s="3207"/>
      <c r="U6" s="3208"/>
      <c r="V6" s="3209"/>
      <c r="W6" s="3209"/>
      <c r="X6" s="1811"/>
      <c r="Y6" s="3207"/>
      <c r="Z6" s="3208"/>
      <c r="AA6" s="3181"/>
      <c r="AB6" s="3181"/>
      <c r="AC6" s="3181"/>
    </row>
    <row r="7" spans="1:29" s="117" customFormat="1" ht="15.75" thickBot="1">
      <c r="A7" s="408" t="s">
        <v>2548</v>
      </c>
      <c r="B7" s="409"/>
      <c r="C7" s="410">
        <f>'数据-取费表'!B2</f>
        <v>43643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182" t="s">
        <v>2549</v>
      </c>
      <c r="Q7" s="3210"/>
      <c r="R7" s="769" t="s">
        <v>17</v>
      </c>
      <c r="S7" s="770">
        <f t="shared" ref="S7:S14" si="0">F7</f>
        <v>0</v>
      </c>
      <c r="T7" s="769" t="s">
        <v>17</v>
      </c>
      <c r="U7" s="770">
        <f t="shared" ref="U7:U14" si="1">H7</f>
        <v>0</v>
      </c>
      <c r="V7" s="769" t="s">
        <v>17</v>
      </c>
      <c r="W7" s="770">
        <f t="shared" ref="W7:W14" si="2">J7</f>
        <v>0</v>
      </c>
      <c r="X7" s="771"/>
      <c r="Y7" s="3182" t="s">
        <v>2549</v>
      </c>
      <c r="Z7" s="3183"/>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82" t="s">
        <v>2552</v>
      </c>
      <c r="Q8" s="3183"/>
      <c r="R8" s="769" t="s">
        <v>17</v>
      </c>
      <c r="S8" s="770">
        <f t="shared" si="0"/>
        <v>0</v>
      </c>
      <c r="T8" s="769" t="s">
        <v>17</v>
      </c>
      <c r="U8" s="770">
        <f t="shared" si="1"/>
        <v>0</v>
      </c>
      <c r="V8" s="769" t="s">
        <v>17</v>
      </c>
      <c r="W8" s="770">
        <f t="shared" si="2"/>
        <v>0</v>
      </c>
      <c r="X8" s="771"/>
      <c r="Y8" s="3182" t="s">
        <v>2552</v>
      </c>
      <c r="Z8" s="3183"/>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4" t="s">
        <v>2555</v>
      </c>
      <c r="Q9" s="1793" t="str">
        <f t="shared" ref="Q9:Q14" si="6">B9</f>
        <v>用途</v>
      </c>
      <c r="R9" s="769" t="s">
        <v>17</v>
      </c>
      <c r="S9" s="770">
        <f t="shared" si="0"/>
        <v>100</v>
      </c>
      <c r="T9" s="769" t="s">
        <v>17</v>
      </c>
      <c r="U9" s="770">
        <f t="shared" si="1"/>
        <v>100</v>
      </c>
      <c r="V9" s="769" t="s">
        <v>17</v>
      </c>
      <c r="W9" s="770">
        <f t="shared" si="2"/>
        <v>100</v>
      </c>
      <c r="X9" s="771"/>
      <c r="Y9" s="3029" t="s">
        <v>2556</v>
      </c>
      <c r="Z9" s="55" t="str">
        <f t="shared" ref="Z9:Z14" si="7">Q9</f>
        <v>用途</v>
      </c>
      <c r="AA9" s="772">
        <f t="shared" si="3"/>
        <v>1</v>
      </c>
      <c r="AB9" s="772">
        <f t="shared" si="4"/>
        <v>1</v>
      </c>
      <c r="AC9" s="772">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4"/>
      <c r="Q10" s="1793"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4"/>
      <c r="Q11" s="1793">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4"/>
      <c r="Q12" s="1793">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14"/>
      <c r="Q13" s="1793">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6" t="s">
        <v>2560</v>
      </c>
      <c r="Q14" s="1808" t="str">
        <f t="shared" si="6"/>
        <v>交通便捷度</v>
      </c>
      <c r="R14" s="773" t="s">
        <v>17</v>
      </c>
      <c r="S14" s="774">
        <f t="shared" si="0"/>
        <v>100</v>
      </c>
      <c r="T14" s="773" t="s">
        <v>17</v>
      </c>
      <c r="U14" s="774">
        <f t="shared" si="1"/>
        <v>100</v>
      </c>
      <c r="V14" s="773" t="s">
        <v>17</v>
      </c>
      <c r="W14" s="774">
        <f t="shared" si="2"/>
        <v>100</v>
      </c>
      <c r="X14" s="1811"/>
      <c r="Y14" s="3216" t="s">
        <v>2560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17"/>
      <c r="Q15" s="1808"/>
      <c r="R15" s="773"/>
      <c r="S15" s="774"/>
      <c r="T15" s="773"/>
      <c r="U15" s="774"/>
      <c r="V15" s="773"/>
      <c r="W15" s="774"/>
      <c r="X15" s="1811"/>
      <c r="Y15" s="3217"/>
      <c r="Z15" s="1812"/>
      <c r="AA15" s="1809">
        <v>1</v>
      </c>
      <c r="AB15" s="1809">
        <v>1</v>
      </c>
      <c r="AC15" s="1809">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7"/>
      <c r="Q16" s="1808" t="str">
        <f>B16</f>
        <v>公共配套设施</v>
      </c>
      <c r="R16" s="773" t="s">
        <v>17</v>
      </c>
      <c r="S16" s="774">
        <f>F16</f>
        <v>100</v>
      </c>
      <c r="T16" s="773" t="s">
        <v>17</v>
      </c>
      <c r="U16" s="774">
        <f>H16</f>
        <v>100</v>
      </c>
      <c r="V16" s="773" t="s">
        <v>17</v>
      </c>
      <c r="W16" s="774">
        <f>J16</f>
        <v>100</v>
      </c>
      <c r="X16" s="1811"/>
      <c r="Y16" s="3217"/>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39"/>
      <c r="M17" s="1130"/>
      <c r="N17" s="1130"/>
      <c r="O17" s="1138"/>
      <c r="P17" s="3217"/>
      <c r="Q17" s="1808"/>
      <c r="R17" s="773"/>
      <c r="S17" s="774"/>
      <c r="T17" s="773"/>
      <c r="U17" s="774"/>
      <c r="V17" s="773"/>
      <c r="W17" s="774"/>
      <c r="X17" s="1811"/>
      <c r="Y17" s="3217"/>
      <c r="Z17" s="1812"/>
      <c r="AA17" s="1809">
        <v>1</v>
      </c>
      <c r="AB17" s="1809">
        <v>1</v>
      </c>
      <c r="AC17" s="1809">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7"/>
      <c r="Q18" s="1808" t="str">
        <f>B18</f>
        <v>基础设施水平</v>
      </c>
      <c r="R18" s="773" t="s">
        <v>17</v>
      </c>
      <c r="S18" s="774">
        <f>F18</f>
        <v>100</v>
      </c>
      <c r="T18" s="773" t="s">
        <v>17</v>
      </c>
      <c r="U18" s="774">
        <f>H18</f>
        <v>100</v>
      </c>
      <c r="V18" s="773" t="s">
        <v>17</v>
      </c>
      <c r="W18" s="774">
        <f>J18</f>
        <v>100</v>
      </c>
      <c r="X18" s="1811"/>
      <c r="Y18" s="3217"/>
      <c r="Z18" s="1812" t="str">
        <f>Q18</f>
        <v>基础设施水平</v>
      </c>
      <c r="AA18" s="1809">
        <f t="shared" ref="AA18" si="8">D18/F18</f>
        <v>1</v>
      </c>
      <c r="AB18" s="1809">
        <f t="shared" ref="AB18" si="9">D18/H18</f>
        <v>1</v>
      </c>
      <c r="AC18" s="1809">
        <f t="shared" ref="AC18" si="10">D18/J18</f>
        <v>1</v>
      </c>
    </row>
    <row r="19" spans="1:29" ht="15">
      <c r="A19" s="428"/>
      <c r="B19" s="1383"/>
      <c r="C19" s="2610"/>
      <c r="D19" s="450"/>
      <c r="E19" s="2610"/>
      <c r="F19" s="453"/>
      <c r="G19" s="2610"/>
      <c r="H19" s="448"/>
      <c r="I19" s="447"/>
      <c r="J19" s="448"/>
      <c r="K19" s="1382"/>
      <c r="L19" s="1139"/>
      <c r="M19" s="1130"/>
      <c r="N19" s="1130"/>
      <c r="O19" s="1138"/>
      <c r="P19" s="3217"/>
      <c r="Q19" s="1808"/>
      <c r="R19" s="773"/>
      <c r="S19" s="774"/>
      <c r="T19" s="773"/>
      <c r="U19" s="774"/>
      <c r="V19" s="773"/>
      <c r="W19" s="774"/>
      <c r="X19" s="1811"/>
      <c r="Y19" s="3217"/>
      <c r="Z19" s="1812"/>
      <c r="AA19" s="1809">
        <v>1</v>
      </c>
      <c r="AB19" s="1809">
        <v>1</v>
      </c>
      <c r="AC19" s="1809">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7"/>
      <c r="Q20" s="1808" t="str">
        <f>B20</f>
        <v>自然及人文环境</v>
      </c>
      <c r="R20" s="773" t="s">
        <v>17</v>
      </c>
      <c r="S20" s="774">
        <f>F20</f>
        <v>100</v>
      </c>
      <c r="T20" s="773" t="s">
        <v>17</v>
      </c>
      <c r="U20" s="774">
        <f>H20</f>
        <v>100</v>
      </c>
      <c r="V20" s="773" t="s">
        <v>17</v>
      </c>
      <c r="W20" s="774">
        <f>J20</f>
        <v>100</v>
      </c>
      <c r="X20" s="1811"/>
      <c r="Y20" s="321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17"/>
      <c r="Q21" s="1808"/>
      <c r="R21" s="773"/>
      <c r="S21" s="774"/>
      <c r="T21" s="773"/>
      <c r="U21" s="774"/>
      <c r="V21" s="773"/>
      <c r="W21" s="774"/>
      <c r="X21" s="1811"/>
      <c r="Y21" s="3217"/>
      <c r="Z21" s="1812"/>
      <c r="AA21" s="1809">
        <v>1</v>
      </c>
      <c r="AB21" s="1809">
        <v>1</v>
      </c>
      <c r="AC21" s="1809">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7"/>
      <c r="Q22" s="1808" t="str">
        <f>B22</f>
        <v>楼层</v>
      </c>
      <c r="R22" s="773" t="s">
        <v>17</v>
      </c>
      <c r="S22" s="774">
        <f>F22</f>
        <v>100</v>
      </c>
      <c r="T22" s="773" t="s">
        <v>17</v>
      </c>
      <c r="U22" s="774">
        <f>H22</f>
        <v>100</v>
      </c>
      <c r="V22" s="773" t="s">
        <v>17</v>
      </c>
      <c r="W22" s="774">
        <f>J22</f>
        <v>100</v>
      </c>
      <c r="X22" s="1811"/>
      <c r="Y22" s="3217"/>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7"/>
      <c r="Q23" s="1808">
        <f>B23</f>
        <v>111</v>
      </c>
      <c r="R23" s="773" t="s">
        <v>17</v>
      </c>
      <c r="S23" s="774">
        <f>F23</f>
        <v>100</v>
      </c>
      <c r="T23" s="773" t="s">
        <v>17</v>
      </c>
      <c r="U23" s="774">
        <f>H23</f>
        <v>100</v>
      </c>
      <c r="V23" s="773" t="s">
        <v>17</v>
      </c>
      <c r="W23" s="774">
        <f>J23</f>
        <v>100</v>
      </c>
      <c r="X23" s="1811"/>
      <c r="Y23" s="3217"/>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7"/>
      <c r="Q24" s="1808">
        <f t="shared" ref="Q24:Q34" si="11">B24</f>
        <v>111</v>
      </c>
      <c r="R24" s="773" t="s">
        <v>17</v>
      </c>
      <c r="S24" s="774">
        <f>F24</f>
        <v>100</v>
      </c>
      <c r="T24" s="773" t="s">
        <v>17</v>
      </c>
      <c r="U24" s="774">
        <f>H24</f>
        <v>100</v>
      </c>
      <c r="V24" s="773" t="s">
        <v>17</v>
      </c>
      <c r="W24" s="774">
        <f>J24</f>
        <v>100</v>
      </c>
      <c r="X24" s="1811"/>
      <c r="Y24" s="3217"/>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17"/>
      <c r="Q25" s="1793">
        <f t="shared" si="11"/>
        <v>111</v>
      </c>
      <c r="R25" s="769" t="s">
        <v>17</v>
      </c>
      <c r="S25" s="770">
        <f>F25</f>
        <v>100</v>
      </c>
      <c r="T25" s="769" t="s">
        <v>17</v>
      </c>
      <c r="U25" s="770">
        <f>H25</f>
        <v>100</v>
      </c>
      <c r="V25" s="769" t="s">
        <v>17</v>
      </c>
      <c r="W25" s="770">
        <f>J25</f>
        <v>100</v>
      </c>
      <c r="X25" s="771"/>
      <c r="Y25" s="3217"/>
      <c r="Z25" s="55">
        <f>Q25</f>
        <v>111</v>
      </c>
      <c r="AA25" s="1809">
        <f>D25/F25</f>
        <v>1</v>
      </c>
      <c r="AB25" s="1809">
        <f>D25/H25</f>
        <v>1</v>
      </c>
      <c r="AC25" s="1809">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40" t="s">
        <v>2565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1" t="s">
        <v>2565</v>
      </c>
      <c r="Z26" s="1812" t="str">
        <f t="shared" ref="Z26:Z34" si="15">Q26</f>
        <v>公共部分装修</v>
      </c>
      <c r="AA26" s="1809">
        <f t="shared" si="3"/>
        <v>1</v>
      </c>
      <c r="AB26" s="1809">
        <f t="shared" si="4"/>
        <v>1</v>
      </c>
      <c r="AC26" s="1809">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1"/>
      <c r="Q27" s="775" t="str">
        <f t="shared" si="11"/>
        <v>成新率</v>
      </c>
      <c r="R27" s="776" t="s">
        <v>17</v>
      </c>
      <c r="S27" s="777" t="e">
        <f t="shared" si="12"/>
        <v>#N/A</v>
      </c>
      <c r="T27" s="776" t="s">
        <v>17</v>
      </c>
      <c r="U27" s="777" t="e">
        <f t="shared" si="13"/>
        <v>#N/A</v>
      </c>
      <c r="V27" s="776" t="s">
        <v>17</v>
      </c>
      <c r="W27" s="777" t="e">
        <f t="shared" si="14"/>
        <v>#N/A</v>
      </c>
      <c r="X27" s="778"/>
      <c r="Y27" s="3221"/>
      <c r="Z27" s="779" t="str">
        <f t="shared" si="15"/>
        <v>成新率</v>
      </c>
      <c r="AA27" s="1809" t="e">
        <f t="shared" si="3"/>
        <v>#N/A</v>
      </c>
      <c r="AB27" s="1809" t="e">
        <f t="shared" si="4"/>
        <v>#N/A</v>
      </c>
      <c r="AC27" s="1809"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1"/>
      <c r="Q28" s="1808" t="str">
        <f t="shared" si="11"/>
        <v>物业等级</v>
      </c>
      <c r="R28" s="773" t="s">
        <v>17</v>
      </c>
      <c r="S28" s="774">
        <f t="shared" si="12"/>
        <v>100</v>
      </c>
      <c r="T28" s="773" t="s">
        <v>17</v>
      </c>
      <c r="U28" s="774">
        <f t="shared" si="13"/>
        <v>100</v>
      </c>
      <c r="V28" s="773" t="s">
        <v>17</v>
      </c>
      <c r="W28" s="774">
        <f t="shared" si="14"/>
        <v>100</v>
      </c>
      <c r="X28" s="1811"/>
      <c r="Y28" s="3221"/>
      <c r="Z28" s="1812" t="str">
        <f t="shared" si="15"/>
        <v>物业等级</v>
      </c>
      <c r="AA28" s="1809">
        <f t="shared" si="3"/>
        <v>1</v>
      </c>
      <c r="AB28" s="1809">
        <f t="shared" si="4"/>
        <v>1</v>
      </c>
      <c r="AC28" s="1809">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1"/>
      <c r="Q29" s="1808" t="str">
        <f t="shared" si="11"/>
        <v>有无电梯</v>
      </c>
      <c r="R29" s="773" t="s">
        <v>17</v>
      </c>
      <c r="S29" s="774">
        <f t="shared" si="12"/>
        <v>100</v>
      </c>
      <c r="T29" s="773" t="s">
        <v>17</v>
      </c>
      <c r="U29" s="774">
        <f t="shared" si="13"/>
        <v>100</v>
      </c>
      <c r="V29" s="773" t="s">
        <v>17</v>
      </c>
      <c r="W29" s="774">
        <f t="shared" si="14"/>
        <v>100</v>
      </c>
      <c r="X29" s="1811"/>
      <c r="Y29" s="3221"/>
      <c r="Z29" s="1812" t="str">
        <f t="shared" si="15"/>
        <v>有无电梯</v>
      </c>
      <c r="AA29" s="1809">
        <f t="shared" si="3"/>
        <v>1</v>
      </c>
      <c r="AB29" s="1809">
        <f t="shared" si="4"/>
        <v>1</v>
      </c>
      <c r="AC29" s="1809">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1"/>
      <c r="Q30" s="1808" t="str">
        <f t="shared" si="11"/>
        <v>建筑面积</v>
      </c>
      <c r="R30" s="773" t="s">
        <v>17</v>
      </c>
      <c r="S30" s="774" t="e">
        <f t="shared" si="12"/>
        <v>#N/A</v>
      </c>
      <c r="T30" s="773" t="s">
        <v>17</v>
      </c>
      <c r="U30" s="774" t="e">
        <f t="shared" si="13"/>
        <v>#N/A</v>
      </c>
      <c r="V30" s="773" t="s">
        <v>17</v>
      </c>
      <c r="W30" s="774" t="e">
        <f t="shared" si="14"/>
        <v>#N/A</v>
      </c>
      <c r="X30" s="1811"/>
      <c r="Y30" s="3221"/>
      <c r="Z30" s="1812" t="str">
        <f t="shared" si="15"/>
        <v>建筑面积</v>
      </c>
      <c r="AA30" s="1809" t="e">
        <f t="shared" si="3"/>
        <v>#N/A</v>
      </c>
      <c r="AB30" s="1809" t="e">
        <f t="shared" si="4"/>
        <v>#N/A</v>
      </c>
      <c r="AC30" s="1809"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1"/>
      <c r="Q31" s="1793" t="str">
        <f t="shared" si="11"/>
        <v>是否封闭</v>
      </c>
      <c r="R31" s="769" t="s">
        <v>17</v>
      </c>
      <c r="S31" s="770">
        <f t="shared" si="12"/>
        <v>100</v>
      </c>
      <c r="T31" s="769" t="s">
        <v>17</v>
      </c>
      <c r="U31" s="770">
        <f t="shared" si="13"/>
        <v>100</v>
      </c>
      <c r="V31" s="769" t="s">
        <v>17</v>
      </c>
      <c r="W31" s="770">
        <f t="shared" si="14"/>
        <v>100</v>
      </c>
      <c r="X31" s="771"/>
      <c r="Y31" s="3221"/>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1" t="s">
        <v>2565</v>
      </c>
      <c r="Q32" s="1808">
        <f t="shared" si="11"/>
        <v>111</v>
      </c>
      <c r="R32" s="773" t="s">
        <v>17</v>
      </c>
      <c r="S32" s="774">
        <f t="shared" si="12"/>
        <v>100</v>
      </c>
      <c r="T32" s="773" t="s">
        <v>17</v>
      </c>
      <c r="U32" s="774">
        <f t="shared" si="13"/>
        <v>100</v>
      </c>
      <c r="V32" s="773" t="s">
        <v>17</v>
      </c>
      <c r="W32" s="774">
        <f t="shared" si="14"/>
        <v>100</v>
      </c>
      <c r="X32" s="1811"/>
      <c r="Y32" s="3221" t="s">
        <v>2565</v>
      </c>
      <c r="Z32" s="1812">
        <f t="shared" si="15"/>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1"/>
      <c r="Q33" s="1808">
        <f t="shared" si="11"/>
        <v>111</v>
      </c>
      <c r="R33" s="773" t="s">
        <v>17</v>
      </c>
      <c r="S33" s="774">
        <f t="shared" si="12"/>
        <v>100</v>
      </c>
      <c r="T33" s="773" t="s">
        <v>17</v>
      </c>
      <c r="U33" s="774">
        <f t="shared" si="13"/>
        <v>100</v>
      </c>
      <c r="V33" s="773" t="s">
        <v>17</v>
      </c>
      <c r="W33" s="774">
        <f t="shared" si="14"/>
        <v>100</v>
      </c>
      <c r="X33" s="1811"/>
      <c r="Y33" s="3221"/>
      <c r="Z33" s="1812">
        <f t="shared" si="15"/>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21"/>
      <c r="Q34" s="1808">
        <f t="shared" si="11"/>
        <v>111</v>
      </c>
      <c r="R34" s="773" t="s">
        <v>17</v>
      </c>
      <c r="S34" s="774">
        <f t="shared" si="12"/>
        <v>100</v>
      </c>
      <c r="T34" s="773" t="s">
        <v>17</v>
      </c>
      <c r="U34" s="774">
        <f t="shared" si="13"/>
        <v>100</v>
      </c>
      <c r="V34" s="773" t="s">
        <v>17</v>
      </c>
      <c r="W34" s="774">
        <f t="shared" si="14"/>
        <v>100</v>
      </c>
      <c r="X34" s="1811"/>
      <c r="Y34" s="3221"/>
      <c r="Z34" s="1812">
        <f t="shared" si="15"/>
        <v>111</v>
      </c>
      <c r="AA34" s="1809">
        <f t="shared" si="3"/>
        <v>1</v>
      </c>
      <c r="AB34" s="1809">
        <f t="shared" si="4"/>
        <v>1</v>
      </c>
      <c r="AC34" s="1809">
        <f t="shared" si="5"/>
        <v>1</v>
      </c>
    </row>
    <row r="35" spans="1:29" ht="15">
      <c r="A35" s="479" t="s">
        <v>2577</v>
      </c>
      <c r="B35" s="480"/>
      <c r="C35" s="1406" t="s">
        <v>1</v>
      </c>
      <c r="D35" s="1407"/>
      <c r="E35" s="1408"/>
      <c r="F35" s="1409"/>
      <c r="G35" s="1410"/>
      <c r="H35" s="1411"/>
      <c r="I35" s="1408"/>
      <c r="J35" s="1411"/>
      <c r="K35" s="782"/>
      <c r="L35" s="1142"/>
      <c r="M35" s="1143"/>
      <c r="N35" s="1130"/>
      <c r="O35" s="1143"/>
      <c r="P35" s="3214" t="str">
        <f>A35</f>
        <v>成交单价（元/平方米）</v>
      </c>
      <c r="Q35" s="3214"/>
      <c r="R35" s="3215">
        <f>E35</f>
        <v>0</v>
      </c>
      <c r="S35" s="3215"/>
      <c r="T35" s="3215">
        <f>G35</f>
        <v>0</v>
      </c>
      <c r="U35" s="3215"/>
      <c r="V35" s="3215">
        <f>I35</f>
        <v>0</v>
      </c>
      <c r="W35" s="3215"/>
      <c r="X35" s="758"/>
      <c r="Y35" s="780"/>
      <c r="Z35" s="758"/>
      <c r="AA35" s="758"/>
      <c r="AB35" s="758"/>
      <c r="AC35" s="758"/>
    </row>
    <row r="36" spans="1:29" ht="15.75" thickBot="1">
      <c r="A36" s="486" t="s">
        <v>2669</v>
      </c>
      <c r="B36" s="487"/>
      <c r="C36" s="1412" t="e">
        <f>R37</f>
        <v>#DIV/0!</v>
      </c>
      <c r="D36" s="1413"/>
      <c r="E36" s="1414" t="e">
        <f>R36</f>
        <v>#DIV/0!</v>
      </c>
      <c r="F36" s="1414"/>
      <c r="G36" s="1412" t="e">
        <f>T36</f>
        <v>#DIV/0!</v>
      </c>
      <c r="H36" s="1413"/>
      <c r="I36" s="1414" t="e">
        <f>V36</f>
        <v>#DIV/0!</v>
      </c>
      <c r="J36" s="1413"/>
      <c r="K36" s="783"/>
      <c r="L36" s="1142"/>
      <c r="M36" s="1143"/>
      <c r="N36" s="1130"/>
      <c r="O36" s="1143"/>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8"/>
      <c r="Y36" s="758"/>
      <c r="Z36" s="758"/>
      <c r="AA36" s="758"/>
      <c r="AB36" s="758"/>
      <c r="AC36" s="758"/>
    </row>
    <row r="37" spans="1:29" ht="15.75" thickBot="1">
      <c r="A37" s="492" t="s">
        <v>2670</v>
      </c>
      <c r="B37" s="493"/>
      <c r="C37" s="1416" t="e">
        <f>R37</f>
        <v>#DIV/0!</v>
      </c>
      <c r="D37" s="1416"/>
      <c r="E37" s="1416"/>
      <c r="F37" s="1416"/>
      <c r="G37" s="1416"/>
      <c r="H37" s="1416"/>
      <c r="I37" s="1416"/>
      <c r="J37" s="1416"/>
      <c r="K37" s="784"/>
      <c r="L37" s="1142"/>
      <c r="M37" s="1143"/>
      <c r="N37" s="1143"/>
      <c r="O37" s="1143"/>
      <c r="P37" s="3211" t="str">
        <f>A37</f>
        <v>估价对象XX用房的比较价值（楼面单价，元/平方米）</v>
      </c>
      <c r="Q37" s="3212"/>
      <c r="R37" s="3213" t="e">
        <f>IF(F1="售价",ROUND(AVERAGE(R36:V36),0),ROUND(AVERAGE(R36:V36),1))</f>
        <v>#DIV/0!</v>
      </c>
      <c r="S37" s="3213"/>
      <c r="T37" s="3213"/>
      <c r="U37" s="3213"/>
      <c r="V37" s="3213"/>
      <c r="W37" s="321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2674</v>
      </c>
      <c r="B45" s="758"/>
      <c r="C45" s="763"/>
      <c r="D45" s="763"/>
      <c r="E45" s="763"/>
      <c r="F45" s="764"/>
      <c r="G45" s="764"/>
      <c r="H45" s="763"/>
      <c r="I45" s="763"/>
      <c r="J45" s="763"/>
      <c r="K45" s="765"/>
      <c r="L45" s="766"/>
      <c r="M45" s="763"/>
      <c r="N45" s="763"/>
      <c r="O45" s="763"/>
      <c r="P45" s="503"/>
      <c r="Q45" s="504"/>
    </row>
    <row r="46" spans="1:29" s="508" customFormat="1" ht="15">
      <c r="A46" s="505" t="s">
        <v>2548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2588</v>
      </c>
      <c r="B51" s="528" t="s">
        <v>2554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2563</v>
      </c>
      <c r="B77" s="528" t="s">
        <v>2616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184" t="s">
        <v>2647</v>
      </c>
      <c r="S4" s="3185"/>
      <c r="T4" s="3184" t="s">
        <v>2648</v>
      </c>
      <c r="U4" s="3185"/>
      <c r="V4" s="3209" t="s">
        <v>2649</v>
      </c>
      <c r="W4" s="3209"/>
      <c r="X4" s="1811"/>
      <c r="Y4" s="3184" t="s">
        <v>2651</v>
      </c>
      <c r="Z4" s="3185"/>
      <c r="AA4" s="3179" t="s">
        <v>2647</v>
      </c>
      <c r="AB4" s="3180" t="s">
        <v>2648</v>
      </c>
      <c r="AC4" s="3179" t="s">
        <v>2649</v>
      </c>
    </row>
    <row r="5" spans="1:30" ht="15">
      <c r="A5" s="404"/>
      <c r="B5" s="405"/>
      <c r="C5" s="3190" t="s">
        <v>2542</v>
      </c>
      <c r="D5" s="3191"/>
      <c r="E5" s="3188" t="s">
        <v>2543</v>
      </c>
      <c r="F5" s="3189"/>
      <c r="G5" s="3190" t="s">
        <v>2544</v>
      </c>
      <c r="H5" s="3191"/>
      <c r="I5" s="3190" t="s">
        <v>2545</v>
      </c>
      <c r="J5" s="3191"/>
      <c r="K5" s="610"/>
      <c r="L5" s="1129"/>
      <c r="M5" s="1130"/>
      <c r="N5" s="1130"/>
      <c r="O5" s="1130"/>
      <c r="P5" s="3203"/>
      <c r="Q5" s="3204"/>
      <c r="R5" s="3186"/>
      <c r="S5" s="3187"/>
      <c r="T5" s="3186"/>
      <c r="U5" s="3187"/>
      <c r="V5" s="3209"/>
      <c r="W5" s="3209"/>
      <c r="X5" s="1811"/>
      <c r="Y5" s="3186"/>
      <c r="Z5" s="3187"/>
      <c r="AA5" s="3180"/>
      <c r="AB5" s="3180"/>
      <c r="AC5" s="3180"/>
    </row>
    <row r="6" spans="1:30" ht="15.75" thickBot="1">
      <c r="A6" s="406"/>
      <c r="B6" s="407"/>
      <c r="C6" s="3192" t="s">
        <v>2546</v>
      </c>
      <c r="D6" s="3193"/>
      <c r="E6" s="3194" t="s">
        <v>2546</v>
      </c>
      <c r="F6" s="3195"/>
      <c r="G6" s="3192" t="s">
        <v>2546</v>
      </c>
      <c r="H6" s="3193"/>
      <c r="I6" s="3192" t="s">
        <v>2546</v>
      </c>
      <c r="J6" s="3193"/>
      <c r="K6" s="610" t="s">
        <v>2547</v>
      </c>
      <c r="L6" s="1129"/>
      <c r="M6" s="1130"/>
      <c r="N6" s="1130"/>
      <c r="O6" s="1130"/>
      <c r="P6" s="3205"/>
      <c r="Q6" s="3206"/>
      <c r="R6" s="3186"/>
      <c r="S6" s="3187"/>
      <c r="T6" s="3207"/>
      <c r="U6" s="3208"/>
      <c r="V6" s="3209"/>
      <c r="W6" s="3209"/>
      <c r="X6" s="1811"/>
      <c r="Y6" s="3207"/>
      <c r="Z6" s="3208"/>
      <c r="AA6" s="3181"/>
      <c r="AB6" s="3181"/>
      <c r="AC6" s="3181"/>
    </row>
    <row r="7" spans="1:30" s="117" customFormat="1" ht="15.75" thickBot="1">
      <c r="A7" s="408" t="s">
        <v>2548</v>
      </c>
      <c r="B7" s="409"/>
      <c r="C7" s="410">
        <f>'数据-取费表'!B2</f>
        <v>43643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182" t="s">
        <v>2549</v>
      </c>
      <c r="Q7" s="3210"/>
      <c r="R7" s="769" t="s">
        <v>17</v>
      </c>
      <c r="S7" s="770">
        <f t="shared" ref="S7:S15" si="0">F7</f>
        <v>0</v>
      </c>
      <c r="T7" s="769" t="s">
        <v>17</v>
      </c>
      <c r="U7" s="770">
        <f t="shared" ref="U7:U15" si="1">H7</f>
        <v>0</v>
      </c>
      <c r="V7" s="769" t="s">
        <v>17</v>
      </c>
      <c r="W7" s="770">
        <f t="shared" ref="W7:W15" si="2">J7</f>
        <v>0</v>
      </c>
      <c r="X7" s="771"/>
      <c r="Y7" s="3182" t="s">
        <v>2549</v>
      </c>
      <c r="Z7" s="3183"/>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82" t="s">
        <v>2552</v>
      </c>
      <c r="Q8" s="3183"/>
      <c r="R8" s="769" t="s">
        <v>17</v>
      </c>
      <c r="S8" s="770">
        <f t="shared" si="0"/>
        <v>0</v>
      </c>
      <c r="T8" s="769" t="s">
        <v>17</v>
      </c>
      <c r="U8" s="770">
        <f t="shared" si="1"/>
        <v>0</v>
      </c>
      <c r="V8" s="769" t="s">
        <v>17</v>
      </c>
      <c r="W8" s="770">
        <f t="shared" si="2"/>
        <v>0</v>
      </c>
      <c r="X8" s="771"/>
      <c r="Y8" s="3182" t="s">
        <v>2552</v>
      </c>
      <c r="Z8" s="3183"/>
      <c r="AA8" s="772" t="e">
        <f t="shared" ref="AA8:AA45" si="3">D8/F8</f>
        <v>#DIV/0!</v>
      </c>
      <c r="AB8" s="772" t="e">
        <f t="shared" ref="AB8:AB45" si="4">D8/H8</f>
        <v>#DIV/0!</v>
      </c>
      <c r="AC8" s="772"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14" t="s">
        <v>2555</v>
      </c>
      <c r="Q9" s="1793" t="str">
        <f t="shared" ref="Q9:Q15" si="6">B9</f>
        <v>用途</v>
      </c>
      <c r="R9" s="769" t="s">
        <v>17</v>
      </c>
      <c r="S9" s="770">
        <f t="shared" si="0"/>
        <v>100</v>
      </c>
      <c r="T9" s="769" t="s">
        <v>17</v>
      </c>
      <c r="U9" s="770">
        <f t="shared" si="1"/>
        <v>100</v>
      </c>
      <c r="V9" s="769" t="s">
        <v>17</v>
      </c>
      <c r="W9" s="770">
        <f t="shared" si="2"/>
        <v>100</v>
      </c>
      <c r="X9" s="771"/>
      <c r="Y9" s="3029" t="s">
        <v>2556</v>
      </c>
      <c r="Z9" s="55" t="str">
        <f t="shared" ref="Z9:Z15" si="7">Q9</f>
        <v>用途</v>
      </c>
      <c r="AA9" s="772">
        <f t="shared" si="3"/>
        <v>1</v>
      </c>
      <c r="AB9" s="772">
        <f t="shared" si="4"/>
        <v>1</v>
      </c>
      <c r="AC9" s="772">
        <f t="shared" si="5"/>
        <v>1</v>
      </c>
    </row>
    <row r="10" spans="1:30" s="427" customFormat="1" ht="27">
      <c r="A10" s="421"/>
      <c r="B10" s="422" t="s">
        <v>2557</v>
      </c>
      <c r="C10" s="432"/>
      <c r="D10" s="136">
        <v>100</v>
      </c>
      <c r="E10" s="465"/>
      <c r="F10" s="136">
        <f>ROUND(100/'数据-取费表'!G16,0)</f>
        <v>114</v>
      </c>
      <c r="G10" s="463"/>
      <c r="H10" s="136">
        <f>ROUND(100/'数据-取费表'!G16,0)</f>
        <v>114</v>
      </c>
      <c r="I10" s="463"/>
      <c r="J10" s="136">
        <f>ROUND(100/'数据-取费表'!G16,0)</f>
        <v>114</v>
      </c>
      <c r="K10" s="672"/>
      <c r="L10" s="1134"/>
      <c r="M10" s="1135"/>
      <c r="N10" s="1135"/>
      <c r="O10" s="1136"/>
      <c r="P10" s="3214"/>
      <c r="Q10" s="1793" t="str">
        <f t="shared" si="6"/>
        <v>土地使用年限（年）</v>
      </c>
      <c r="R10" s="769" t="s">
        <v>17</v>
      </c>
      <c r="S10" s="770">
        <f t="shared" si="0"/>
        <v>114</v>
      </c>
      <c r="T10" s="769" t="s">
        <v>17</v>
      </c>
      <c r="U10" s="770">
        <f t="shared" si="1"/>
        <v>114</v>
      </c>
      <c r="V10" s="769" t="s">
        <v>17</v>
      </c>
      <c r="W10" s="770">
        <f t="shared" si="2"/>
        <v>114</v>
      </c>
      <c r="X10" s="771"/>
      <c r="Y10" s="3029"/>
      <c r="Z10" s="55" t="str">
        <f t="shared" si="7"/>
        <v>土地使用年限（年）</v>
      </c>
      <c r="AA10" s="772">
        <f t="shared" si="3"/>
        <v>0.8771929824561403</v>
      </c>
      <c r="AB10" s="772">
        <f t="shared" si="4"/>
        <v>0.8771929824561403</v>
      </c>
      <c r="AC10" s="772">
        <f t="shared" si="5"/>
        <v>0.8771929824561403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14"/>
      <c r="Q11" s="1793"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4"/>
      <c r="Q12" s="1793" t="str">
        <f t="shared" si="6"/>
        <v>配建</v>
      </c>
      <c r="R12" s="769" t="s">
        <v>17</v>
      </c>
      <c r="S12" s="770">
        <f t="shared" si="0"/>
        <v>100</v>
      </c>
      <c r="T12" s="769" t="s">
        <v>17</v>
      </c>
      <c r="U12" s="770">
        <f t="shared" si="1"/>
        <v>100</v>
      </c>
      <c r="V12" s="769" t="s">
        <v>17</v>
      </c>
      <c r="W12" s="770">
        <f t="shared" si="2"/>
        <v>100</v>
      </c>
      <c r="X12" s="771"/>
      <c r="Y12" s="3029"/>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4"/>
      <c r="Q13" s="1793">
        <f t="shared" si="6"/>
        <v>111</v>
      </c>
      <c r="R13" s="769" t="s">
        <v>17</v>
      </c>
      <c r="S13" s="770">
        <f t="shared" si="0"/>
        <v>100</v>
      </c>
      <c r="T13" s="769" t="s">
        <v>17</v>
      </c>
      <c r="U13" s="770">
        <f t="shared" si="1"/>
        <v>100</v>
      </c>
      <c r="V13" s="769" t="s">
        <v>17</v>
      </c>
      <c r="W13" s="770">
        <f t="shared" si="2"/>
        <v>100</v>
      </c>
      <c r="X13" s="771"/>
      <c r="Y13" s="3029"/>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4"/>
      <c r="Q14" s="1793">
        <f t="shared" si="6"/>
        <v>111</v>
      </c>
      <c r="R14" s="769" t="s">
        <v>17</v>
      </c>
      <c r="S14" s="770">
        <f t="shared" si="0"/>
        <v>100</v>
      </c>
      <c r="T14" s="769" t="s">
        <v>17</v>
      </c>
      <c r="U14" s="770">
        <f t="shared" si="1"/>
        <v>100</v>
      </c>
      <c r="V14" s="769" t="s">
        <v>17</v>
      </c>
      <c r="W14" s="770">
        <f t="shared" si="2"/>
        <v>100</v>
      </c>
      <c r="X14" s="771"/>
      <c r="Y14" s="3029"/>
      <c r="Z14" s="55">
        <f t="shared" si="7"/>
        <v>111</v>
      </c>
      <c r="AA14" s="772">
        <f>D14/F14</f>
        <v>1</v>
      </c>
      <c r="AB14" s="772">
        <f>D14/H14</f>
        <v>1</v>
      </c>
      <c r="AC14" s="772">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16" t="s">
        <v>2560</v>
      </c>
      <c r="Q15" s="1808" t="str">
        <f t="shared" si="6"/>
        <v>居住社区成熟度</v>
      </c>
      <c r="R15" s="773" t="s">
        <v>17</v>
      </c>
      <c r="S15" s="774">
        <f t="shared" si="0"/>
        <v>100</v>
      </c>
      <c r="T15" s="773" t="s">
        <v>17</v>
      </c>
      <c r="U15" s="774">
        <f t="shared" si="1"/>
        <v>100</v>
      </c>
      <c r="V15" s="773" t="s">
        <v>17</v>
      </c>
      <c r="W15" s="774">
        <f t="shared" si="2"/>
        <v>100</v>
      </c>
      <c r="X15" s="1811"/>
      <c r="Y15" s="3216" t="s">
        <v>2560</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39"/>
      <c r="M16" s="1130"/>
      <c r="N16" s="1130"/>
      <c r="O16" s="1138"/>
      <c r="P16" s="3217"/>
      <c r="Q16" s="1808"/>
      <c r="R16" s="773"/>
      <c r="S16" s="774"/>
      <c r="T16" s="773"/>
      <c r="U16" s="774"/>
      <c r="V16" s="773"/>
      <c r="W16" s="774"/>
      <c r="X16" s="1811"/>
      <c r="Y16" s="3217"/>
      <c r="Z16" s="1812"/>
      <c r="AA16" s="1809">
        <v>1</v>
      </c>
      <c r="AB16" s="1809">
        <v>1</v>
      </c>
      <c r="AC16" s="1809">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17"/>
      <c r="Q17" s="1808" t="str">
        <f>B17</f>
        <v>商业繁华度</v>
      </c>
      <c r="R17" s="773" t="s">
        <v>17</v>
      </c>
      <c r="S17" s="774">
        <f>F17</f>
        <v>100</v>
      </c>
      <c r="T17" s="773" t="s">
        <v>17</v>
      </c>
      <c r="U17" s="774">
        <f>H17</f>
        <v>100</v>
      </c>
      <c r="V17" s="773" t="s">
        <v>17</v>
      </c>
      <c r="W17" s="774">
        <f>J17</f>
        <v>100</v>
      </c>
      <c r="X17" s="1811"/>
      <c r="Y17" s="3217"/>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39"/>
      <c r="M18" s="1130"/>
      <c r="N18" s="1130"/>
      <c r="O18" s="1138"/>
      <c r="P18" s="3217"/>
      <c r="Q18" s="1808"/>
      <c r="R18" s="773"/>
      <c r="S18" s="774"/>
      <c r="T18" s="773"/>
      <c r="U18" s="774"/>
      <c r="V18" s="773"/>
      <c r="W18" s="774"/>
      <c r="X18" s="1811"/>
      <c r="Y18" s="3217"/>
      <c r="Z18" s="1812"/>
      <c r="AA18" s="1809">
        <v>1</v>
      </c>
      <c r="AB18" s="1809">
        <v>1</v>
      </c>
      <c r="AC18" s="1809">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7"/>
      <c r="Q19" s="1808" t="str">
        <f>B19</f>
        <v>办公集聚程度</v>
      </c>
      <c r="R19" s="773" t="s">
        <v>17</v>
      </c>
      <c r="S19" s="774">
        <f>F19</f>
        <v>100</v>
      </c>
      <c r="T19" s="773" t="s">
        <v>17</v>
      </c>
      <c r="U19" s="774">
        <f>H19</f>
        <v>100</v>
      </c>
      <c r="V19" s="773" t="s">
        <v>17</v>
      </c>
      <c r="W19" s="774">
        <f>J19</f>
        <v>100</v>
      </c>
      <c r="X19" s="1811"/>
      <c r="Y19" s="3217"/>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39"/>
      <c r="M20" s="1130"/>
      <c r="N20" s="1130"/>
      <c r="O20" s="1138"/>
      <c r="P20" s="3217"/>
      <c r="Q20" s="1808"/>
      <c r="R20" s="773"/>
      <c r="S20" s="774"/>
      <c r="T20" s="773"/>
      <c r="U20" s="774"/>
      <c r="V20" s="773"/>
      <c r="W20" s="774"/>
      <c r="X20" s="1811"/>
      <c r="Y20" s="3217"/>
      <c r="Z20" s="1812"/>
      <c r="AA20" s="1809">
        <v>1</v>
      </c>
      <c r="AB20" s="1809">
        <v>1</v>
      </c>
      <c r="AC20" s="1809">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17"/>
      <c r="Q21" s="1808" t="str">
        <f>B21</f>
        <v>交通便捷度</v>
      </c>
      <c r="R21" s="773" t="s">
        <v>17</v>
      </c>
      <c r="S21" s="774">
        <f>F21</f>
        <v>100</v>
      </c>
      <c r="T21" s="773" t="s">
        <v>17</v>
      </c>
      <c r="U21" s="774">
        <f>H21</f>
        <v>100</v>
      </c>
      <c r="V21" s="773" t="s">
        <v>17</v>
      </c>
      <c r="W21" s="774">
        <f>J21</f>
        <v>100</v>
      </c>
      <c r="X21" s="1811"/>
      <c r="Y21" s="3217"/>
      <c r="Z21" s="1812" t="str">
        <f>Q21</f>
        <v>交通便捷度</v>
      </c>
      <c r="AA21" s="1809">
        <f t="shared" si="3"/>
        <v>1</v>
      </c>
      <c r="AB21" s="1809">
        <f t="shared" si="4"/>
        <v>1</v>
      </c>
      <c r="AC21" s="1809">
        <f t="shared" si="5"/>
        <v>1</v>
      </c>
    </row>
    <row r="22" spans="1:29" ht="15">
      <c r="A22" s="428"/>
      <c r="B22" s="1383"/>
      <c r="C22" s="447"/>
      <c r="D22" s="450"/>
      <c r="E22" s="2607"/>
      <c r="F22" s="448"/>
      <c r="G22" s="2607"/>
      <c r="H22" s="448"/>
      <c r="I22" s="2606"/>
      <c r="J22" s="448"/>
      <c r="K22" s="672"/>
      <c r="L22" s="1139"/>
      <c r="M22" s="1130"/>
      <c r="N22" s="1130"/>
      <c r="O22" s="1138"/>
      <c r="P22" s="3217"/>
      <c r="Q22" s="1808"/>
      <c r="R22" s="773"/>
      <c r="S22" s="774"/>
      <c r="T22" s="773"/>
      <c r="U22" s="774"/>
      <c r="V22" s="773"/>
      <c r="W22" s="774"/>
      <c r="X22" s="1811"/>
      <c r="Y22" s="3217"/>
      <c r="Z22" s="1812"/>
      <c r="AA22" s="1809">
        <v>1</v>
      </c>
      <c r="AB22" s="1809">
        <v>1</v>
      </c>
      <c r="AC22" s="1809">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17"/>
      <c r="Q23" s="1808" t="str">
        <f t="shared" ref="Q23:Q37" si="8">B23</f>
        <v>区域土地利用方向</v>
      </c>
      <c r="R23" s="773" t="s">
        <v>17</v>
      </c>
      <c r="S23" s="774">
        <f>F23</f>
        <v>100</v>
      </c>
      <c r="T23" s="773" t="s">
        <v>17</v>
      </c>
      <c r="U23" s="774">
        <f>H23</f>
        <v>100</v>
      </c>
      <c r="V23" s="773" t="s">
        <v>17</v>
      </c>
      <c r="W23" s="774">
        <f>J23</f>
        <v>100</v>
      </c>
      <c r="X23" s="1811"/>
      <c r="Y23" s="3217"/>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1"/>
      <c r="L24" s="1139"/>
      <c r="M24" s="1130"/>
      <c r="N24" s="1130"/>
      <c r="O24" s="1138"/>
      <c r="P24" s="3217"/>
      <c r="Q24" s="1808"/>
      <c r="R24" s="773"/>
      <c r="S24" s="774"/>
      <c r="T24" s="773"/>
      <c r="U24" s="774"/>
      <c r="V24" s="773"/>
      <c r="W24" s="774"/>
      <c r="X24" s="1811"/>
      <c r="Y24" s="3217"/>
      <c r="Z24" s="1812"/>
      <c r="AA24" s="1809"/>
      <c r="AB24" s="1809"/>
      <c r="AC24" s="1809"/>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17"/>
      <c r="Q25" s="1808" t="str">
        <f t="shared" si="8"/>
        <v>自然及人文环境状况</v>
      </c>
      <c r="R25" s="773" t="s">
        <v>17</v>
      </c>
      <c r="S25" s="774">
        <f>F25</f>
        <v>100</v>
      </c>
      <c r="T25" s="773" t="s">
        <v>17</v>
      </c>
      <c r="U25" s="774">
        <f>H25</f>
        <v>100</v>
      </c>
      <c r="V25" s="773" t="s">
        <v>17</v>
      </c>
      <c r="W25" s="774">
        <f>J25</f>
        <v>100</v>
      </c>
      <c r="X25" s="1811"/>
      <c r="Y25" s="3217"/>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39"/>
      <c r="M26" s="1130"/>
      <c r="N26" s="1130"/>
      <c r="O26" s="1138"/>
      <c r="P26" s="3217"/>
      <c r="Q26" s="1808"/>
      <c r="R26" s="773"/>
      <c r="S26" s="774"/>
      <c r="T26" s="773"/>
      <c r="U26" s="774"/>
      <c r="V26" s="773"/>
      <c r="W26" s="774"/>
      <c r="X26" s="1811"/>
      <c r="Y26" s="3217"/>
      <c r="Z26" s="1812"/>
      <c r="AA26" s="1809">
        <v>1</v>
      </c>
      <c r="AB26" s="1809">
        <v>1</v>
      </c>
      <c r="AC26" s="1809">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17"/>
      <c r="Q27" s="1793" t="str">
        <f t="shared" si="8"/>
        <v>公共配套设施</v>
      </c>
      <c r="R27" s="769" t="s">
        <v>17</v>
      </c>
      <c r="S27" s="770">
        <f>F27</f>
        <v>100</v>
      </c>
      <c r="T27" s="769" t="s">
        <v>17</v>
      </c>
      <c r="U27" s="770">
        <f>H27</f>
        <v>100</v>
      </c>
      <c r="V27" s="769" t="s">
        <v>17</v>
      </c>
      <c r="W27" s="770">
        <f>J27</f>
        <v>100</v>
      </c>
      <c r="X27" s="771"/>
      <c r="Y27" s="3217"/>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1"/>
      <c r="M28" s="1132"/>
      <c r="N28" s="1132"/>
      <c r="O28" s="1133"/>
      <c r="P28" s="3217"/>
      <c r="Q28" s="1793"/>
      <c r="R28" s="769"/>
      <c r="S28" s="770"/>
      <c r="T28" s="769"/>
      <c r="U28" s="770"/>
      <c r="V28" s="769"/>
      <c r="W28" s="770"/>
      <c r="X28" s="771"/>
      <c r="Y28" s="3217"/>
      <c r="Z28" s="55"/>
      <c r="AA28" s="1809">
        <v>1</v>
      </c>
      <c r="AB28" s="1809">
        <v>1</v>
      </c>
      <c r="AC28" s="1809">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17"/>
      <c r="Q29" s="1793" t="str">
        <f t="shared" ref="Q29" si="9">B29</f>
        <v>基础设施水平</v>
      </c>
      <c r="R29" s="769" t="s">
        <v>17</v>
      </c>
      <c r="S29" s="770">
        <f>F29</f>
        <v>100</v>
      </c>
      <c r="T29" s="769" t="s">
        <v>17</v>
      </c>
      <c r="U29" s="770">
        <f>H29</f>
        <v>100</v>
      </c>
      <c r="V29" s="769" t="s">
        <v>17</v>
      </c>
      <c r="W29" s="770">
        <f>J29</f>
        <v>100</v>
      </c>
      <c r="X29" s="771"/>
      <c r="Y29" s="3217"/>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1"/>
      <c r="M30" s="1132"/>
      <c r="N30" s="1132"/>
      <c r="O30" s="1133"/>
      <c r="P30" s="3217"/>
      <c r="Q30" s="1793"/>
      <c r="R30" s="769"/>
      <c r="S30" s="770"/>
      <c r="T30" s="769"/>
      <c r="U30" s="770"/>
      <c r="V30" s="769"/>
      <c r="W30" s="770"/>
      <c r="X30" s="771"/>
      <c r="Y30" s="3217"/>
      <c r="Z30" s="55"/>
      <c r="AA30" s="1809">
        <v>1</v>
      </c>
      <c r="AB30" s="1809">
        <v>1</v>
      </c>
      <c r="AC30" s="1809">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1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7"/>
      <c r="Z31" s="1812" t="str">
        <f t="shared" ref="Z31:Z45" si="13">Q31</f>
        <v>临街状况</v>
      </c>
      <c r="AA31" s="1809">
        <f t="shared" si="3"/>
        <v>1</v>
      </c>
      <c r="AB31" s="1809">
        <f t="shared" si="4"/>
        <v>1</v>
      </c>
      <c r="AC31" s="1809">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17"/>
      <c r="Q32" s="1808" t="str">
        <f t="shared" si="8"/>
        <v>毗邻道路的类型与等级</v>
      </c>
      <c r="R32" s="773" t="s">
        <v>17</v>
      </c>
      <c r="S32" s="774">
        <f t="shared" si="10"/>
        <v>100</v>
      </c>
      <c r="T32" s="773" t="s">
        <v>17</v>
      </c>
      <c r="U32" s="774">
        <f t="shared" si="11"/>
        <v>100</v>
      </c>
      <c r="V32" s="773" t="s">
        <v>17</v>
      </c>
      <c r="W32" s="774">
        <f t="shared" si="12"/>
        <v>100</v>
      </c>
      <c r="X32" s="1811"/>
      <c r="Y32" s="3217"/>
      <c r="Z32" s="1812" t="str">
        <f t="shared" si="13"/>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39"/>
      <c r="M33" s="1130"/>
      <c r="N33" s="1130"/>
      <c r="O33" s="1138"/>
      <c r="P33" s="3217"/>
      <c r="Q33" s="1808"/>
      <c r="R33" s="773"/>
      <c r="S33" s="774"/>
      <c r="T33" s="773"/>
      <c r="U33" s="774"/>
      <c r="V33" s="773"/>
      <c r="W33" s="774"/>
      <c r="X33" s="1811"/>
      <c r="Y33" s="3217"/>
      <c r="Z33" s="1812"/>
      <c r="AA33" s="1809">
        <v>1</v>
      </c>
      <c r="AB33" s="1809">
        <v>1</v>
      </c>
      <c r="AC33" s="1809">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17"/>
      <c r="Q34" s="1808" t="str">
        <f t="shared" si="8"/>
        <v>土地级别</v>
      </c>
      <c r="R34" s="773" t="s">
        <v>17</v>
      </c>
      <c r="S34" s="774">
        <f t="shared" si="10"/>
        <v>100</v>
      </c>
      <c r="T34" s="773" t="s">
        <v>17</v>
      </c>
      <c r="U34" s="774">
        <f t="shared" si="11"/>
        <v>100</v>
      </c>
      <c r="V34" s="773" t="s">
        <v>17</v>
      </c>
      <c r="W34" s="774">
        <f t="shared" si="12"/>
        <v>100</v>
      </c>
      <c r="X34" s="1811"/>
      <c r="Y34" s="3217"/>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7"/>
      <c r="Q35" s="1808">
        <f t="shared" si="8"/>
        <v>111</v>
      </c>
      <c r="R35" s="773" t="s">
        <v>17</v>
      </c>
      <c r="S35" s="774">
        <f t="shared" si="10"/>
        <v>100</v>
      </c>
      <c r="T35" s="773" t="s">
        <v>17</v>
      </c>
      <c r="U35" s="774">
        <f t="shared" si="11"/>
        <v>100</v>
      </c>
      <c r="V35" s="773" t="s">
        <v>17</v>
      </c>
      <c r="W35" s="774">
        <f t="shared" si="12"/>
        <v>100</v>
      </c>
      <c r="X35" s="1811"/>
      <c r="Y35" s="3217"/>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0" t="s">
        <v>2565</v>
      </c>
      <c r="Q36" s="1808">
        <f t="shared" si="8"/>
        <v>111</v>
      </c>
      <c r="R36" s="773" t="s">
        <v>17</v>
      </c>
      <c r="S36" s="774">
        <f t="shared" si="10"/>
        <v>100</v>
      </c>
      <c r="T36" s="773" t="s">
        <v>17</v>
      </c>
      <c r="U36" s="774">
        <f t="shared" si="11"/>
        <v>100</v>
      </c>
      <c r="V36" s="773" t="s">
        <v>17</v>
      </c>
      <c r="W36" s="774">
        <f t="shared" si="12"/>
        <v>100</v>
      </c>
      <c r="X36" s="1811"/>
      <c r="Y36" s="3221" t="s">
        <v>2565</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1"/>
      <c r="Q37" s="1808">
        <f t="shared" si="8"/>
        <v>111</v>
      </c>
      <c r="R37" s="776" t="s">
        <v>17</v>
      </c>
      <c r="S37" s="777">
        <f t="shared" si="10"/>
        <v>100</v>
      </c>
      <c r="T37" s="776" t="s">
        <v>17</v>
      </c>
      <c r="U37" s="777">
        <f t="shared" si="11"/>
        <v>100</v>
      </c>
      <c r="V37" s="776" t="s">
        <v>17</v>
      </c>
      <c r="W37" s="777">
        <f t="shared" si="12"/>
        <v>100</v>
      </c>
      <c r="X37" s="778"/>
      <c r="Y37" s="3221"/>
      <c r="Z37" s="779">
        <f t="shared" si="13"/>
        <v>111</v>
      </c>
      <c r="AA37" s="1809">
        <f t="shared" si="3"/>
        <v>1</v>
      </c>
      <c r="AB37" s="1809">
        <f t="shared" si="4"/>
        <v>1</v>
      </c>
      <c r="AC37" s="1809">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1"/>
      <c r="Q38" s="1808" t="str">
        <f>B38</f>
        <v>宗地面积</v>
      </c>
      <c r="R38" s="773" t="s">
        <v>17</v>
      </c>
      <c r="S38" s="774" t="e">
        <f t="shared" si="10"/>
        <v>#N/A</v>
      </c>
      <c r="T38" s="773" t="s">
        <v>17</v>
      </c>
      <c r="U38" s="774" t="e">
        <f t="shared" si="11"/>
        <v>#N/A</v>
      </c>
      <c r="V38" s="773" t="s">
        <v>17</v>
      </c>
      <c r="W38" s="774" t="e">
        <f t="shared" si="12"/>
        <v>#N/A</v>
      </c>
      <c r="X38" s="1811"/>
      <c r="Y38" s="3221"/>
      <c r="Z38" s="1812" t="str">
        <f t="shared" si="13"/>
        <v>宗地面积</v>
      </c>
      <c r="AA38" s="1809" t="e">
        <f t="shared" si="3"/>
        <v>#N/A</v>
      </c>
      <c r="AB38" s="1809" t="e">
        <f t="shared" si="4"/>
        <v>#N/A</v>
      </c>
      <c r="AC38" s="1809"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21"/>
      <c r="Q39" s="1808" t="str">
        <f t="shared" ref="Q39:Q45" si="14">B39</f>
        <v>宗地形状</v>
      </c>
      <c r="R39" s="773" t="s">
        <v>17</v>
      </c>
      <c r="S39" s="774">
        <f t="shared" si="10"/>
        <v>100</v>
      </c>
      <c r="T39" s="773" t="s">
        <v>17</v>
      </c>
      <c r="U39" s="774">
        <f t="shared" si="11"/>
        <v>100</v>
      </c>
      <c r="V39" s="773" t="s">
        <v>17</v>
      </c>
      <c r="W39" s="774">
        <f t="shared" si="12"/>
        <v>100</v>
      </c>
      <c r="X39" s="1811"/>
      <c r="Y39" s="3221"/>
      <c r="Z39" s="1812" t="str">
        <f t="shared" si="13"/>
        <v>宗地形状</v>
      </c>
      <c r="AA39" s="1809">
        <f t="shared" si="3"/>
        <v>1</v>
      </c>
      <c r="AB39" s="1809">
        <f t="shared" si="4"/>
        <v>1</v>
      </c>
      <c r="AC39" s="1809">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21"/>
      <c r="Q40" s="1808" t="str">
        <f t="shared" si="14"/>
        <v>临街宽度及深度</v>
      </c>
      <c r="R40" s="773" t="s">
        <v>17</v>
      </c>
      <c r="S40" s="774">
        <f t="shared" si="10"/>
        <v>100</v>
      </c>
      <c r="T40" s="773" t="s">
        <v>17</v>
      </c>
      <c r="U40" s="774">
        <f t="shared" si="11"/>
        <v>100</v>
      </c>
      <c r="V40" s="773" t="s">
        <v>17</v>
      </c>
      <c r="W40" s="774">
        <f t="shared" si="12"/>
        <v>100</v>
      </c>
      <c r="X40" s="1811"/>
      <c r="Y40" s="3221"/>
      <c r="Z40" s="1812" t="str">
        <f t="shared" si="13"/>
        <v>临街宽度及深度</v>
      </c>
      <c r="AA40" s="1809">
        <f t="shared" si="3"/>
        <v>1</v>
      </c>
      <c r="AB40" s="1809">
        <f t="shared" si="4"/>
        <v>1</v>
      </c>
      <c r="AC40" s="1809">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21"/>
      <c r="Q41" s="1808" t="str">
        <f t="shared" si="14"/>
        <v>宗地开发程度</v>
      </c>
      <c r="R41" s="769" t="s">
        <v>17</v>
      </c>
      <c r="S41" s="770">
        <f t="shared" si="10"/>
        <v>100</v>
      </c>
      <c r="T41" s="769" t="s">
        <v>17</v>
      </c>
      <c r="U41" s="770">
        <f t="shared" si="11"/>
        <v>100</v>
      </c>
      <c r="V41" s="769" t="s">
        <v>17</v>
      </c>
      <c r="W41" s="770">
        <f t="shared" si="12"/>
        <v>100</v>
      </c>
      <c r="X41" s="771"/>
      <c r="Y41" s="3221"/>
      <c r="Z41" s="55" t="str">
        <f t="shared" si="13"/>
        <v>宗地开发程度</v>
      </c>
      <c r="AA41" s="772">
        <f t="shared" si="3"/>
        <v>1</v>
      </c>
      <c r="AB41" s="772">
        <f t="shared" si="4"/>
        <v>1</v>
      </c>
      <c r="AC41" s="772">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21" t="s">
        <v>2565</v>
      </c>
      <c r="Q42" s="1808" t="str">
        <f t="shared" si="14"/>
        <v>工程地质条件</v>
      </c>
      <c r="R42" s="773" t="s">
        <v>17</v>
      </c>
      <c r="S42" s="774">
        <f t="shared" si="10"/>
        <v>100</v>
      </c>
      <c r="T42" s="773" t="s">
        <v>17</v>
      </c>
      <c r="U42" s="774">
        <f t="shared" si="11"/>
        <v>100</v>
      </c>
      <c r="V42" s="773" t="s">
        <v>17</v>
      </c>
      <c r="W42" s="774">
        <f t="shared" si="12"/>
        <v>100</v>
      </c>
      <c r="X42" s="1811"/>
      <c r="Y42" s="3221" t="s">
        <v>2565</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1"/>
      <c r="Q43" s="1808">
        <f t="shared" si="14"/>
        <v>111</v>
      </c>
      <c r="R43" s="773" t="s">
        <v>17</v>
      </c>
      <c r="S43" s="774">
        <f t="shared" si="10"/>
        <v>100</v>
      </c>
      <c r="T43" s="773" t="s">
        <v>17</v>
      </c>
      <c r="U43" s="774">
        <f t="shared" si="11"/>
        <v>100</v>
      </c>
      <c r="V43" s="773" t="s">
        <v>17</v>
      </c>
      <c r="W43" s="774">
        <f t="shared" si="12"/>
        <v>100</v>
      </c>
      <c r="X43" s="1811"/>
      <c r="Y43" s="3221"/>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1"/>
      <c r="Q44" s="1808">
        <f t="shared" si="14"/>
        <v>111</v>
      </c>
      <c r="R44" s="773" t="s">
        <v>17</v>
      </c>
      <c r="S44" s="774">
        <f t="shared" si="10"/>
        <v>100</v>
      </c>
      <c r="T44" s="773" t="s">
        <v>17</v>
      </c>
      <c r="U44" s="774">
        <f t="shared" si="11"/>
        <v>100</v>
      </c>
      <c r="V44" s="773" t="s">
        <v>17</v>
      </c>
      <c r="W44" s="774">
        <f t="shared" si="12"/>
        <v>100</v>
      </c>
      <c r="X44" s="1811"/>
      <c r="Y44" s="3221"/>
      <c r="Z44" s="1812">
        <f t="shared" si="13"/>
        <v>111</v>
      </c>
      <c r="AA44" s="1809">
        <f t="shared" si="3"/>
        <v>1</v>
      </c>
      <c r="AB44" s="1809">
        <f t="shared" si="4"/>
        <v>1</v>
      </c>
      <c r="AC44" s="1809">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1"/>
      <c r="Q45" s="1808">
        <f t="shared" si="14"/>
        <v>111</v>
      </c>
      <c r="R45" s="776" t="s">
        <v>17</v>
      </c>
      <c r="S45" s="777">
        <f t="shared" si="10"/>
        <v>100</v>
      </c>
      <c r="T45" s="776" t="s">
        <v>17</v>
      </c>
      <c r="U45" s="777">
        <f t="shared" si="11"/>
        <v>100</v>
      </c>
      <c r="V45" s="776" t="s">
        <v>17</v>
      </c>
      <c r="W45" s="777">
        <f t="shared" si="12"/>
        <v>100</v>
      </c>
      <c r="X45" s="778"/>
      <c r="Y45" s="3221"/>
      <c r="Z45" s="779">
        <f t="shared" si="13"/>
        <v>111</v>
      </c>
      <c r="AA45" s="1809">
        <f t="shared" si="3"/>
        <v>1</v>
      </c>
      <c r="AB45" s="1809">
        <f t="shared" si="4"/>
        <v>1</v>
      </c>
      <c r="AC45" s="1809">
        <f t="shared" si="5"/>
        <v>1</v>
      </c>
    </row>
    <row r="46" spans="1:29" ht="15">
      <c r="A46" s="479" t="s">
        <v>2720</v>
      </c>
      <c r="B46" s="2706" t="s">
        <v>2756</v>
      </c>
      <c r="C46" s="682" t="s">
        <v>1</v>
      </c>
      <c r="D46" s="481"/>
      <c r="E46" s="482"/>
      <c r="F46" s="483"/>
      <c r="G46" s="484"/>
      <c r="H46" s="485"/>
      <c r="I46" s="482"/>
      <c r="J46" s="485"/>
      <c r="K46" s="782"/>
      <c r="L46" s="1142"/>
      <c r="M46" s="1143"/>
      <c r="N46" s="1130"/>
      <c r="O46" s="1143"/>
      <c r="P46" s="3214" t="str">
        <f>A46</f>
        <v>成交单价</v>
      </c>
      <c r="Q46" s="3214"/>
      <c r="R46" s="3209">
        <f>E46</f>
        <v>0</v>
      </c>
      <c r="S46" s="3209"/>
      <c r="T46" s="3209">
        <f>G46</f>
        <v>0</v>
      </c>
      <c r="U46" s="3209"/>
      <c r="V46" s="3209">
        <f>I46</f>
        <v>0</v>
      </c>
      <c r="W46" s="3209"/>
      <c r="X46" s="758"/>
      <c r="Y46" s="780"/>
      <c r="Z46" s="758"/>
      <c r="AA46" s="758"/>
      <c r="AB46" s="758"/>
      <c r="AC46" s="758"/>
    </row>
    <row r="47" spans="1:29" ht="15.75" thickBot="1">
      <c r="A47" s="486" t="s">
        <v>2669</v>
      </c>
      <c r="B47" s="683"/>
      <c r="C47" s="490" t="e">
        <f>R48</f>
        <v>#DIV/0!</v>
      </c>
      <c r="D47" s="489"/>
      <c r="E47" s="490" t="e">
        <f>R47</f>
        <v>#DIV/0!</v>
      </c>
      <c r="F47" s="491"/>
      <c r="G47" s="488" t="e">
        <f>T47</f>
        <v>#DIV/0!</v>
      </c>
      <c r="H47" s="489"/>
      <c r="I47" s="490" t="e">
        <f>V47</f>
        <v>#DIV/0!</v>
      </c>
      <c r="J47" s="489"/>
      <c r="K47" s="783"/>
      <c r="L47" s="1142"/>
      <c r="M47" s="1143"/>
      <c r="N47" s="1143"/>
      <c r="O47" s="1143"/>
      <c r="P47" s="3214" t="str">
        <f>A47</f>
        <v>比较价值（元/平方米）</v>
      </c>
      <c r="Q47" s="3214"/>
      <c r="R47" s="3241" t="e">
        <f>ROUND(PRODUCT(R46,AA7:AA45),0)</f>
        <v>#DIV/0!</v>
      </c>
      <c r="S47" s="3241"/>
      <c r="T47" s="3241" t="e">
        <f>ROUND(PRODUCT(T46,AB7:AB45),0)</f>
        <v>#DIV/0!</v>
      </c>
      <c r="U47" s="3241"/>
      <c r="V47" s="3241" t="e">
        <f>ROUND(PRODUCT(V46,AC7:AC45),0)</f>
        <v>#DIV/0!</v>
      </c>
      <c r="W47" s="3241"/>
      <c r="X47" s="758"/>
      <c r="Y47" s="758"/>
      <c r="Z47" s="758"/>
      <c r="AA47" s="758"/>
      <c r="AB47" s="758"/>
      <c r="AC47" s="758"/>
    </row>
    <row r="48" spans="1:29" ht="15.75" thickBot="1">
      <c r="A48" s="492" t="s">
        <v>2757</v>
      </c>
      <c r="B48" s="493"/>
      <c r="C48" s="494" t="e">
        <f>R48</f>
        <v>#DIV/0!</v>
      </c>
      <c r="D48" s="494"/>
      <c r="E48" s="494"/>
      <c r="F48" s="494"/>
      <c r="G48" s="494"/>
      <c r="H48" s="494"/>
      <c r="I48" s="494"/>
      <c r="J48" s="494"/>
      <c r="K48" s="784"/>
      <c r="L48" s="1142"/>
      <c r="M48" s="1143"/>
      <c r="N48" s="1143"/>
      <c r="O48" s="1143"/>
      <c r="P48" s="3211" t="str">
        <f>A48</f>
        <v>估价对象XX用房的比较价值（楼面单价，元/平方米）</v>
      </c>
      <c r="Q48" s="3212"/>
      <c r="R48" s="3242" t="e">
        <f>ROUND(AVERAGE(R47:V47),0)</f>
        <v>#DIV/0!</v>
      </c>
      <c r="S48" s="3242"/>
      <c r="T48" s="3242"/>
      <c r="U48" s="3242"/>
      <c r="V48" s="3242"/>
      <c r="W48" s="324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2758</v>
      </c>
      <c r="B55" s="685" t="s">
        <v>2759</v>
      </c>
      <c r="C55" s="2707" t="s">
        <v>2760</v>
      </c>
      <c r="D55" s="2708" t="s">
        <v>2761</v>
      </c>
      <c r="E55" s="686" t="s">
        <v>2762</v>
      </c>
      <c r="F55" s="1106" t="s">
        <v>2763</v>
      </c>
      <c r="G55" s="3197" t="s">
        <v>2764</v>
      </c>
      <c r="H55" s="3243"/>
      <c r="I55" s="144" t="s">
        <v>2765</v>
      </c>
      <c r="J55" s="2709">
        <f>项目基本情况!F35</f>
        <v>0</v>
      </c>
      <c r="K55" s="2710" t="s">
        <v>2766</v>
      </c>
      <c r="L55" s="1105"/>
      <c r="M55" s="1143"/>
      <c r="N55" s="1143"/>
      <c r="O55" s="1143"/>
    </row>
    <row r="56" spans="1:15" s="692" customFormat="1">
      <c r="A56" s="688" t="s">
        <v>2767</v>
      </c>
      <c r="B56" s="689" t="e">
        <f>C48</f>
        <v>#DIV/0!</v>
      </c>
      <c r="C56" s="690">
        <v>1</v>
      </c>
      <c r="D56" s="1162">
        <v>1</v>
      </c>
      <c r="E56" s="690">
        <f>'数据-汇总表'!E8+'数据-汇总表'!E9</f>
        <v>81.84</v>
      </c>
      <c r="F56" s="1102" t="e">
        <f t="shared" ref="F56:F65" si="15">ROUND(B56*E56/10000,0)</f>
        <v>#DIV/0!</v>
      </c>
      <c r="G56" s="3196"/>
      <c r="H56" s="3214"/>
      <c r="I56" s="1107">
        <v>1</v>
      </c>
      <c r="J56" s="1110">
        <v>1</v>
      </c>
      <c r="K56" s="1144"/>
      <c r="L56" s="940"/>
      <c r="M56" s="940"/>
      <c r="N56" s="940"/>
      <c r="O56" s="940"/>
    </row>
    <row r="57" spans="1:15" s="692" customFormat="1">
      <c r="A57" s="693" t="s">
        <v>2768</v>
      </c>
      <c r="B57" s="262" t="e">
        <f>ROUND($C$48*C57*D57,0)</f>
        <v>#DIV/0!</v>
      </c>
      <c r="C57" s="200">
        <f t="shared" ref="C57:C65" si="16">IF($C$55="北京市系数",I57,J57)</f>
        <v>0.6</v>
      </c>
      <c r="D57" s="1163">
        <v>0.25</v>
      </c>
      <c r="E57" s="694"/>
      <c r="F57" s="1102" t="e">
        <f t="shared" si="15"/>
        <v>#DIV/0!</v>
      </c>
      <c r="G57" s="3244" t="s">
        <v>2769</v>
      </c>
      <c r="H57" s="1103" t="str">
        <f>项目基本情况!B37</f>
        <v>八级</v>
      </c>
      <c r="I57" s="1107">
        <f>SUMIF(修正!A45:A56,H57,修正!B45:B56)</f>
        <v>0.6</v>
      </c>
      <c r="J57" s="1111"/>
      <c r="K57" s="1143"/>
      <c r="L57" s="940"/>
      <c r="M57" s="940"/>
      <c r="N57" s="940"/>
      <c r="O57" s="940"/>
    </row>
    <row r="58" spans="1:15" s="692" customFormat="1">
      <c r="A58" s="693" t="s">
        <v>2770</v>
      </c>
      <c r="B58" s="262" t="e">
        <f t="shared" ref="B58:B65" si="17">ROUND($C$48*C58*D58,0)</f>
        <v>#DIV/0!</v>
      </c>
      <c r="C58" s="200">
        <f t="shared" si="16"/>
        <v>0.3</v>
      </c>
      <c r="D58" s="1163">
        <v>0.25</v>
      </c>
      <c r="E58" s="694"/>
      <c r="F58" s="1102" t="e">
        <f t="shared" si="15"/>
        <v>#DIV/0!</v>
      </c>
      <c r="G58" s="3244"/>
      <c r="H58" s="1103" t="str">
        <f>项目基本情况!B37</f>
        <v>八级</v>
      </c>
      <c r="I58" s="1107">
        <f>SUMIF(修正!A45:A56,H58,修正!C45:C56)</f>
        <v>0.3</v>
      </c>
      <c r="J58" s="1111"/>
      <c r="K58" s="1144"/>
      <c r="L58" s="940"/>
      <c r="M58" s="940"/>
      <c r="N58" s="940"/>
      <c r="O58" s="940"/>
    </row>
    <row r="59" spans="1:15" s="692" customFormat="1">
      <c r="A59" s="693" t="s">
        <v>2771</v>
      </c>
      <c r="B59" s="262" t="e">
        <f t="shared" si="17"/>
        <v>#DIV/0!</v>
      </c>
      <c r="C59" s="200">
        <f t="shared" si="16"/>
        <v>0.2</v>
      </c>
      <c r="D59" s="1163">
        <v>0.25</v>
      </c>
      <c r="E59" s="694"/>
      <c r="F59" s="1102" t="e">
        <f t="shared" si="15"/>
        <v>#DIV/0!</v>
      </c>
      <c r="G59" s="3244"/>
      <c r="H59" s="1103" t="str">
        <f>项目基本情况!B37</f>
        <v>八级</v>
      </c>
      <c r="I59" s="1107">
        <f>SUMIF(修正!A45:A56,H59,修正!D45:D56)</f>
        <v>0.2</v>
      </c>
      <c r="J59" s="1111"/>
      <c r="K59" s="1143"/>
      <c r="L59" s="940"/>
      <c r="M59" s="940"/>
      <c r="N59" s="940"/>
      <c r="O59" s="940"/>
    </row>
    <row r="60" spans="1:15" s="692" customFormat="1">
      <c r="A60" s="693" t="s">
        <v>2772</v>
      </c>
      <c r="B60" s="262" t="e">
        <f t="shared" si="17"/>
        <v>#DIV/0!</v>
      </c>
      <c r="C60" s="200">
        <f t="shared" si="16"/>
        <v>0.2</v>
      </c>
      <c r="D60" s="1163">
        <v>0.25</v>
      </c>
      <c r="E60" s="694"/>
      <c r="F60" s="1102" t="e">
        <f t="shared" si="15"/>
        <v>#DIV/0!</v>
      </c>
      <c r="G60" s="3244"/>
      <c r="H60" s="1103" t="str">
        <f>项目基本情况!B37</f>
        <v>八级</v>
      </c>
      <c r="I60" s="1107">
        <f>SUMIF(修正!A45:A56,H60,修正!E45:E56)</f>
        <v>0.2</v>
      </c>
      <c r="J60" s="1111"/>
      <c r="K60" s="1144"/>
      <c r="L60" s="940"/>
      <c r="M60" s="940"/>
      <c r="N60" s="940"/>
      <c r="O60" s="940"/>
    </row>
    <row r="61" spans="1:15" s="692" customFormat="1">
      <c r="A61" s="693" t="s">
        <v>2773</v>
      </c>
      <c r="B61" s="262" t="e">
        <f t="shared" si="17"/>
        <v>#DIV/0!</v>
      </c>
      <c r="C61" s="200">
        <f t="shared" si="16"/>
        <v>0</v>
      </c>
      <c r="D61" s="1163">
        <v>0.25</v>
      </c>
      <c r="E61" s="261">
        <f>'数据-汇总表'!E11</f>
        <v>0</v>
      </c>
      <c r="F61" s="1102" t="e">
        <f t="shared" si="15"/>
        <v>#DIV/0!</v>
      </c>
      <c r="G61" s="2711" t="s">
        <v>2774</v>
      </c>
      <c r="H61" s="1103">
        <f>项目基本情况!C37</f>
        <v>0</v>
      </c>
      <c r="I61" s="1107">
        <f>SUMIF(修正!A45:A56,H61,修正!F45:F56)</f>
        <v>0</v>
      </c>
      <c r="J61" s="1111"/>
      <c r="K61" s="1143"/>
      <c r="L61" s="940"/>
      <c r="M61" s="940"/>
      <c r="N61" s="940"/>
      <c r="O61" s="940"/>
    </row>
    <row r="62" spans="1:15" s="692" customFormat="1">
      <c r="A62" s="693" t="s">
        <v>2775</v>
      </c>
      <c r="B62" s="262" t="e">
        <f t="shared" si="17"/>
        <v>#DIV/0!</v>
      </c>
      <c r="C62" s="200">
        <f t="shared" si="16"/>
        <v>0</v>
      </c>
      <c r="D62" s="1163">
        <v>0.25</v>
      </c>
      <c r="E62" s="261">
        <f>'数据-汇总表'!E12</f>
        <v>0</v>
      </c>
      <c r="F62" s="1102" t="e">
        <f t="shared" si="15"/>
        <v>#DIV/0!</v>
      </c>
      <c r="G62" s="1108" t="s">
        <v>2776</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2777</v>
      </c>
      <c r="B63" s="262" t="e">
        <f t="shared" si="17"/>
        <v>#DIV/0!</v>
      </c>
      <c r="C63" s="200">
        <f t="shared" si="16"/>
        <v>0</v>
      </c>
      <c r="D63" s="1163">
        <v>0.25</v>
      </c>
      <c r="E63" s="261">
        <f>'数据-汇总表'!E13</f>
        <v>0</v>
      </c>
      <c r="F63" s="1102" t="e">
        <f t="shared" si="15"/>
        <v>#DIV/0!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2779</v>
      </c>
      <c r="B64" s="262" t="e">
        <f t="shared" si="17"/>
        <v>#DIV/0!</v>
      </c>
      <c r="C64" s="200">
        <f t="shared" si="16"/>
        <v>0.15</v>
      </c>
      <c r="D64" s="1163">
        <v>0.25</v>
      </c>
      <c r="E64" s="261">
        <f>'数据-汇总表'!E14</f>
        <v>0</v>
      </c>
      <c r="F64" s="1102" t="e">
        <f t="shared" si="15"/>
        <v>#DIV/0!</v>
      </c>
      <c r="G64" s="2711" t="s">
        <v>2769</v>
      </c>
      <c r="H64" s="1103" t="str">
        <f>项目基本情况!B37</f>
        <v>八级</v>
      </c>
      <c r="I64" s="1107">
        <f>SUMIF(修正!A45:A56,H64,修正!H45:H56)</f>
        <v>0.15</v>
      </c>
      <c r="J64" s="1111"/>
      <c r="K64" s="1144"/>
      <c r="L64" s="940"/>
      <c r="M64" s="940"/>
      <c r="N64" s="940"/>
      <c r="O64" s="940"/>
    </row>
    <row r="65" spans="1:17" s="692" customFormat="1" ht="15" thickBot="1">
      <c r="A65" s="693" t="s">
        <v>2780</v>
      </c>
      <c r="B65" s="262" t="e">
        <f t="shared" si="17"/>
        <v>#DIV/0!</v>
      </c>
      <c r="C65" s="200">
        <f t="shared" si="16"/>
        <v>0</v>
      </c>
      <c r="D65" s="1163">
        <v>0.25</v>
      </c>
      <c r="E65" s="261">
        <f>'数据-汇总表'!E15</f>
        <v>0</v>
      </c>
      <c r="F65" s="1102" t="e">
        <f t="shared" si="15"/>
        <v>#DIV/0!</v>
      </c>
      <c r="G65" s="2712" t="s">
        <v>2774</v>
      </c>
      <c r="H65" s="1113">
        <f>项目基本情况!C37</f>
        <v>0</v>
      </c>
      <c r="I65" s="1109">
        <f>SUMIF(修正!A45:A56,H65,修正!H45:H56)</f>
        <v>0</v>
      </c>
      <c r="J65" s="1112"/>
      <c r="K65" s="1143"/>
      <c r="L65" s="940"/>
      <c r="M65" s="940"/>
      <c r="N65" s="940"/>
      <c r="O65" s="940"/>
    </row>
    <row r="66" spans="1:17" s="692" customFormat="1" ht="13.5" thickBot="1">
      <c r="A66" s="695" t="s">
        <v>2781</v>
      </c>
      <c r="B66" s="696" t="s">
        <v>28</v>
      </c>
      <c r="C66" s="696" t="s">
        <v>29</v>
      </c>
      <c r="D66" s="696" t="s">
        <v>1026</v>
      </c>
      <c r="E66" s="696">
        <f>IF(B46="楼面地价",SUM(E56:E65),'数据-汇总表'!D3)</f>
        <v>81.84</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2674</v>
      </c>
      <c r="B69" s="758"/>
      <c r="C69" s="763"/>
      <c r="D69" s="763"/>
      <c r="E69" s="763"/>
      <c r="F69" s="764"/>
      <c r="G69" s="764"/>
      <c r="H69" s="763"/>
      <c r="I69" s="763"/>
      <c r="J69" s="1158"/>
      <c r="K69" s="1159"/>
      <c r="L69" s="1160"/>
      <c r="M69" s="1158"/>
      <c r="N69" s="1158"/>
      <c r="O69" s="1158"/>
      <c r="P69" s="503"/>
      <c r="Q69" s="504"/>
    </row>
    <row r="70" spans="1:17" s="508" customFormat="1" ht="15">
      <c r="A70" s="271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1"/>
      <c r="P72" s="504"/>
      <c r="Q72" s="504"/>
    </row>
    <row r="73" spans="1:17" s="117" customFormat="1" ht="15">
      <c r="A73" s="521" t="s">
        <v>2550</v>
      </c>
      <c r="B73" s="510"/>
      <c r="C73" s="522" t="s">
        <v>2652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2588</v>
      </c>
      <c r="B75" s="528" t="s">
        <v>2554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184" t="s">
        <v>2647</v>
      </c>
      <c r="S4" s="3185"/>
      <c r="T4" s="3184" t="s">
        <v>2648</v>
      </c>
      <c r="U4" s="3185"/>
      <c r="V4" s="3209" t="s">
        <v>2649</v>
      </c>
      <c r="W4" s="3209"/>
      <c r="X4" s="1811"/>
      <c r="Y4" s="3184" t="s">
        <v>2651</v>
      </c>
      <c r="Z4" s="3185"/>
      <c r="AA4" s="3179" t="s">
        <v>2647</v>
      </c>
      <c r="AB4" s="3180" t="s">
        <v>2648</v>
      </c>
      <c r="AC4" s="3179" t="s">
        <v>2649</v>
      </c>
    </row>
    <row r="5" spans="1:29" ht="15">
      <c r="A5" s="404"/>
      <c r="B5" s="405"/>
      <c r="C5" s="3190" t="s">
        <v>2542</v>
      </c>
      <c r="D5" s="3191"/>
      <c r="E5" s="3188" t="s">
        <v>2543</v>
      </c>
      <c r="F5" s="3189"/>
      <c r="G5" s="3190" t="s">
        <v>2544</v>
      </c>
      <c r="H5" s="3191"/>
      <c r="I5" s="3190" t="s">
        <v>2545</v>
      </c>
      <c r="J5" s="3191"/>
      <c r="K5" s="610"/>
      <c r="L5" s="1129"/>
      <c r="M5" s="1130"/>
      <c r="N5" s="1130"/>
      <c r="O5" s="1130"/>
      <c r="P5" s="3203"/>
      <c r="Q5" s="3204"/>
      <c r="R5" s="3186"/>
      <c r="S5" s="3187"/>
      <c r="T5" s="3186"/>
      <c r="U5" s="3187"/>
      <c r="V5" s="3209"/>
      <c r="W5" s="3209"/>
      <c r="X5" s="1811"/>
      <c r="Y5" s="3186"/>
      <c r="Z5" s="3187"/>
      <c r="AA5" s="3180"/>
      <c r="AB5" s="3180"/>
      <c r="AC5" s="3180"/>
    </row>
    <row r="6" spans="1:29" ht="15.75" thickBot="1">
      <c r="A6" s="406"/>
      <c r="B6" s="407"/>
      <c r="C6" s="3245" t="s">
        <v>2797</v>
      </c>
      <c r="D6" s="3246"/>
      <c r="E6" s="3247" t="s">
        <v>2797</v>
      </c>
      <c r="F6" s="3248"/>
      <c r="G6" s="3245" t="s">
        <v>2797</v>
      </c>
      <c r="H6" s="3246"/>
      <c r="I6" s="3245" t="s">
        <v>2797</v>
      </c>
      <c r="J6" s="3246"/>
      <c r="K6" s="610" t="s">
        <v>2547</v>
      </c>
      <c r="L6" s="1129"/>
      <c r="M6" s="1130"/>
      <c r="N6" s="1130"/>
      <c r="O6" s="1130"/>
      <c r="P6" s="3205"/>
      <c r="Q6" s="3206"/>
      <c r="R6" s="3186"/>
      <c r="S6" s="3187"/>
      <c r="T6" s="3207"/>
      <c r="U6" s="3208"/>
      <c r="V6" s="3209"/>
      <c r="W6" s="3209"/>
      <c r="X6" s="1811"/>
      <c r="Y6" s="3207"/>
      <c r="Z6" s="3208"/>
      <c r="AA6" s="3181"/>
      <c r="AB6" s="3181"/>
      <c r="AC6" s="3181"/>
    </row>
    <row r="7" spans="1:29" s="117" customFormat="1" ht="15.75" thickBot="1">
      <c r="A7" s="408" t="s">
        <v>2548</v>
      </c>
      <c r="B7" s="409"/>
      <c r="C7" s="410">
        <f>'数据-取费表'!B2</f>
        <v>43643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182" t="s">
        <v>2549</v>
      </c>
      <c r="Q7" s="3210"/>
      <c r="R7" s="769" t="s">
        <v>17</v>
      </c>
      <c r="S7" s="770">
        <f t="shared" ref="S7:S15" si="0">F7</f>
        <v>0</v>
      </c>
      <c r="T7" s="769" t="s">
        <v>17</v>
      </c>
      <c r="U7" s="770">
        <f t="shared" ref="U7:U15" si="1">H7</f>
        <v>0</v>
      </c>
      <c r="V7" s="769" t="s">
        <v>17</v>
      </c>
      <c r="W7" s="770">
        <f t="shared" ref="W7:W15" si="2">J7</f>
        <v>0</v>
      </c>
      <c r="X7" s="771"/>
      <c r="Y7" s="3182" t="s">
        <v>2549</v>
      </c>
      <c r="Z7" s="3183"/>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82" t="s">
        <v>2552</v>
      </c>
      <c r="Q8" s="3183"/>
      <c r="R8" s="769" t="s">
        <v>17</v>
      </c>
      <c r="S8" s="770">
        <f t="shared" si="0"/>
        <v>0</v>
      </c>
      <c r="T8" s="769" t="s">
        <v>17</v>
      </c>
      <c r="U8" s="770">
        <f t="shared" si="1"/>
        <v>0</v>
      </c>
      <c r="V8" s="769" t="s">
        <v>17</v>
      </c>
      <c r="W8" s="770">
        <f t="shared" si="2"/>
        <v>0</v>
      </c>
      <c r="X8" s="771"/>
      <c r="Y8" s="3182" t="s">
        <v>2552</v>
      </c>
      <c r="Z8" s="3183"/>
      <c r="AA8" s="772" t="e">
        <f t="shared" ref="AA8:AA40" si="3">D8/F8</f>
        <v>#DIV/0!</v>
      </c>
      <c r="AB8" s="772" t="e">
        <f t="shared" ref="AB8:AB40" si="4">D8/H8</f>
        <v>#DIV/0!</v>
      </c>
      <c r="AC8" s="772"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14" t="s">
        <v>2555</v>
      </c>
      <c r="Q9" s="1793" t="str">
        <f t="shared" ref="Q9:Q15" si="6">B9</f>
        <v>用途</v>
      </c>
      <c r="R9" s="769" t="s">
        <v>17</v>
      </c>
      <c r="S9" s="770">
        <f t="shared" si="0"/>
        <v>100</v>
      </c>
      <c r="T9" s="769" t="s">
        <v>17</v>
      </c>
      <c r="U9" s="770">
        <f t="shared" si="1"/>
        <v>100</v>
      </c>
      <c r="V9" s="769" t="s">
        <v>17</v>
      </c>
      <c r="W9" s="770">
        <f t="shared" si="2"/>
        <v>100</v>
      </c>
      <c r="X9" s="771"/>
      <c r="Y9" s="3029" t="s">
        <v>2556</v>
      </c>
      <c r="Z9" s="55" t="str">
        <f t="shared" ref="Z9:Z15" si="7">Q9</f>
        <v>用途</v>
      </c>
      <c r="AA9" s="772">
        <f t="shared" si="3"/>
        <v>1</v>
      </c>
      <c r="AB9" s="772">
        <f t="shared" si="4"/>
        <v>1</v>
      </c>
      <c r="AC9" s="772">
        <f t="shared" si="5"/>
        <v>1</v>
      </c>
    </row>
    <row r="10" spans="1:29" s="427" customFormat="1" ht="27">
      <c r="A10" s="421"/>
      <c r="B10" s="422" t="s">
        <v>2557</v>
      </c>
      <c r="C10" s="432"/>
      <c r="D10" s="136">
        <v>100</v>
      </c>
      <c r="E10" s="432"/>
      <c r="F10" s="136">
        <f>ROUND(100/'数据-取费表'!G16,0)</f>
        <v>114</v>
      </c>
      <c r="G10" s="432"/>
      <c r="H10" s="136">
        <f>ROUND(100/'数据-取费表'!G16,0)</f>
        <v>114</v>
      </c>
      <c r="I10" s="432"/>
      <c r="J10" s="136">
        <f>ROUND(100/'数据-取费表'!G16,0)</f>
        <v>114</v>
      </c>
      <c r="K10" s="672"/>
      <c r="L10" s="1134"/>
      <c r="M10" s="1135"/>
      <c r="N10" s="1135"/>
      <c r="O10" s="1136"/>
      <c r="P10" s="3214"/>
      <c r="Q10" s="1793" t="str">
        <f t="shared" si="6"/>
        <v>土地使用年限（年）</v>
      </c>
      <c r="R10" s="769" t="s">
        <v>17</v>
      </c>
      <c r="S10" s="770">
        <f t="shared" si="0"/>
        <v>114</v>
      </c>
      <c r="T10" s="769" t="s">
        <v>17</v>
      </c>
      <c r="U10" s="770">
        <f t="shared" si="1"/>
        <v>114</v>
      </c>
      <c r="V10" s="769" t="s">
        <v>17</v>
      </c>
      <c r="W10" s="770">
        <f t="shared" si="2"/>
        <v>114</v>
      </c>
      <c r="X10" s="771"/>
      <c r="Y10" s="3029"/>
      <c r="Z10" s="55" t="str">
        <f t="shared" si="7"/>
        <v>土地使用年限（年）</v>
      </c>
      <c r="AA10" s="772">
        <f t="shared" si="3"/>
        <v>0.8771929824561403</v>
      </c>
      <c r="AB10" s="772">
        <f t="shared" si="4"/>
        <v>0.8771929824561403</v>
      </c>
      <c r="AC10" s="772">
        <f t="shared" si="5"/>
        <v>0.8771929824561403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4"/>
      <c r="Q11" s="1793"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4"/>
      <c r="Q12" s="1793">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4"/>
      <c r="Q13" s="1793">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4"/>
      <c r="Q14" s="1793">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16" t="s">
        <v>2560</v>
      </c>
      <c r="Q15" s="1808" t="str">
        <f t="shared" si="6"/>
        <v>产业集聚程度</v>
      </c>
      <c r="R15" s="773" t="s">
        <v>17</v>
      </c>
      <c r="S15" s="774">
        <f t="shared" si="0"/>
        <v>100</v>
      </c>
      <c r="T15" s="773" t="s">
        <v>17</v>
      </c>
      <c r="U15" s="774">
        <f t="shared" si="1"/>
        <v>100</v>
      </c>
      <c r="V15" s="773" t="s">
        <v>17</v>
      </c>
      <c r="W15" s="774">
        <f t="shared" si="2"/>
        <v>100</v>
      </c>
      <c r="X15" s="1811"/>
      <c r="Y15" s="3216" t="s">
        <v>2560</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39"/>
      <c r="M16" s="1130"/>
      <c r="N16" s="1130"/>
      <c r="O16" s="1138"/>
      <c r="P16" s="3217"/>
      <c r="Q16" s="1808"/>
      <c r="R16" s="773"/>
      <c r="S16" s="774"/>
      <c r="T16" s="773"/>
      <c r="U16" s="774"/>
      <c r="V16" s="773"/>
      <c r="W16" s="774"/>
      <c r="X16" s="1811"/>
      <c r="Y16" s="3217"/>
      <c r="Z16" s="1812"/>
      <c r="AA16" s="1809">
        <v>1</v>
      </c>
      <c r="AB16" s="1809">
        <v>1</v>
      </c>
      <c r="AC16" s="1809">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7"/>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39"/>
      <c r="M18" s="1130"/>
      <c r="N18" s="1130"/>
      <c r="O18" s="1138"/>
      <c r="P18" s="3217"/>
      <c r="Q18" s="1808"/>
      <c r="R18" s="773"/>
      <c r="S18" s="774"/>
      <c r="T18" s="773"/>
      <c r="U18" s="774"/>
      <c r="V18" s="773"/>
      <c r="W18" s="774"/>
      <c r="X18" s="1811"/>
      <c r="Y18" s="3217"/>
      <c r="Z18" s="1812"/>
      <c r="AA18" s="1809">
        <v>1</v>
      </c>
      <c r="AB18" s="1809">
        <v>1</v>
      </c>
      <c r="AC18" s="1809">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7"/>
      <c r="Q19" s="1808" t="str">
        <f t="shared" ref="Q19:Q33" si="8">B19</f>
        <v>区域土地利用方向</v>
      </c>
      <c r="R19" s="773" t="s">
        <v>17</v>
      </c>
      <c r="S19" s="774">
        <f>F19</f>
        <v>100</v>
      </c>
      <c r="T19" s="773" t="s">
        <v>17</v>
      </c>
      <c r="U19" s="774">
        <f>H19</f>
        <v>100</v>
      </c>
      <c r="V19" s="773" t="s">
        <v>17</v>
      </c>
      <c r="W19" s="774">
        <f>J19</f>
        <v>100</v>
      </c>
      <c r="X19" s="1811"/>
      <c r="Y19" s="3217"/>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1"/>
      <c r="L20" s="1139"/>
      <c r="M20" s="1130"/>
      <c r="N20" s="1130"/>
      <c r="O20" s="1138"/>
      <c r="P20" s="3217"/>
      <c r="Q20" s="1808"/>
      <c r="R20" s="773"/>
      <c r="S20" s="774"/>
      <c r="T20" s="773"/>
      <c r="U20" s="774"/>
      <c r="V20" s="773"/>
      <c r="W20" s="774"/>
      <c r="X20" s="1811"/>
      <c r="Y20" s="3217"/>
      <c r="Z20" s="1812"/>
      <c r="AA20" s="1809"/>
      <c r="AB20" s="1809"/>
      <c r="AC20" s="1809"/>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7"/>
      <c r="Q21" s="1808" t="str">
        <f t="shared" si="8"/>
        <v>环境状况</v>
      </c>
      <c r="R21" s="773" t="s">
        <v>17</v>
      </c>
      <c r="S21" s="774">
        <f>F21</f>
        <v>100</v>
      </c>
      <c r="T21" s="773" t="s">
        <v>17</v>
      </c>
      <c r="U21" s="774">
        <f>H21</f>
        <v>100</v>
      </c>
      <c r="V21" s="773" t="s">
        <v>17</v>
      </c>
      <c r="W21" s="774">
        <f>J21</f>
        <v>100</v>
      </c>
      <c r="X21" s="1811"/>
      <c r="Y21" s="3217"/>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39"/>
      <c r="M22" s="1130"/>
      <c r="N22" s="1130"/>
      <c r="O22" s="1138"/>
      <c r="P22" s="3217"/>
      <c r="Q22" s="1808"/>
      <c r="R22" s="773"/>
      <c r="S22" s="774"/>
      <c r="T22" s="773"/>
      <c r="U22" s="774"/>
      <c r="V22" s="773"/>
      <c r="W22" s="774"/>
      <c r="X22" s="1811"/>
      <c r="Y22" s="3217"/>
      <c r="Z22" s="1812"/>
      <c r="AA22" s="1809">
        <v>1</v>
      </c>
      <c r="AB22" s="1809">
        <v>1</v>
      </c>
      <c r="AC22" s="1809">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7"/>
      <c r="Q23" s="1793" t="str">
        <f t="shared" si="8"/>
        <v>公共配套设施</v>
      </c>
      <c r="R23" s="769" t="s">
        <v>17</v>
      </c>
      <c r="S23" s="770">
        <f>F23</f>
        <v>100</v>
      </c>
      <c r="T23" s="769" t="s">
        <v>17</v>
      </c>
      <c r="U23" s="770">
        <f>H23</f>
        <v>100</v>
      </c>
      <c r="V23" s="769" t="s">
        <v>17</v>
      </c>
      <c r="W23" s="770">
        <f>J23</f>
        <v>100</v>
      </c>
      <c r="X23" s="771"/>
      <c r="Y23" s="3217"/>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1"/>
      <c r="M24" s="1132"/>
      <c r="N24" s="1132"/>
      <c r="O24" s="1133"/>
      <c r="P24" s="3217"/>
      <c r="Q24" s="1793"/>
      <c r="R24" s="769"/>
      <c r="S24" s="770"/>
      <c r="T24" s="769"/>
      <c r="U24" s="770"/>
      <c r="V24" s="769"/>
      <c r="W24" s="770"/>
      <c r="X24" s="771"/>
      <c r="Y24" s="3217"/>
      <c r="Z24" s="55"/>
      <c r="AA24" s="772">
        <v>1</v>
      </c>
      <c r="AB24" s="772">
        <v>1</v>
      </c>
      <c r="AC24" s="772">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7"/>
      <c r="Q25" s="1793" t="str">
        <f t="shared" ref="Q25" si="9">B25</f>
        <v>基础设施水平</v>
      </c>
      <c r="R25" s="769" t="s">
        <v>17</v>
      </c>
      <c r="S25" s="770">
        <f>F25</f>
        <v>100</v>
      </c>
      <c r="T25" s="769" t="s">
        <v>17</v>
      </c>
      <c r="U25" s="770">
        <f>H25</f>
        <v>100</v>
      </c>
      <c r="V25" s="769" t="s">
        <v>17</v>
      </c>
      <c r="W25" s="770">
        <f>J25</f>
        <v>100</v>
      </c>
      <c r="X25" s="771"/>
      <c r="Y25" s="3217"/>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1"/>
      <c r="M26" s="1132"/>
      <c r="N26" s="1132"/>
      <c r="O26" s="1133"/>
      <c r="P26" s="3217"/>
      <c r="Q26" s="1793"/>
      <c r="R26" s="769"/>
      <c r="S26" s="770"/>
      <c r="T26" s="769"/>
      <c r="U26" s="770"/>
      <c r="V26" s="769"/>
      <c r="W26" s="770"/>
      <c r="X26" s="771"/>
      <c r="Y26" s="3217"/>
      <c r="Z26" s="55"/>
      <c r="AA26" s="772">
        <v>1</v>
      </c>
      <c r="AB26" s="772">
        <v>1</v>
      </c>
      <c r="AC26" s="772">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7"/>
      <c r="Z27" s="1812" t="str">
        <f t="shared" ref="Z27:Z40" si="13">Q27</f>
        <v>临街状况</v>
      </c>
      <c r="AA27" s="1809">
        <f t="shared" si="3"/>
        <v>1</v>
      </c>
      <c r="AB27" s="1809">
        <f t="shared" si="4"/>
        <v>1</v>
      </c>
      <c r="AC27" s="1809">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7"/>
      <c r="Q28" s="1808" t="str">
        <f t="shared" si="8"/>
        <v>毗邻道路的类型与等级</v>
      </c>
      <c r="R28" s="773" t="s">
        <v>17</v>
      </c>
      <c r="S28" s="774">
        <f t="shared" si="10"/>
        <v>100</v>
      </c>
      <c r="T28" s="773" t="s">
        <v>17</v>
      </c>
      <c r="U28" s="774">
        <f t="shared" si="11"/>
        <v>100</v>
      </c>
      <c r="V28" s="773" t="s">
        <v>17</v>
      </c>
      <c r="W28" s="774">
        <f t="shared" si="12"/>
        <v>100</v>
      </c>
      <c r="X28" s="1811"/>
      <c r="Y28" s="3217"/>
      <c r="Z28" s="1812" t="str">
        <f t="shared" si="13"/>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39"/>
      <c r="M29" s="1130"/>
      <c r="N29" s="1130"/>
      <c r="O29" s="1138"/>
      <c r="P29" s="3217"/>
      <c r="Q29" s="1808"/>
      <c r="R29" s="773"/>
      <c r="S29" s="774"/>
      <c r="T29" s="773"/>
      <c r="U29" s="774"/>
      <c r="V29" s="773"/>
      <c r="W29" s="774"/>
      <c r="X29" s="1811"/>
      <c r="Y29" s="3217"/>
      <c r="Z29" s="1812"/>
      <c r="AA29" s="1809">
        <v>1</v>
      </c>
      <c r="AB29" s="1809">
        <v>1</v>
      </c>
      <c r="AC29" s="1809">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7"/>
      <c r="Q30" s="1808" t="str">
        <f t="shared" si="8"/>
        <v>土地级别</v>
      </c>
      <c r="R30" s="773" t="s">
        <v>17</v>
      </c>
      <c r="S30" s="774">
        <f t="shared" si="10"/>
        <v>100</v>
      </c>
      <c r="T30" s="773" t="s">
        <v>17</v>
      </c>
      <c r="U30" s="774">
        <f t="shared" si="11"/>
        <v>100</v>
      </c>
      <c r="V30" s="773" t="s">
        <v>17</v>
      </c>
      <c r="W30" s="774">
        <f t="shared" si="12"/>
        <v>100</v>
      </c>
      <c r="X30" s="1811"/>
      <c r="Y30" s="3217"/>
      <c r="Z30" s="1812" t="str">
        <f t="shared" si="13"/>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7"/>
      <c r="Q31" s="1808">
        <f t="shared" si="8"/>
        <v>111</v>
      </c>
      <c r="R31" s="773" t="s">
        <v>17</v>
      </c>
      <c r="S31" s="774">
        <f t="shared" si="10"/>
        <v>100</v>
      </c>
      <c r="T31" s="773" t="s">
        <v>17</v>
      </c>
      <c r="U31" s="774">
        <f t="shared" si="11"/>
        <v>100</v>
      </c>
      <c r="V31" s="773" t="s">
        <v>17</v>
      </c>
      <c r="W31" s="774">
        <f t="shared" si="12"/>
        <v>100</v>
      </c>
      <c r="X31" s="1811"/>
      <c r="Y31" s="3217"/>
      <c r="Z31" s="1812">
        <f t="shared" si="13"/>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0" t="s">
        <v>2565</v>
      </c>
      <c r="Q32" s="1808">
        <f t="shared" si="8"/>
        <v>111</v>
      </c>
      <c r="R32" s="773" t="s">
        <v>17</v>
      </c>
      <c r="S32" s="774">
        <f t="shared" si="10"/>
        <v>100</v>
      </c>
      <c r="T32" s="773" t="s">
        <v>17</v>
      </c>
      <c r="U32" s="774">
        <f t="shared" si="11"/>
        <v>100</v>
      </c>
      <c r="V32" s="773" t="s">
        <v>17</v>
      </c>
      <c r="W32" s="774">
        <f t="shared" si="12"/>
        <v>100</v>
      </c>
      <c r="X32" s="1811"/>
      <c r="Y32" s="3221" t="s">
        <v>2565</v>
      </c>
      <c r="Z32" s="1812">
        <f t="shared" si="13"/>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1"/>
      <c r="Q33" s="1808">
        <f t="shared" si="8"/>
        <v>111</v>
      </c>
      <c r="R33" s="776" t="s">
        <v>17</v>
      </c>
      <c r="S33" s="777">
        <f t="shared" si="10"/>
        <v>100</v>
      </c>
      <c r="T33" s="776" t="s">
        <v>17</v>
      </c>
      <c r="U33" s="777">
        <f t="shared" si="11"/>
        <v>100</v>
      </c>
      <c r="V33" s="776" t="s">
        <v>17</v>
      </c>
      <c r="W33" s="777">
        <f t="shared" si="12"/>
        <v>100</v>
      </c>
      <c r="X33" s="778"/>
      <c r="Y33" s="3221"/>
      <c r="Z33" s="779">
        <f t="shared" si="13"/>
        <v>111</v>
      </c>
      <c r="AA33" s="1809">
        <f t="shared" si="3"/>
        <v>1</v>
      </c>
      <c r="AB33" s="1809">
        <f t="shared" si="4"/>
        <v>1</v>
      </c>
      <c r="AC33" s="1809">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1"/>
      <c r="Q34" s="1808" t="str">
        <f>B34</f>
        <v>宗地面积</v>
      </c>
      <c r="R34" s="773" t="s">
        <v>17</v>
      </c>
      <c r="S34" s="774" t="e">
        <f t="shared" si="10"/>
        <v>#N/A</v>
      </c>
      <c r="T34" s="773" t="s">
        <v>17</v>
      </c>
      <c r="U34" s="774" t="e">
        <f t="shared" si="11"/>
        <v>#N/A</v>
      </c>
      <c r="V34" s="773" t="s">
        <v>17</v>
      </c>
      <c r="W34" s="774" t="e">
        <f t="shared" si="12"/>
        <v>#N/A</v>
      </c>
      <c r="X34" s="1811"/>
      <c r="Y34" s="3221"/>
      <c r="Z34" s="1812" t="str">
        <f t="shared" si="13"/>
        <v>宗地面积</v>
      </c>
      <c r="AA34" s="1809" t="e">
        <f t="shared" si="3"/>
        <v>#N/A</v>
      </c>
      <c r="AB34" s="1809" t="e">
        <f t="shared" si="4"/>
        <v>#N/A</v>
      </c>
      <c r="AC34" s="1809"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21"/>
      <c r="Q35" s="1808" t="str">
        <f t="shared" ref="Q35:Q40" si="14">B35</f>
        <v>宗地形状</v>
      </c>
      <c r="R35" s="773" t="s">
        <v>17</v>
      </c>
      <c r="S35" s="774">
        <f t="shared" si="10"/>
        <v>100</v>
      </c>
      <c r="T35" s="773" t="s">
        <v>17</v>
      </c>
      <c r="U35" s="774">
        <f t="shared" si="11"/>
        <v>100</v>
      </c>
      <c r="V35" s="773" t="s">
        <v>17</v>
      </c>
      <c r="W35" s="774">
        <f t="shared" si="12"/>
        <v>100</v>
      </c>
      <c r="X35" s="1811"/>
      <c r="Y35" s="3221"/>
      <c r="Z35" s="1812" t="str">
        <f t="shared" si="13"/>
        <v>宗地形状</v>
      </c>
      <c r="AA35" s="1809">
        <f t="shared" si="3"/>
        <v>1</v>
      </c>
      <c r="AB35" s="1809">
        <f t="shared" si="4"/>
        <v>1</v>
      </c>
      <c r="AC35" s="1809">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21"/>
      <c r="Q36" s="1808" t="str">
        <f t="shared" si="14"/>
        <v>宗地开发程度</v>
      </c>
      <c r="R36" s="769" t="s">
        <v>17</v>
      </c>
      <c r="S36" s="770">
        <f t="shared" si="10"/>
        <v>100</v>
      </c>
      <c r="T36" s="769" t="s">
        <v>17</v>
      </c>
      <c r="U36" s="770">
        <f t="shared" si="11"/>
        <v>100</v>
      </c>
      <c r="V36" s="769" t="s">
        <v>17</v>
      </c>
      <c r="W36" s="770">
        <f t="shared" si="12"/>
        <v>100</v>
      </c>
      <c r="X36" s="771"/>
      <c r="Y36" s="3221"/>
      <c r="Z36" s="55" t="str">
        <f t="shared" si="13"/>
        <v>宗地开发程度</v>
      </c>
      <c r="AA36" s="772">
        <f t="shared" si="3"/>
        <v>1</v>
      </c>
      <c r="AB36" s="772">
        <f t="shared" si="4"/>
        <v>1</v>
      </c>
      <c r="AC36" s="772">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21" t="s">
        <v>2565</v>
      </c>
      <c r="Q37" s="1808" t="str">
        <f t="shared" si="14"/>
        <v>工程地质条件</v>
      </c>
      <c r="R37" s="773" t="s">
        <v>17</v>
      </c>
      <c r="S37" s="774">
        <f t="shared" si="10"/>
        <v>100</v>
      </c>
      <c r="T37" s="773" t="s">
        <v>17</v>
      </c>
      <c r="U37" s="774">
        <f t="shared" si="11"/>
        <v>100</v>
      </c>
      <c r="V37" s="773" t="s">
        <v>17</v>
      </c>
      <c r="W37" s="774">
        <f t="shared" si="12"/>
        <v>100</v>
      </c>
      <c r="X37" s="1811"/>
      <c r="Y37" s="3221" t="s">
        <v>2565</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1"/>
      <c r="Q38" s="1808">
        <f t="shared" si="14"/>
        <v>111</v>
      </c>
      <c r="R38" s="773" t="s">
        <v>17</v>
      </c>
      <c r="S38" s="774">
        <f t="shared" si="10"/>
        <v>100</v>
      </c>
      <c r="T38" s="773" t="s">
        <v>17</v>
      </c>
      <c r="U38" s="774">
        <f t="shared" si="11"/>
        <v>100</v>
      </c>
      <c r="V38" s="773" t="s">
        <v>17</v>
      </c>
      <c r="W38" s="774">
        <f t="shared" si="12"/>
        <v>100</v>
      </c>
      <c r="X38" s="1811"/>
      <c r="Y38" s="3221"/>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1"/>
      <c r="Q39" s="1808">
        <f t="shared" si="14"/>
        <v>111</v>
      </c>
      <c r="R39" s="773" t="s">
        <v>17</v>
      </c>
      <c r="S39" s="774">
        <f t="shared" si="10"/>
        <v>100</v>
      </c>
      <c r="T39" s="773" t="s">
        <v>17</v>
      </c>
      <c r="U39" s="774">
        <f t="shared" si="11"/>
        <v>100</v>
      </c>
      <c r="V39" s="773" t="s">
        <v>17</v>
      </c>
      <c r="W39" s="774">
        <f t="shared" si="12"/>
        <v>100</v>
      </c>
      <c r="X39" s="1811"/>
      <c r="Y39" s="3221"/>
      <c r="Z39" s="1812">
        <f t="shared" si="13"/>
        <v>111</v>
      </c>
      <c r="AA39" s="1809">
        <f t="shared" si="3"/>
        <v>1</v>
      </c>
      <c r="AB39" s="1809">
        <f t="shared" si="4"/>
        <v>1</v>
      </c>
      <c r="AC39" s="1809">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1"/>
      <c r="Q40" s="1808">
        <f t="shared" si="14"/>
        <v>111</v>
      </c>
      <c r="R40" s="776" t="s">
        <v>17</v>
      </c>
      <c r="S40" s="777">
        <f t="shared" si="10"/>
        <v>100</v>
      </c>
      <c r="T40" s="776" t="s">
        <v>17</v>
      </c>
      <c r="U40" s="777">
        <f t="shared" si="11"/>
        <v>100</v>
      </c>
      <c r="V40" s="776" t="s">
        <v>17</v>
      </c>
      <c r="W40" s="777">
        <f t="shared" si="12"/>
        <v>100</v>
      </c>
      <c r="X40" s="778"/>
      <c r="Y40" s="3221"/>
      <c r="Z40" s="779">
        <f t="shared" si="13"/>
        <v>111</v>
      </c>
      <c r="AA40" s="1809">
        <f t="shared" si="3"/>
        <v>1</v>
      </c>
      <c r="AB40" s="1809">
        <f t="shared" si="4"/>
        <v>1</v>
      </c>
      <c r="AC40" s="1809">
        <f t="shared" si="5"/>
        <v>1</v>
      </c>
    </row>
    <row r="41" spans="1:29" ht="15">
      <c r="A41" s="479" t="s">
        <v>2720</v>
      </c>
      <c r="B41" s="2706" t="s">
        <v>2800</v>
      </c>
      <c r="C41" s="682" t="s">
        <v>1</v>
      </c>
      <c r="D41" s="481"/>
      <c r="E41" s="482"/>
      <c r="F41" s="483"/>
      <c r="G41" s="484"/>
      <c r="H41" s="485"/>
      <c r="I41" s="482"/>
      <c r="J41" s="485"/>
      <c r="K41" s="782"/>
      <c r="L41" s="1142"/>
      <c r="M41" s="1130"/>
      <c r="N41" s="1130"/>
      <c r="O41" s="1143"/>
      <c r="P41" s="3214" t="str">
        <f>A41</f>
        <v>成交单价</v>
      </c>
      <c r="Q41" s="3214"/>
      <c r="R41" s="3209">
        <f>E41</f>
        <v>0</v>
      </c>
      <c r="S41" s="3209"/>
      <c r="T41" s="3209">
        <f>G41</f>
        <v>0</v>
      </c>
      <c r="U41" s="3209"/>
      <c r="V41" s="3209">
        <f>I41</f>
        <v>0</v>
      </c>
      <c r="W41" s="3209"/>
      <c r="X41" s="758"/>
      <c r="Y41" s="780"/>
      <c r="Z41" s="758"/>
      <c r="AA41" s="758"/>
      <c r="AB41" s="758"/>
      <c r="AC41" s="758"/>
    </row>
    <row r="42" spans="1:29" ht="15.75" thickBot="1">
      <c r="A42" s="486" t="s">
        <v>2669</v>
      </c>
      <c r="B42" s="683"/>
      <c r="C42" s="490" t="e">
        <f>R43</f>
        <v>#DIV/0!</v>
      </c>
      <c r="D42" s="489"/>
      <c r="E42" s="490" t="e">
        <f>R42</f>
        <v>#DIV/0!</v>
      </c>
      <c r="F42" s="491"/>
      <c r="G42" s="488" t="e">
        <f>T42</f>
        <v>#DIV/0!</v>
      </c>
      <c r="H42" s="489"/>
      <c r="I42" s="490" t="e">
        <f>V42</f>
        <v>#DIV/0!</v>
      </c>
      <c r="J42" s="489"/>
      <c r="K42" s="783"/>
      <c r="L42" s="1142"/>
      <c r="M42" s="1130"/>
      <c r="N42" s="1130"/>
      <c r="O42" s="1143"/>
      <c r="P42" s="3214" t="str">
        <f>A42</f>
        <v>比较价值（元/平方米）</v>
      </c>
      <c r="Q42" s="3214"/>
      <c r="R42" s="3241" t="e">
        <f>ROUND(PRODUCT(R41,AA7:AA40),0)</f>
        <v>#DIV/0!</v>
      </c>
      <c r="S42" s="3241"/>
      <c r="T42" s="3241" t="e">
        <f>ROUND(PRODUCT(T41,AB7:AB40),0)</f>
        <v>#DIV/0!</v>
      </c>
      <c r="U42" s="3241"/>
      <c r="V42" s="3241" t="e">
        <f>ROUND(PRODUCT(V41,AC7:AC40),0)</f>
        <v>#DIV/0!</v>
      </c>
      <c r="W42" s="3241"/>
      <c r="X42" s="758"/>
      <c r="Y42" s="758"/>
      <c r="Z42" s="758"/>
      <c r="AA42" s="758"/>
      <c r="AB42" s="758"/>
      <c r="AC42" s="758"/>
    </row>
    <row r="43" spans="1:29" ht="15.75" thickBot="1">
      <c r="A43" s="492" t="s">
        <v>2670</v>
      </c>
      <c r="B43" s="493"/>
      <c r="C43" s="494" t="e">
        <f>R43</f>
        <v>#DIV/0!</v>
      </c>
      <c r="D43" s="494"/>
      <c r="E43" s="494"/>
      <c r="F43" s="494"/>
      <c r="G43" s="494"/>
      <c r="H43" s="494"/>
      <c r="I43" s="494"/>
      <c r="J43" s="494"/>
      <c r="K43" s="784"/>
      <c r="L43" s="1142"/>
      <c r="M43" s="1130"/>
      <c r="N43" s="1130"/>
      <c r="O43" s="1143"/>
      <c r="P43" s="3211" t="str">
        <f>A43</f>
        <v>估价对象XX用房的比较价值（楼面单价，元/平方米）</v>
      </c>
      <c r="Q43" s="3212"/>
      <c r="R43" s="3242" t="e">
        <f>ROUND(AVERAGE(R42:V42),0)</f>
        <v>#DIV/0!</v>
      </c>
      <c r="S43" s="3242"/>
      <c r="T43" s="3242"/>
      <c r="U43" s="3242"/>
      <c r="V43" s="3242"/>
      <c r="W43" s="324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2758</v>
      </c>
      <c r="B50" s="685" t="s">
        <v>2759</v>
      </c>
      <c r="C50" s="2707" t="s">
        <v>2760</v>
      </c>
      <c r="D50" s="2708" t="s">
        <v>2761</v>
      </c>
      <c r="E50" s="686" t="s">
        <v>2762</v>
      </c>
      <c r="F50" s="687" t="s">
        <v>2763</v>
      </c>
      <c r="G50" s="3197" t="s">
        <v>2764</v>
      </c>
      <c r="H50" s="3243"/>
      <c r="I50" s="1812" t="s">
        <v>2801</v>
      </c>
      <c r="J50" s="1812">
        <f>项目基本情况!F35</f>
        <v>0</v>
      </c>
      <c r="K50" s="2710" t="s">
        <v>2766</v>
      </c>
      <c r="L50" s="1105"/>
      <c r="M50" s="1143"/>
      <c r="N50" s="1143"/>
      <c r="O50" s="1143"/>
    </row>
    <row r="51" spans="1:17" s="692" customFormat="1">
      <c r="A51" s="688" t="s">
        <v>2767</v>
      </c>
      <c r="B51" s="689" t="e">
        <f>C43</f>
        <v>#DIV/0!</v>
      </c>
      <c r="C51" s="690">
        <v>1</v>
      </c>
      <c r="D51" s="1162">
        <v>1</v>
      </c>
      <c r="E51" s="690">
        <f>'数据-汇总表'!E8+'数据-汇总表'!E9</f>
        <v>81.84</v>
      </c>
      <c r="F51" s="691" t="e">
        <f t="shared" ref="F51:F60" si="15">ROUND(B51*E51/10000,0)</f>
        <v>#DIV/0!</v>
      </c>
      <c r="G51" s="3196"/>
      <c r="H51" s="3214"/>
      <c r="I51" s="941">
        <v>1</v>
      </c>
      <c r="J51" s="941">
        <v>1</v>
      </c>
      <c r="K51" s="1144"/>
      <c r="L51" s="940"/>
      <c r="M51" s="940"/>
      <c r="N51" s="940"/>
      <c r="O51" s="940"/>
    </row>
    <row r="52" spans="1:17" s="692" customFormat="1">
      <c r="A52" s="693" t="s">
        <v>2768</v>
      </c>
      <c r="B52" s="262" t="e">
        <f>ROUND($C$43*C52*D52,0)</f>
        <v>#DIV/0!</v>
      </c>
      <c r="C52" s="200">
        <f t="shared" ref="C52:C60" si="16">IF($C$50="北京市系数",I52,J52)</f>
        <v>0.6</v>
      </c>
      <c r="D52" s="1163">
        <v>0.25</v>
      </c>
      <c r="E52" s="694"/>
      <c r="F52" s="691" t="e">
        <f t="shared" si="15"/>
        <v>#DIV/0!</v>
      </c>
      <c r="G52" s="3244" t="s">
        <v>2769</v>
      </c>
      <c r="H52" s="1103" t="str">
        <f>项目基本情况!B37</f>
        <v>八级</v>
      </c>
      <c r="I52" s="941">
        <f>SUMIF(修正!A45:A56,H52,修正!B45:B56)</f>
        <v>0.6</v>
      </c>
      <c r="J52" s="942"/>
      <c r="K52" s="1143"/>
      <c r="L52" s="940"/>
      <c r="M52" s="940"/>
      <c r="N52" s="940"/>
      <c r="O52" s="940"/>
    </row>
    <row r="53" spans="1:17" s="692" customFormat="1">
      <c r="A53" s="693" t="s">
        <v>2770</v>
      </c>
      <c r="B53" s="262" t="e">
        <f t="shared" ref="B53:B60" si="17">ROUND($C$43*C53*D53,0)</f>
        <v>#DIV/0!</v>
      </c>
      <c r="C53" s="200">
        <f t="shared" si="16"/>
        <v>0.3</v>
      </c>
      <c r="D53" s="1163">
        <v>0.25</v>
      </c>
      <c r="E53" s="694"/>
      <c r="F53" s="691" t="e">
        <f t="shared" si="15"/>
        <v>#DIV/0!</v>
      </c>
      <c r="G53" s="3244"/>
      <c r="H53" s="1103" t="str">
        <f>项目基本情况!B37</f>
        <v>八级</v>
      </c>
      <c r="I53" s="941">
        <f>SUMIF(修正!A45:A56,H53,修正!C45:C56)</f>
        <v>0.3</v>
      </c>
      <c r="J53" s="942"/>
      <c r="K53" s="1144"/>
      <c r="L53" s="940"/>
      <c r="M53" s="940"/>
      <c r="N53" s="940"/>
      <c r="O53" s="940"/>
    </row>
    <row r="54" spans="1:17" s="692" customFormat="1">
      <c r="A54" s="693" t="s">
        <v>2771</v>
      </c>
      <c r="B54" s="262" t="e">
        <f t="shared" si="17"/>
        <v>#DIV/0!</v>
      </c>
      <c r="C54" s="200">
        <f t="shared" si="16"/>
        <v>0.2</v>
      </c>
      <c r="D54" s="1163">
        <v>0.25</v>
      </c>
      <c r="E54" s="694"/>
      <c r="F54" s="691" t="e">
        <f t="shared" si="15"/>
        <v>#DIV/0!</v>
      </c>
      <c r="G54" s="3244"/>
      <c r="H54" s="1103" t="str">
        <f>项目基本情况!B37</f>
        <v>八级</v>
      </c>
      <c r="I54" s="941">
        <f>SUMIF(修正!A45:A56,H54,修正!D45:D56)</f>
        <v>0.2</v>
      </c>
      <c r="J54" s="942"/>
      <c r="K54" s="1143"/>
      <c r="L54" s="940"/>
      <c r="M54" s="940"/>
      <c r="N54" s="940"/>
      <c r="O54" s="940"/>
    </row>
    <row r="55" spans="1:17" s="692" customFormat="1">
      <c r="A55" s="693" t="s">
        <v>2772</v>
      </c>
      <c r="B55" s="262" t="e">
        <f t="shared" si="17"/>
        <v>#DIV/0!</v>
      </c>
      <c r="C55" s="200">
        <f t="shared" si="16"/>
        <v>0.2</v>
      </c>
      <c r="D55" s="1163">
        <v>0.25</v>
      </c>
      <c r="E55" s="694"/>
      <c r="F55" s="691" t="e">
        <f t="shared" si="15"/>
        <v>#DIV/0!</v>
      </c>
      <c r="G55" s="3244"/>
      <c r="H55" s="1103" t="str">
        <f>项目基本情况!B37</f>
        <v>八级</v>
      </c>
      <c r="I55" s="941">
        <f>SUMIF(修正!A45:A56,H55,修正!E45:E56)</f>
        <v>0.2</v>
      </c>
      <c r="J55" s="942"/>
      <c r="K55" s="1144"/>
      <c r="L55" s="940"/>
      <c r="M55" s="940"/>
      <c r="N55" s="940"/>
      <c r="O55" s="940"/>
    </row>
    <row r="56" spans="1:17" s="692" customFormat="1">
      <c r="A56" s="693" t="s">
        <v>2773</v>
      </c>
      <c r="B56" s="262" t="e">
        <f t="shared" si="17"/>
        <v>#DIV/0!</v>
      </c>
      <c r="C56" s="200">
        <f t="shared" si="16"/>
        <v>0</v>
      </c>
      <c r="D56" s="1163">
        <v>0.25</v>
      </c>
      <c r="E56" s="261">
        <f>'数据-汇总表'!E11</f>
        <v>0</v>
      </c>
      <c r="F56" s="691" t="e">
        <f t="shared" si="15"/>
        <v>#DIV/0!</v>
      </c>
      <c r="G56" s="2711" t="s">
        <v>2774</v>
      </c>
      <c r="H56" s="1103">
        <f>项目基本情况!C37</f>
        <v>0</v>
      </c>
      <c r="I56" s="941">
        <f>SUMIF(修正!A45:A56,H56,修正!F45:F56)</f>
        <v>0</v>
      </c>
      <c r="J56" s="942"/>
      <c r="K56" s="1143"/>
      <c r="L56" s="940"/>
      <c r="M56" s="940"/>
      <c r="N56" s="940"/>
      <c r="O56" s="940"/>
    </row>
    <row r="57" spans="1:17" s="692" customFormat="1">
      <c r="A57" s="693" t="s">
        <v>2775</v>
      </c>
      <c r="B57" s="262" t="e">
        <f t="shared" si="17"/>
        <v>#DIV/0!</v>
      </c>
      <c r="C57" s="200">
        <f t="shared" si="16"/>
        <v>0</v>
      </c>
      <c r="D57" s="1163">
        <v>0.25</v>
      </c>
      <c r="E57" s="261">
        <f>'数据-汇总表'!E12</f>
        <v>0</v>
      </c>
      <c r="F57" s="691" t="e">
        <f t="shared" si="15"/>
        <v>#DIV/0!</v>
      </c>
      <c r="G57" s="1108" t="s">
        <v>2776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2777</v>
      </c>
      <c r="B58" s="262" t="e">
        <f t="shared" si="17"/>
        <v>#DIV/0!</v>
      </c>
      <c r="C58" s="200">
        <f t="shared" si="16"/>
        <v>0</v>
      </c>
      <c r="D58" s="1163">
        <v>0.25</v>
      </c>
      <c r="E58" s="261">
        <f>'数据-汇总表'!E13</f>
        <v>0</v>
      </c>
      <c r="F58" s="691"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2779</v>
      </c>
      <c r="B59" s="262" t="e">
        <f t="shared" si="17"/>
        <v>#DIV/0!</v>
      </c>
      <c r="C59" s="200">
        <f t="shared" si="16"/>
        <v>0.15</v>
      </c>
      <c r="D59" s="1163">
        <v>0.25</v>
      </c>
      <c r="E59" s="261">
        <f>'数据-汇总表'!E14</f>
        <v>0</v>
      </c>
      <c r="F59" s="691" t="e">
        <f t="shared" si="15"/>
        <v>#DIV/0!</v>
      </c>
      <c r="G59" s="2711" t="s">
        <v>2769</v>
      </c>
      <c r="H59" s="1103" t="str">
        <f>项目基本情况!B37</f>
        <v>八级</v>
      </c>
      <c r="I59" s="941">
        <f>SUMIF(修正!A45:A56,H59,修正!H45:H56)</f>
        <v>0.15</v>
      </c>
      <c r="J59" s="942"/>
      <c r="K59" s="1144"/>
      <c r="L59" s="940"/>
      <c r="M59" s="940"/>
      <c r="N59" s="940"/>
      <c r="O59" s="940"/>
    </row>
    <row r="60" spans="1:17" s="692" customFormat="1" ht="15" thickBot="1">
      <c r="A60" s="693" t="s">
        <v>2780</v>
      </c>
      <c r="B60" s="262" t="e">
        <f t="shared" si="17"/>
        <v>#DIV/0!</v>
      </c>
      <c r="C60" s="200">
        <f t="shared" si="16"/>
        <v>0</v>
      </c>
      <c r="D60" s="1163">
        <v>0.25</v>
      </c>
      <c r="E60" s="261">
        <f>'数据-汇总表'!E15</f>
        <v>0</v>
      </c>
      <c r="F60" s="691" t="e">
        <f t="shared" si="15"/>
        <v>#DIV/0!</v>
      </c>
      <c r="G60" s="2712" t="s">
        <v>2774</v>
      </c>
      <c r="H60" s="1113">
        <f>项目基本情况!C37</f>
        <v>0</v>
      </c>
      <c r="I60" s="941">
        <f>SUMIF(修正!A45:A56,H60,修正!H45:H56)</f>
        <v>0</v>
      </c>
      <c r="J60" s="942"/>
      <c r="K60" s="1143"/>
      <c r="L60" s="940"/>
      <c r="M60" s="940"/>
      <c r="N60" s="940"/>
      <c r="O60" s="940"/>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2674</v>
      </c>
      <c r="B64" s="758"/>
      <c r="C64" s="763"/>
      <c r="D64" s="763"/>
      <c r="E64" s="763"/>
      <c r="F64" s="764"/>
      <c r="G64" s="764"/>
      <c r="H64" s="763"/>
      <c r="I64" s="763"/>
      <c r="J64" s="763"/>
      <c r="K64" s="765"/>
      <c r="L64" s="766"/>
      <c r="M64" s="763"/>
      <c r="N64" s="763"/>
      <c r="O64" s="1158"/>
      <c r="P64" s="503"/>
      <c r="Q64" s="504"/>
    </row>
    <row r="65" spans="1:17" s="508" customFormat="1" ht="15">
      <c r="A65" s="271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2588</v>
      </c>
      <c r="B70" s="528" t="s">
        <v>2554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N16" sqref="N16"/>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2804</v>
      </c>
      <c r="B1" s="241"/>
      <c r="C1" s="245" t="s">
        <v>2805</v>
      </c>
      <c r="D1" s="388">
        <f>SUM(D29:D30,D33:D39)</f>
        <v>81.84</v>
      </c>
      <c r="E1" s="2719"/>
      <c r="F1" s="2719"/>
      <c r="G1" s="2719"/>
      <c r="H1" s="2719"/>
      <c r="I1" s="2719"/>
      <c r="J1" s="2719"/>
      <c r="K1" s="1369"/>
      <c r="L1" s="2720" t="s">
        <v>2806</v>
      </c>
      <c r="M1" s="1079">
        <f>SUMPRODUCT((区片价!B5:B9=I2)*(区片价!C3:F3=E2)*(区片价!C5:F9))</f>
        <v>0</v>
      </c>
      <c r="N1" s="1082">
        <f>SUMPRODUCT((因素修正幅度!B5:B9=I2)*(因素修正幅度!C3:F3=E2)*(因素修正幅度!C5:F9))</f>
        <v>0</v>
      </c>
      <c r="O1" s="2721"/>
      <c r="P1" s="272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f ca="1">C26</f>
        <v>22</v>
      </c>
      <c r="C2" s="2723" t="s">
        <v>2813</v>
      </c>
      <c r="D2" s="2724" t="s">
        <v>2814</v>
      </c>
      <c r="E2" s="2725" t="s">
        <v>1373</v>
      </c>
      <c r="F2" s="2724" t="s">
        <v>2815</v>
      </c>
      <c r="G2" s="2726" t="str">
        <f>IF(E2="商业",项目基本情况!B37,IF(E2="办公",项目基本情况!C37,IF(E2="住宅",项目基本情况!D37,项目基本情况!E37)))</f>
        <v>八级</v>
      </c>
      <c r="H2" s="2724" t="s">
        <v>2816</v>
      </c>
      <c r="I2" s="2726" t="str">
        <f>IF(E2="商业",项目基本情况!B38,IF(E2="办公",项目基本情况!C38,IF(E2="住宅",项目基本情况!D38,项目基本情况!E38)))</f>
        <v>Ⅷ-密1</v>
      </c>
      <c r="J2" s="2727"/>
      <c r="K2" s="1369"/>
      <c r="L2" s="2728" t="s">
        <v>2817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11378</v>
      </c>
      <c r="U2" s="1602"/>
      <c r="V2" s="1601">
        <f ca="1">ROUND(T2*U2/10000,0)</f>
        <v>0</v>
      </c>
      <c r="W2" s="1605"/>
      <c r="X2" s="1605"/>
      <c r="Y2" s="1605"/>
      <c r="Z2" s="1605"/>
      <c r="AA2" s="1605"/>
      <c r="AB2" s="1605"/>
      <c r="AC2" s="1606"/>
      <c r="AD2" s="1607"/>
      <c r="AE2" s="1607"/>
      <c r="AF2" s="1607"/>
      <c r="AG2" s="1607"/>
      <c r="AH2" s="1607"/>
      <c r="AI2" s="1607"/>
      <c r="AJ2" s="1608"/>
    </row>
    <row r="3" spans="1:36" ht="15.75">
      <c r="A3" s="247" t="s">
        <v>2818</v>
      </c>
      <c r="B3" s="248">
        <f ca="1">ROUND(B2*10000/D1,0)</f>
        <v>2688</v>
      </c>
      <c r="C3" s="2723" t="s">
        <v>2819</v>
      </c>
      <c r="D3" s="2724" t="s">
        <v>2820</v>
      </c>
      <c r="E3" s="2729" t="s">
        <v>3069</v>
      </c>
      <c r="F3" s="2730" t="s">
        <v>3070</v>
      </c>
      <c r="G3" s="915">
        <f>IF(F3="宗地容积率",'数据-汇总表'!I4,IF(F3="估价对象容积率",'数据-汇总表'!I6,'数据-汇总表'!I7))</f>
        <v>2</v>
      </c>
      <c r="H3" s="198" t="s">
        <v>2821</v>
      </c>
      <c r="I3" s="943">
        <v>6</v>
      </c>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7499</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65"/>
      <c r="B4" s="3266"/>
      <c r="C4" s="3266"/>
      <c r="D4" s="3267"/>
      <c r="E4" s="3267"/>
      <c r="F4" s="3267"/>
      <c r="G4" s="3267"/>
      <c r="H4" s="3267"/>
      <c r="I4" s="3267"/>
      <c r="J4" s="3268"/>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5901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6">
        <f>ROUND(IF(E2="商业",C6*C7+C16,(IF(E2="住宅",C6*C12+C16,C6+C16))),0)</f>
        <v>4610</v>
      </c>
      <c r="D5" s="1785">
        <f>ROUND(C6+C16,0)</f>
        <v>4610</v>
      </c>
      <c r="E5" s="1785"/>
      <c r="F5" s="2733"/>
      <c r="G5" s="2734"/>
      <c r="H5" s="2734"/>
      <c r="I5" s="2734"/>
      <c r="J5" s="2735"/>
      <c r="K5" s="2736"/>
      <c r="L5" s="2728" t="s">
        <v>2826</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4409</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2827</v>
      </c>
      <c r="B6" s="2742" t="s">
        <v>2828</v>
      </c>
      <c r="C6" s="917">
        <f>SUMIF(L1:L12,G2,M1:M12)</f>
        <v>4590</v>
      </c>
      <c r="D6" s="2743" t="s">
        <v>2829</v>
      </c>
      <c r="E6" s="2744"/>
      <c r="F6" s="2744"/>
      <c r="G6" s="2745"/>
      <c r="H6" s="2745"/>
      <c r="I6" s="2745"/>
      <c r="J6" s="2746"/>
      <c r="K6" s="1840"/>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3316</v>
      </c>
      <c r="U6" s="1602"/>
      <c r="V6" s="1601">
        <f t="shared" ca="1" si="1"/>
        <v>0</v>
      </c>
      <c r="W6" s="1605"/>
      <c r="X6" s="1605"/>
      <c r="Y6" s="1605"/>
      <c r="Z6" s="1605"/>
      <c r="AA6" s="1605"/>
      <c r="AB6" s="1605"/>
      <c r="AC6" s="2737"/>
      <c r="AD6" s="2738"/>
      <c r="AE6" s="2738"/>
      <c r="AF6" s="2738"/>
      <c r="AG6" s="2738"/>
      <c r="AH6" s="2738"/>
      <c r="AI6" s="2738"/>
      <c r="AJ6" s="2739"/>
    </row>
    <row r="7" spans="1:36" ht="24">
      <c r="A7" s="3249" t="str">
        <f>IF(E2="商业",IF(C8="不临58条商业街","",2),"")</f>
        <v/>
      </c>
      <c r="B7" s="2747" t="s">
        <v>2831</v>
      </c>
      <c r="C7" s="918">
        <f>IF(C8="不临58条商业街",1,ROUND(1+(1.6*E8+1.2*E9+0.8*E10+0.4*E11)*C9,4))</f>
        <v>1</v>
      </c>
      <c r="D7" s="2748" t="s">
        <v>2832</v>
      </c>
      <c r="E7" s="944"/>
      <c r="F7" s="2749"/>
      <c r="G7" s="2750"/>
      <c r="H7" s="2750"/>
      <c r="I7" s="2750"/>
      <c r="J7" s="2751"/>
      <c r="K7" s="1840"/>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2651</v>
      </c>
      <c r="U7" s="1602"/>
      <c r="V7" s="1601">
        <f t="shared" ca="1" si="1"/>
        <v>0</v>
      </c>
      <c r="W7" s="1814" t="s">
        <v>2834</v>
      </c>
      <c r="X7" s="1603" t="str">
        <f>G2</f>
        <v>八级</v>
      </c>
      <c r="Y7" s="1603" t="s">
        <v>2835</v>
      </c>
      <c r="Z7" s="1604">
        <f>G3</f>
        <v>2</v>
      </c>
      <c r="AA7" s="1605"/>
      <c r="AB7" s="1605"/>
      <c r="AC7" s="1606"/>
      <c r="AD7" s="1607"/>
      <c r="AE7" s="1607"/>
      <c r="AF7" s="1607"/>
      <c r="AG7" s="1607"/>
      <c r="AH7" s="1607"/>
      <c r="AI7" s="1607"/>
      <c r="AJ7" s="1608"/>
    </row>
    <row r="8" spans="1:36" ht="25.5">
      <c r="A8" s="3269"/>
      <c r="B8" s="198" t="s">
        <v>2836</v>
      </c>
      <c r="C8" s="2752" t="s">
        <v>3071</v>
      </c>
      <c r="D8" s="919" t="s">
        <v>139</v>
      </c>
      <c r="E8" s="920" t="e">
        <f>ROUND(C11/E7,4)</f>
        <v>#DIV/0!</v>
      </c>
      <c r="F8" s="2753" t="s">
        <v>2837</v>
      </c>
      <c r="G8" s="2754"/>
      <c r="H8" s="2754"/>
      <c r="I8" s="2754"/>
      <c r="J8" s="2755"/>
      <c r="K8" s="1369"/>
      <c r="L8" s="2728" t="s">
        <v>2838</v>
      </c>
      <c r="M8" s="1080">
        <f>SUMPRODUCT((区片价!B206:B244=I2)*(区片价!C3:F3=E2)*(区片价!C206:F244))</f>
        <v>4590</v>
      </c>
      <c r="N8" s="1082">
        <f>SUMPRODUCT((因素修正幅度!B206:B244=I2)*(因素修正幅度!C3:F3=E2)*(因素修正幅度!C206:F244))</f>
        <v>0.14499999999999999</v>
      </c>
      <c r="O8" s="1369"/>
      <c r="P8" s="1369"/>
      <c r="Q8" s="1369"/>
      <c r="R8" s="1601">
        <v>7</v>
      </c>
      <c r="S8" s="1602"/>
      <c r="T8" s="1601">
        <f t="shared" ca="1" si="0"/>
        <v>0</v>
      </c>
      <c r="U8" s="1602"/>
      <c r="V8" s="1601">
        <f t="shared" ca="1" si="1"/>
        <v>0</v>
      </c>
      <c r="W8" s="3262" t="s">
        <v>2839</v>
      </c>
      <c r="X8" s="3263"/>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69"/>
      <c r="B9" s="198" t="s">
        <v>2852</v>
      </c>
      <c r="C9" s="921">
        <f>SUMIF(修正!C59:C119,C8,修正!E59:E119)</f>
        <v>0</v>
      </c>
      <c r="D9" s="200" t="s">
        <v>140</v>
      </c>
      <c r="E9" s="200" t="e">
        <f>ROUND(C11/E7,4)</f>
        <v>#DIV/0!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64" t="s">
        <v>2855</v>
      </c>
      <c r="X9" s="1610" t="s">
        <v>2856</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9"/>
      <c r="B10" s="198" t="s">
        <v>2857</v>
      </c>
      <c r="C10" s="200">
        <f>SUMIF(修正!C59:C119,C8,修正!F59:F119)</f>
        <v>0</v>
      </c>
      <c r="D10" s="200" t="s">
        <v>141</v>
      </c>
      <c r="E10" s="200" t="e">
        <f>ROUND(C11/E7,4)</f>
        <v>#DIV/0!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6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9"/>
      <c r="B11" s="2756" t="s">
        <v>2860</v>
      </c>
      <c r="C11" s="922">
        <f>C10/4</f>
        <v>0</v>
      </c>
      <c r="D11" s="922" t="s">
        <v>142</v>
      </c>
      <c r="E11" s="922" t="e">
        <f>ROUND(C11/E7,4)</f>
        <v>#DIV/0!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64" t="s">
        <v>2863</v>
      </c>
      <c r="X11" s="1613" t="s">
        <v>2864</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249" t="s">
        <v>2865</v>
      </c>
      <c r="B12" s="2760" t="s">
        <v>2866</v>
      </c>
      <c r="C12" s="918">
        <f>ROUND(C15*D15*E15*F15*G15*H15*I15*J15,4)</f>
        <v>1</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64"/>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0"/>
      <c r="B13" s="2766" t="s">
        <v>2870</v>
      </c>
      <c r="C13" s="2767" t="s">
        <v>2871</v>
      </c>
      <c r="D13" s="1806" t="s">
        <v>2872</v>
      </c>
      <c r="E13" s="1806"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64"/>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270"/>
      <c r="B14" s="2770"/>
      <c r="C14" s="2771" t="s">
        <v>3072</v>
      </c>
      <c r="D14" s="2772" t="s">
        <v>3072</v>
      </c>
      <c r="E14" s="2772" t="s">
        <v>3072</v>
      </c>
      <c r="F14" s="2773" t="s">
        <v>3073</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71"/>
      <c r="B15" s="2778" t="s">
        <v>2877</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9" t="s">
        <v>2882</v>
      </c>
      <c r="B16" s="2747" t="s">
        <v>2883</v>
      </c>
      <c r="C16" s="2934">
        <f>ROUND(IF(F17="与级别开发程度一致",0,(G17-E17)/C17),0)</f>
        <v>20</v>
      </c>
      <c r="D16" s="3260" t="s">
        <v>2887</v>
      </c>
      <c r="E16" s="3261"/>
      <c r="F16" s="3260" t="s">
        <v>2884</v>
      </c>
      <c r="G16" s="3261"/>
      <c r="H16" s="2781" t="s">
        <v>3096</v>
      </c>
      <c r="I16" s="2781" t="s">
        <v>3095</v>
      </c>
      <c r="J16" s="2938" t="s">
        <v>3097</v>
      </c>
      <c r="K16" s="2781" t="s">
        <v>3098</v>
      </c>
      <c r="L16" s="2781" t="s">
        <v>3099</v>
      </c>
      <c r="M16" s="2781" t="s">
        <v>3075</v>
      </c>
      <c r="N16" s="2960" t="s">
        <v>3109</v>
      </c>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0"/>
      <c r="B17" s="2945" t="s">
        <v>2886</v>
      </c>
      <c r="C17" s="2946">
        <f>SUMPRODUCT((修正!A2:A5=E2)*(修正!B1:M1=G2)*(修正!B2:M5))</f>
        <v>2</v>
      </c>
      <c r="D17" s="229" t="str">
        <f>IF(OR(G2="八级",G2="九级",G2="十级",G2="十一级",G2="十二级"),"五通一平","七通一平")</f>
        <v>五通一平</v>
      </c>
      <c r="E17" s="2935">
        <f>SUMPRODUCT((修正!B1:M1=G2)*(修正!B15:M15))</f>
        <v>155</v>
      </c>
      <c r="F17" s="2936" t="s">
        <v>3074</v>
      </c>
      <c r="G17" s="2937">
        <f>SUM(H17:O17)</f>
        <v>195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40</v>
      </c>
      <c r="N17" s="2946">
        <f>SUMPRODUCT((七通一平=N16)*(修正!B1:M1=G2)*(修正!B6:M14))</f>
        <v>10</v>
      </c>
      <c r="O17" s="2948">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39" t="s">
        <v>808</v>
      </c>
      <c r="B18" s="2940" t="s">
        <v>2889</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2890</v>
      </c>
      <c r="C19" s="923">
        <f>ROUND(IF(H19="按公示增长率计算",SUMPRODUCT((地价!A3:A27=YEAR(G19)&amp;"-"&amp;ROUNDUP(MONTH(G19)/3,0))*(地价!X2:AB2=E2)*(地价!X3:AB27)),IF(H19="地价指数",M20/M19,(1+I19)^O19)),4)</f>
        <v>1.3557999999999999</v>
      </c>
      <c r="D19" s="2791" t="s">
        <v>2891</v>
      </c>
      <c r="E19" s="924">
        <v>41640</v>
      </c>
      <c r="F19" s="2791" t="s">
        <v>2892</v>
      </c>
      <c r="G19" s="925">
        <f>'数据-取费表'!B2</f>
        <v>43643</v>
      </c>
      <c r="H19" s="2792" t="s">
        <v>3076</v>
      </c>
      <c r="I19" s="926" t="str">
        <f>IF(H19="季度增幅（自定义）",SUMIF(N21:N24,E2,O21:O24),"")</f>
        <v/>
      </c>
      <c r="J19" s="2789"/>
      <c r="K19" s="1376"/>
      <c r="L19" s="2793" t="s">
        <v>2893</v>
      </c>
      <c r="M19" s="1732">
        <f>ROUND(SUMIF(地价!B2:F2,E2,地价!B27:F27),0)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2895</v>
      </c>
      <c r="C20" s="928">
        <f ca="1">ROUND(POWER(1+G20,J20-I20)*(POWER(1+G20,I20)-1)/(POWER(1+G20,J20)-1),4)</f>
        <v>0.90990000000000004</v>
      </c>
      <c r="D20" s="2800" t="s">
        <v>2896</v>
      </c>
      <c r="E20" s="1766">
        <f ca="1">存贷款利率!D4/100</f>
        <v>4.3499999999999997E-2</v>
      </c>
      <c r="F20" s="2800" t="s">
        <v>2888</v>
      </c>
      <c r="G20" s="933">
        <f ca="1">SUMIF(M26:P26,E2,M28:P28)</f>
        <v>5.3999999999999999E-2</v>
      </c>
      <c r="H20" s="2800" t="s">
        <v>2897</v>
      </c>
      <c r="I20" s="934">
        <f>SUMIF('数据-取费表'!C6:C15,E2,'数据-取费表'!F6:F15)/COUNTIF('数据-取费表'!C6:C15,E2)</f>
        <v>30.5</v>
      </c>
      <c r="J20" s="935">
        <f>IF(E2="住宅",70,IF(E2="商业",40,50))</f>
        <v>40</v>
      </c>
      <c r="K20" s="1376"/>
      <c r="L20" s="2801" t="s">
        <v>2898</v>
      </c>
      <c r="M20" s="1733">
        <f>ROUND(SUMPRODUCT((地价!A4:A27=YEAR(G19)&amp;"-"&amp;ROUNDUP(MONTH(G19)/3,0))*(地价!B2:F2=E2)*(地价!B4:F27)),0)</f>
        <v>350</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3108</v>
      </c>
      <c r="C21" s="936">
        <f>IF(B21="容积率修正",IF(G3&lt;=10,D22,J22),C23)</f>
        <v>0.45250000000000001</v>
      </c>
      <c r="D21" s="2807"/>
      <c r="E21" s="2807"/>
      <c r="F21" s="2807"/>
      <c r="G21" s="2807"/>
      <c r="H21" s="2807"/>
      <c r="I21" s="2807"/>
      <c r="J21" s="2808"/>
      <c r="K21" s="1376"/>
      <c r="N21" s="2809" t="s">
        <v>2902</v>
      </c>
      <c r="O21" s="1560"/>
      <c r="P21" s="1561">
        <f>SUMPRODUCT((地价!A3:A27=YEAR(G19)&amp;"-"&amp;ROUNDUP(MONTH(G19)/3,0))*(地价!AD2:AH2=N21)*(地价!AD3:AH27))</f>
        <v>1.4999999999999999E-2</v>
      </c>
      <c r="R21" s="1375"/>
      <c r="S21" s="1375"/>
      <c r="T21" s="1370"/>
      <c r="U21" s="1370"/>
      <c r="V21" s="1370"/>
      <c r="W21" s="1369"/>
      <c r="X21" s="1369"/>
      <c r="Y21" s="1369"/>
      <c r="Z21" s="1376"/>
      <c r="AA21" s="1377"/>
      <c r="AB21" s="1377"/>
      <c r="AC21" s="1377"/>
      <c r="AD21" s="1377"/>
      <c r="AE21" s="1377"/>
      <c r="AF21" s="1377"/>
    </row>
    <row r="22" spans="1:37" s="2740" customFormat="1" ht="14.25">
      <c r="A22" s="2666" t="s">
        <v>2903</v>
      </c>
      <c r="B22" s="2810" t="s">
        <v>2904</v>
      </c>
      <c r="C22" s="1808" t="s">
        <v>2905</v>
      </c>
      <c r="D22" s="1808">
        <f>IF(E22=G22,F22,IF(G3&lt;=10,ROUND(F22+(H22-F22)*(G3-E22)/(G22-E22),4),"——"))</f>
        <v>1</v>
      </c>
      <c r="E22" s="915">
        <f>ROUNDDOWN(G3,1)</f>
        <v>2</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7" t="str">
        <f>IF(G3&gt;10,D113,"——")</f>
        <v>——</v>
      </c>
      <c r="K22" s="1376"/>
      <c r="N22" s="2809" t="s">
        <v>2906</v>
      </c>
      <c r="O22" s="1560"/>
      <c r="P22" s="1561">
        <f>SUMPRODUCT((地价!A3:A27=YEAR(G19)&amp;"-"&amp;ROUNDUP(MONTH(G19)/3,0))*(地价!AD2:AH2=N22)*(地价!AD3:AH27))</f>
        <v>1.4999999999999999E-2</v>
      </c>
      <c r="R22" s="1375"/>
      <c r="S22" s="1375"/>
      <c r="T22" s="1370"/>
      <c r="U22" s="1370"/>
      <c r="V22" s="1370"/>
      <c r="W22" s="1369"/>
      <c r="X22" s="1369"/>
      <c r="Y22" s="1369"/>
      <c r="Z22" s="1376"/>
      <c r="AA22" s="1377"/>
      <c r="AB22" s="1377"/>
      <c r="AC22" s="1377"/>
      <c r="AD22" s="1377"/>
      <c r="AE22" s="1377"/>
      <c r="AF22" s="1377"/>
    </row>
    <row r="23" spans="1:37" ht="27.75" thickBot="1">
      <c r="A23" s="2666" t="s">
        <v>2907</v>
      </c>
      <c r="B23" s="2811" t="s">
        <v>2908</v>
      </c>
      <c r="C23" s="1012">
        <f>ROUND(IF(G3&gt;1,IF(I3&lt;7,SUMPRODUCT((B93:B98=I3)*(C92:N92=G2)*(C93:N98)),SUMIF(C92:N92,G2,C100:N100)),IF(I3&lt;7,SUMPRODUCT((B102:B107=I3)*(C92:N92=G2)*(C102:N107)),SUMIF(C92:N92,G2,C109:N109))),4)</f>
        <v>0.45250000000000001</v>
      </c>
      <c r="D23" s="2775"/>
      <c r="E23" s="2775"/>
      <c r="F23" s="2812"/>
      <c r="G23" s="2813"/>
      <c r="H23" s="2814"/>
      <c r="I23" s="2815"/>
      <c r="J23" s="2816"/>
      <c r="K23" s="1369"/>
      <c r="N23" s="2809" t="s">
        <v>2909</v>
      </c>
      <c r="O23" s="1560"/>
      <c r="P23" s="1561">
        <f>SUMPRODUCT((地价!A3:A27=YEAR(G19)&amp;"-"&amp;ROUNDUP(MONTH(G19)/3,0))*(地价!AD2:AH2=N23)*(地价!AD3:AH27))</f>
        <v>2.3300000000000001E-2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2910</v>
      </c>
      <c r="C24" s="923">
        <f>SUMIF(A45:A88,E2,B45:B88)</f>
        <v>1.0302</v>
      </c>
      <c r="D24" s="2788"/>
      <c r="E24" s="2817"/>
      <c r="F24" s="2817"/>
      <c r="G24" s="2817"/>
      <c r="H24" s="2817"/>
      <c r="I24" s="2817"/>
      <c r="J24" s="2818"/>
      <c r="K24" s="1376"/>
      <c r="N24" s="2819" t="s">
        <v>2911</v>
      </c>
      <c r="O24" s="1562"/>
      <c r="P24" s="1563">
        <f>SUMPRODUCT((地价!A3:A27=YEAR(G19)&amp;"-"&amp;ROUNDUP(MONTH(G19)/3,0))*(地价!AD2:AH2=N24)*(地价!AD3:AH27))</f>
        <v>1.46E-2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2912</v>
      </c>
      <c r="C25" s="929"/>
      <c r="D25" s="2750"/>
      <c r="E25" s="2750"/>
      <c r="F25" s="2821"/>
      <c r="G25" s="2750"/>
      <c r="H25" s="2750"/>
      <c r="I25" s="2750"/>
      <c r="J25" s="2751"/>
      <c r="K25" s="1369"/>
      <c r="N25" s="2822" t="s">
        <v>2913</v>
      </c>
      <c r="O25" s="1564"/>
      <c r="P25" s="1563">
        <f>SUMPRODUCT((地价!A3:A27=YEAR(G19)&amp;"-"&amp;ROUNDUP(MONTH(G19)/3,0))*(地价!AD2:AH2=N25)*(地价!AD3:AH27))</f>
        <v>2.1299999999999999E-2</v>
      </c>
      <c r="R25" s="1375"/>
      <c r="S25" s="1375"/>
      <c r="T25" s="1370"/>
      <c r="U25" s="1370"/>
      <c r="V25" s="1370"/>
      <c r="W25" s="1369"/>
      <c r="X25" s="1369"/>
      <c r="Y25" s="1369"/>
      <c r="Z25" s="1376"/>
      <c r="AA25" s="1377"/>
      <c r="AB25" s="1377"/>
      <c r="AC25" s="1377"/>
      <c r="AD25" s="1377"/>
    </row>
    <row r="26" spans="1:37" ht="15">
      <c r="A26" s="2823"/>
      <c r="B26" s="2810" t="s">
        <v>2914</v>
      </c>
      <c r="C26" s="206">
        <f ca="1">E29+SUM(E33:E39)</f>
        <v>22</v>
      </c>
      <c r="D26" s="2824"/>
      <c r="E26" s="2775"/>
      <c r="F26" s="2825"/>
      <c r="G26" s="2775"/>
      <c r="H26" s="2775"/>
      <c r="I26" s="2775"/>
      <c r="J26" s="2826"/>
      <c r="K26" s="1369"/>
      <c r="L26" s="2779" t="s">
        <v>2814</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75" thickBot="1">
      <c r="A27" s="2823"/>
      <c r="B27" s="2827" t="s">
        <v>2915</v>
      </c>
      <c r="C27" s="930">
        <f ca="1">E30+SUM(I33:I39)</f>
        <v>0</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2916</v>
      </c>
      <c r="C28" s="2834" t="s">
        <v>2917</v>
      </c>
      <c r="D28" s="2834" t="s">
        <v>2918</v>
      </c>
      <c r="E28" s="2835" t="s">
        <v>2919</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2920</v>
      </c>
      <c r="C29" s="206">
        <f ca="1">ROUND(C5*C18*C19*C20*C21*C24,0)</f>
        <v>2651</v>
      </c>
      <c r="D29" s="2839">
        <f>'数据-汇总表'!E19</f>
        <v>81.84</v>
      </c>
      <c r="E29" s="941">
        <f ca="1">ROUND(C29*D29/10000,0)</f>
        <v>22</v>
      </c>
      <c r="F29" s="2840" t="s">
        <v>2921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2922</v>
      </c>
      <c r="C30" s="229">
        <f ca="1">ROUND(IF(E2="工业",C29*M39,C29*M38),0)</f>
        <v>663</v>
      </c>
      <c r="D30" s="2845"/>
      <c r="E30" s="941">
        <f ca="1">ROUND(C30*D30/10000,0)</f>
        <v>0</v>
      </c>
      <c r="F30" s="2846" t="s">
        <v>2923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2917</v>
      </c>
      <c r="D32" s="498" t="s">
        <v>2918</v>
      </c>
      <c r="E32" s="498" t="s">
        <v>2919</v>
      </c>
      <c r="F32" s="388" t="s">
        <v>2927</v>
      </c>
      <c r="G32" s="2854" t="s">
        <v>2917</v>
      </c>
      <c r="H32" s="2854" t="s">
        <v>2918</v>
      </c>
      <c r="I32" s="285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57" t="s">
        <v>2928</v>
      </c>
      <c r="B33" s="2855" t="s">
        <v>2929</v>
      </c>
      <c r="C33" s="206">
        <f ca="1">ROUND(D5*C19*C20*C24*F33,0)</f>
        <v>3515</v>
      </c>
      <c r="D33" s="2839"/>
      <c r="E33" s="200">
        <f ca="1">ROUND(C33*D33/10000,0)</f>
        <v>0</v>
      </c>
      <c r="F33" s="200">
        <f>SUMIF(修正!A45:A56,G2,修正!B45:B56)</f>
        <v>0.6</v>
      </c>
      <c r="G33" s="200">
        <f t="shared" ref="G33" ca="1" si="6">ROUND(IF(E2="工业",C33*$M$39,C33*$M$38),0)</f>
        <v>879</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8"/>
      <c r="B34" s="2767" t="s">
        <v>2930</v>
      </c>
      <c r="C34" s="206">
        <f ca="1">ROUND(D5*C19*C20*C24*F34,0)</f>
        <v>1758</v>
      </c>
      <c r="D34" s="2839"/>
      <c r="E34" s="200">
        <f t="shared" ref="E34:E39" ca="1" si="7">ROUND(C34*D34/10000,0)</f>
        <v>0</v>
      </c>
      <c r="F34" s="200">
        <f>SUMIF(修正!A45:A56,G2,修正!C45:C56)</f>
        <v>0.3</v>
      </c>
      <c r="G34" s="200">
        <f ca="1">ROUND(IF(E2="工业",C34*$M$39,C34*$M$38),0)</f>
        <v>440</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8"/>
      <c r="B35" s="2767" t="s">
        <v>2931</v>
      </c>
      <c r="C35" s="206">
        <f ca="1">ROUND(D5*C19*C20*C24*F35,0)</f>
        <v>1172</v>
      </c>
      <c r="D35" s="2839"/>
      <c r="E35" s="200">
        <f t="shared" ca="1" si="7"/>
        <v>0</v>
      </c>
      <c r="F35" s="200">
        <f>SUMIF(修正!A45:A56,G2,修正!D45:D56)</f>
        <v>0.2</v>
      </c>
      <c r="G35" s="200">
        <f ca="1">ROUND(IF(E2="工业",C35*$M$39,C35*$M$38),0)</f>
        <v>293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59"/>
      <c r="B36" s="2767" t="s">
        <v>2932</v>
      </c>
      <c r="C36" s="206">
        <f ca="1">ROUND(D5*C19*C20*C24*F36,0)</f>
        <v>1172</v>
      </c>
      <c r="D36" s="2839"/>
      <c r="E36" s="200">
        <f t="shared" ca="1" si="7"/>
        <v>0</v>
      </c>
      <c r="F36" s="200">
        <f>SUMIF(修正!A45:A56,G2,修正!E45:E56)</f>
        <v>0.2</v>
      </c>
      <c r="G36" s="200">
        <f ca="1">ROUND(IF(E2="工业",C36*$M$39,C36*$M$38),0)</f>
        <v>293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2933</v>
      </c>
      <c r="C37" s="200">
        <f ca="1">ROUND(D5*C19*C20*C24*F37,0)</f>
        <v>1172</v>
      </c>
      <c r="D37" s="2839"/>
      <c r="E37" s="200">
        <f t="shared" ca="1" si="7"/>
        <v>0</v>
      </c>
      <c r="F37" s="206">
        <f>SUMIF(修正!A45:A56,G2,修正!F45:F56)</f>
        <v>0.2</v>
      </c>
      <c r="G37" s="200">
        <f ca="1">ROUND(IF(E2="工业",C37*$M$39,C37*$M$38),0)</f>
        <v>293</v>
      </c>
      <c r="H37" s="200">
        <f t="shared" si="8"/>
        <v>0</v>
      </c>
      <c r="I37" s="200">
        <f t="shared" ca="1" si="9"/>
        <v>0</v>
      </c>
      <c r="J37" s="2856"/>
      <c r="K37" s="1369"/>
      <c r="L37" s="2858" t="s">
        <v>2934</v>
      </c>
      <c r="M37" s="2859"/>
      <c r="N37" s="1369"/>
      <c r="O37" s="1369"/>
      <c r="P37" s="1369"/>
      <c r="Q37" s="1369"/>
      <c r="R37" s="1369"/>
      <c r="S37" s="1369"/>
      <c r="T37" s="1369"/>
      <c r="U37" s="1369"/>
      <c r="V37" s="1369"/>
      <c r="W37" s="1369"/>
      <c r="X37" s="1369"/>
      <c r="Y37" s="1369"/>
      <c r="Z37" s="1370"/>
    </row>
    <row r="38" spans="1:37">
      <c r="A38" s="2857"/>
      <c r="B38" s="2767" t="s">
        <v>2935</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69"/>
      <c r="L38" s="1885" t="s">
        <v>2936</v>
      </c>
      <c r="M38" s="2860">
        <v>0.25</v>
      </c>
      <c r="N38" s="1369"/>
      <c r="O38" s="1369"/>
      <c r="P38" s="1369"/>
      <c r="Q38" s="1369"/>
      <c r="R38" s="1369"/>
      <c r="S38" s="1369"/>
      <c r="T38" s="1369"/>
      <c r="U38" s="1369"/>
      <c r="V38" s="1369"/>
      <c r="W38" s="1369"/>
      <c r="X38" s="1369"/>
      <c r="Y38" s="1369"/>
      <c r="Z38" s="1370"/>
    </row>
    <row r="39" spans="1:37" ht="13.5" thickBot="1">
      <c r="A39" s="2843"/>
      <c r="B39" s="2861" t="s">
        <v>2937</v>
      </c>
      <c r="C39" s="229">
        <f ca="1">ROUND(D5*C19*C41*C24*F39,0)</f>
        <v>0</v>
      </c>
      <c r="D39" s="2845"/>
      <c r="E39" s="229">
        <f t="shared" ca="1" si="7"/>
        <v>0</v>
      </c>
      <c r="F39" s="931">
        <f>SUMIF(修正!A45:A56,G2,修正!H45:H56)</f>
        <v>0.15</v>
      </c>
      <c r="G39" s="229">
        <f ca="1">ROUND(IF(E2="工业",C39*$M$39,C39*$M$38),0)</f>
        <v>0</v>
      </c>
      <c r="H39" s="229">
        <f t="shared" si="8"/>
        <v>0</v>
      </c>
      <c r="I39" s="229">
        <f t="shared" ca="1" si="9"/>
        <v>0</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3045</v>
      </c>
      <c r="C41" s="388">
        <f ca="1">ROUND(POWER(1+E41,H41-G41)*(POWER(1+E41,G41)-1)/(POWER(1+E41,H41)-1),4)</f>
        <v>0</v>
      </c>
      <c r="D41" s="200" t="s">
        <v>2888</v>
      </c>
      <c r="E41" s="2931">
        <f ca="1">G20</f>
        <v>5.3999999999999999E-2</v>
      </c>
      <c r="F41" s="200" t="s">
        <v>2897</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2938</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2939</v>
      </c>
      <c r="B46" s="2869">
        <f>1+E48</f>
        <v>1.0302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2940</v>
      </c>
      <c r="B47" s="1807" t="s">
        <v>2941</v>
      </c>
      <c r="C47" s="1807" t="s">
        <v>2942</v>
      </c>
      <c r="D47" s="1807" t="s">
        <v>2943</v>
      </c>
      <c r="E47" s="818" t="s">
        <v>2944</v>
      </c>
      <c r="F47" s="2873" t="s">
        <v>2945</v>
      </c>
      <c r="G47" s="1807" t="s">
        <v>754</v>
      </c>
      <c r="H47" s="2874" t="s">
        <v>2946</v>
      </c>
      <c r="I47" s="1807" t="s">
        <v>2947</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2" t="s">
        <v>2948</v>
      </c>
      <c r="B48" s="2875" t="str">
        <f>估价对象房地状况!C4</f>
        <v>估价对象位于XX商圈，周边商业氛围成熟，人流量大，商业繁华度好</v>
      </c>
      <c r="C48" s="2772" t="s">
        <v>3077</v>
      </c>
      <c r="D48" s="1285">
        <f t="shared" ref="D48:D56" si="10">SUMIF($J$47:$N$47,C48,J48:N48)</f>
        <v>0</v>
      </c>
      <c r="E48" s="820">
        <f>ROUND(SUM(D48:D56),4)</f>
        <v>3.0200000000000001E-2</v>
      </c>
      <c r="F48" s="2503">
        <f>IF(E2="商业",SUMIF(L1:L12,G2,N1:N12),"——")</f>
        <v>0.14499999999999999</v>
      </c>
      <c r="G48" s="1283">
        <f>H48</f>
        <v>2.3900000000000001E-2</v>
      </c>
      <c r="H48" s="1287">
        <f t="shared" ref="H48:H56" si="11">IFERROR(ROUNDDOWN($F$48*I48/2,4),"——")</f>
        <v>2.3900000000000001E-2</v>
      </c>
      <c r="I48" s="819">
        <v>0.33</v>
      </c>
      <c r="J48" s="1284">
        <f t="shared" ref="J48:J56" si="12">K48+$G48</f>
        <v>4.7800000000000002E-2</v>
      </c>
      <c r="K48" s="1284">
        <f t="shared" ref="K48:K56" si="13">$L48+$G48</f>
        <v>2.3900000000000001E-2</v>
      </c>
      <c r="L48" s="1284">
        <v>0</v>
      </c>
      <c r="M48" s="1284">
        <f t="shared" ref="M48:N56" si="14">L48-$G48</f>
        <v>-2.3900000000000001E-2</v>
      </c>
      <c r="N48" s="1284">
        <f t="shared" si="14"/>
        <v>-4.7800000000000002E-2</v>
      </c>
      <c r="AA48" s="1370"/>
      <c r="AB48" s="1370"/>
      <c r="AC48" s="1370"/>
      <c r="AD48" s="1370"/>
      <c r="AE48" s="1370"/>
      <c r="AF48" s="1370"/>
      <c r="AG48" s="1370"/>
      <c r="AH48" s="1370"/>
      <c r="AI48" s="1370"/>
      <c r="AJ48" s="1370"/>
      <c r="AK48" s="1370"/>
    </row>
    <row r="49" spans="1:37" s="1369" customFormat="1" ht="51">
      <c r="A49" s="2872" t="s">
        <v>2949</v>
      </c>
      <c r="B49" s="2876" t="str">
        <f>估价对象房地状况!C18</f>
        <v>估价对象周边道路状况、公共交通通达情况、停车便捷程度，综合评价交通便捷度较好</v>
      </c>
      <c r="C49" s="2772" t="s">
        <v>3077</v>
      </c>
      <c r="D49" s="1285">
        <f t="shared" si="10"/>
        <v>0</v>
      </c>
      <c r="E49" s="821"/>
      <c r="F49" s="2503"/>
      <c r="G49" s="1283">
        <f t="shared" ref="G49:G56" si="15">H49</f>
        <v>1.8100000000000002E-2</v>
      </c>
      <c r="H49" s="1287">
        <f t="shared" si="11"/>
        <v>1.8100000000000002E-2</v>
      </c>
      <c r="I49" s="819">
        <v>0.25</v>
      </c>
      <c r="J49" s="1284">
        <f t="shared" si="12"/>
        <v>3.6200000000000003E-2</v>
      </c>
      <c r="K49" s="1284">
        <f t="shared" si="13"/>
        <v>1.8100000000000002E-2</v>
      </c>
      <c r="L49" s="1284">
        <v>0</v>
      </c>
      <c r="M49" s="1284">
        <f t="shared" si="14"/>
        <v>-1.8100000000000002E-2</v>
      </c>
      <c r="N49" s="1284">
        <f t="shared" si="14"/>
        <v>-3.6200000000000003E-2</v>
      </c>
      <c r="AA49" s="1370"/>
      <c r="AB49" s="1370"/>
      <c r="AC49" s="1370"/>
      <c r="AD49" s="1370"/>
      <c r="AE49" s="1370"/>
      <c r="AF49" s="1370"/>
      <c r="AG49" s="1370"/>
      <c r="AH49" s="1370"/>
      <c r="AI49" s="1370"/>
      <c r="AJ49" s="1370"/>
      <c r="AK49" s="1370"/>
    </row>
    <row r="50" spans="1:37" s="1369" customFormat="1" ht="24">
      <c r="A50" s="2872" t="s">
        <v>2950</v>
      </c>
      <c r="B50" s="2876">
        <f>估价对象房地状况!C19</f>
        <v>0</v>
      </c>
      <c r="C50" s="2772" t="s">
        <v>3078</v>
      </c>
      <c r="D50" s="1285">
        <f t="shared" si="10"/>
        <v>3.5999999999999999E-3</v>
      </c>
      <c r="E50" s="821"/>
      <c r="F50" s="2503"/>
      <c r="G50" s="1283">
        <f t="shared" si="15"/>
        <v>3.5999999999999999E-3</v>
      </c>
      <c r="H50" s="1287">
        <f t="shared" si="11"/>
        <v>3.5999999999999999E-3</v>
      </c>
      <c r="I50" s="819">
        <v>0.05</v>
      </c>
      <c r="J50" s="1284">
        <f t="shared" si="12"/>
        <v>7.1999999999999998E-3</v>
      </c>
      <c r="K50" s="1284">
        <f t="shared" si="13"/>
        <v>3.5999999999999999E-3</v>
      </c>
      <c r="L50" s="1284">
        <v>0</v>
      </c>
      <c r="M50" s="1284">
        <f t="shared" si="14"/>
        <v>-3.5999999999999999E-3</v>
      </c>
      <c r="N50" s="1284">
        <f t="shared" si="14"/>
        <v>-7.1999999999999998E-3</v>
      </c>
      <c r="AA50" s="1370"/>
      <c r="AB50" s="1370"/>
      <c r="AC50" s="1370"/>
      <c r="AD50" s="1370"/>
      <c r="AE50" s="1370"/>
      <c r="AF50" s="1370"/>
      <c r="AG50" s="1370"/>
      <c r="AH50" s="1370"/>
      <c r="AI50" s="1370"/>
      <c r="AJ50" s="1370"/>
      <c r="AK50" s="1370"/>
    </row>
    <row r="51" spans="1:37" s="1369" customFormat="1" ht="36.75">
      <c r="A51" s="2872" t="s">
        <v>2951</v>
      </c>
      <c r="B51" s="2877" t="s">
        <v>2952</v>
      </c>
      <c r="C51" s="2772" t="s">
        <v>3078</v>
      </c>
      <c r="D51" s="1285">
        <f t="shared" si="10"/>
        <v>3.5999999999999999E-3</v>
      </c>
      <c r="E51" s="821"/>
      <c r="F51" s="2503"/>
      <c r="G51" s="1283">
        <f t="shared" si="15"/>
        <v>3.5999999999999999E-3</v>
      </c>
      <c r="H51" s="1287">
        <f t="shared" si="11"/>
        <v>3.5999999999999999E-3</v>
      </c>
      <c r="I51" s="819">
        <v>0.05</v>
      </c>
      <c r="J51" s="1284">
        <f t="shared" si="12"/>
        <v>7.1999999999999998E-3</v>
      </c>
      <c r="K51" s="1284">
        <f t="shared" si="13"/>
        <v>3.5999999999999999E-3</v>
      </c>
      <c r="L51" s="1284">
        <v>0</v>
      </c>
      <c r="M51" s="1284">
        <f t="shared" si="14"/>
        <v>-3.5999999999999999E-3</v>
      </c>
      <c r="N51" s="1284">
        <f t="shared" si="14"/>
        <v>-7.1999999999999998E-3</v>
      </c>
      <c r="AA51" s="1370"/>
      <c r="AB51" s="1370"/>
      <c r="AC51" s="1370"/>
      <c r="AD51" s="1370"/>
      <c r="AE51" s="1370"/>
      <c r="AF51" s="1370"/>
      <c r="AG51" s="1370"/>
      <c r="AH51" s="1370"/>
      <c r="AI51" s="1370"/>
      <c r="AJ51" s="1370"/>
      <c r="AK51" s="1370"/>
    </row>
    <row r="52" spans="1:37" s="1369" customFormat="1" ht="24">
      <c r="A52" s="2872" t="s">
        <v>2953</v>
      </c>
      <c r="B52" s="2876">
        <f>估价对象房地状况!C24</f>
        <v>0</v>
      </c>
      <c r="C52" s="2772" t="s">
        <v>3078</v>
      </c>
      <c r="D52" s="1285">
        <f t="shared" si="10"/>
        <v>5.7999999999999996E-3</v>
      </c>
      <c r="E52" s="821"/>
      <c r="F52" s="2503"/>
      <c r="G52" s="1283">
        <f t="shared" si="15"/>
        <v>5.7999999999999996E-3</v>
      </c>
      <c r="H52" s="1287">
        <f t="shared" si="11"/>
        <v>5.7999999999999996E-3</v>
      </c>
      <c r="I52" s="819">
        <v>0.08</v>
      </c>
      <c r="J52" s="1284">
        <f t="shared" si="12"/>
        <v>1.1599999999999999E-2</v>
      </c>
      <c r="K52" s="1284">
        <f t="shared" si="13"/>
        <v>5.7999999999999996E-3</v>
      </c>
      <c r="L52" s="1284">
        <v>0</v>
      </c>
      <c r="M52" s="1284">
        <f t="shared" si="14"/>
        <v>-5.7999999999999996E-3</v>
      </c>
      <c r="N52" s="1284">
        <f t="shared" si="14"/>
        <v>-1.1599999999999999E-2</v>
      </c>
      <c r="AA52" s="1370"/>
      <c r="AB52" s="1370"/>
      <c r="AC52" s="1370"/>
      <c r="AD52" s="1370"/>
      <c r="AE52" s="1370"/>
      <c r="AF52" s="1370"/>
      <c r="AG52" s="1370"/>
      <c r="AH52" s="1370"/>
      <c r="AI52" s="1370"/>
      <c r="AJ52" s="1370"/>
      <c r="AK52" s="1370"/>
    </row>
    <row r="53" spans="1:37" s="1369" customFormat="1" ht="24">
      <c r="A53" s="2872" t="s">
        <v>2954</v>
      </c>
      <c r="B53" s="2878" t="s">
        <v>2955</v>
      </c>
      <c r="C53" s="2772" t="s">
        <v>3078</v>
      </c>
      <c r="D53" s="1285">
        <f t="shared" si="10"/>
        <v>2.0999999999999999E-3</v>
      </c>
      <c r="E53" s="821"/>
      <c r="F53" s="2503"/>
      <c r="G53" s="1283">
        <f t="shared" si="15"/>
        <v>2.0999999999999999E-3</v>
      </c>
      <c r="H53" s="1287">
        <f t="shared" si="11"/>
        <v>2.0999999999999999E-3</v>
      </c>
      <c r="I53" s="819">
        <v>0.03</v>
      </c>
      <c r="J53" s="1284">
        <f t="shared" si="12"/>
        <v>4.1999999999999997E-3</v>
      </c>
      <c r="K53" s="1284">
        <f t="shared" si="13"/>
        <v>2.0999999999999999E-3</v>
      </c>
      <c r="L53" s="1284">
        <v>0</v>
      </c>
      <c r="M53" s="1284">
        <f t="shared" si="14"/>
        <v>-2.0999999999999999E-3</v>
      </c>
      <c r="N53" s="1284">
        <f t="shared" si="14"/>
        <v>-4.1999999999999997E-3</v>
      </c>
      <c r="AA53" s="1370"/>
      <c r="AB53" s="1370"/>
      <c r="AC53" s="1370"/>
      <c r="AD53" s="1370"/>
      <c r="AE53" s="1370"/>
      <c r="AF53" s="1370"/>
      <c r="AG53" s="1370"/>
      <c r="AH53" s="1370"/>
      <c r="AI53" s="1370"/>
      <c r="AJ53" s="1370"/>
      <c r="AK53" s="1370"/>
    </row>
    <row r="54" spans="1:37" s="1369" customFormat="1" ht="25.5">
      <c r="A54" s="2879" t="s">
        <v>2956</v>
      </c>
      <c r="B54" s="1723" t="str">
        <f>估价对象房地状况!C21</f>
        <v>估价对象所在区域公共配套设施齐备情况</v>
      </c>
      <c r="C54" s="2772" t="s">
        <v>3078</v>
      </c>
      <c r="D54" s="1285">
        <f t="shared" si="10"/>
        <v>3.5999999999999999E-3</v>
      </c>
      <c r="E54" s="821"/>
      <c r="F54" s="2503"/>
      <c r="G54" s="1283">
        <f t="shared" si="15"/>
        <v>3.5999999999999999E-3</v>
      </c>
      <c r="H54" s="1287">
        <f t="shared" si="11"/>
        <v>3.5999999999999999E-3</v>
      </c>
      <c r="I54" s="819">
        <v>0.05</v>
      </c>
      <c r="J54" s="1284">
        <f t="shared" si="12"/>
        <v>7.1999999999999998E-3</v>
      </c>
      <c r="K54" s="1284">
        <f t="shared" si="13"/>
        <v>3.5999999999999999E-3</v>
      </c>
      <c r="L54" s="1284">
        <v>0</v>
      </c>
      <c r="M54" s="1284">
        <f t="shared" si="14"/>
        <v>-3.5999999999999999E-3</v>
      </c>
      <c r="N54" s="1284">
        <f t="shared" si="14"/>
        <v>-7.1999999999999998E-3</v>
      </c>
      <c r="AA54" s="1370"/>
      <c r="AB54" s="1370"/>
      <c r="AC54" s="1370"/>
      <c r="AD54" s="1370"/>
      <c r="AE54" s="1370"/>
      <c r="AF54" s="1370"/>
      <c r="AG54" s="1370"/>
      <c r="AH54" s="1370"/>
      <c r="AI54" s="1370"/>
      <c r="AJ54" s="1370"/>
      <c r="AK54" s="1370"/>
    </row>
    <row r="55" spans="1:37" s="1369" customFormat="1" ht="25.5">
      <c r="A55" s="2879" t="s">
        <v>2957</v>
      </c>
      <c r="B55" s="2876" t="str">
        <f>估价对象房地状况!C22</f>
        <v>估价对象所在区域基础设施水平</v>
      </c>
      <c r="C55" s="2772" t="s">
        <v>3078</v>
      </c>
      <c r="D55" s="1285">
        <f t="shared" si="10"/>
        <v>7.1999999999999998E-3</v>
      </c>
      <c r="E55" s="821"/>
      <c r="F55" s="2503"/>
      <c r="G55" s="1283">
        <f t="shared" si="15"/>
        <v>7.1999999999999998E-3</v>
      </c>
      <c r="H55" s="1287">
        <f t="shared" si="11"/>
        <v>7.1999999999999998E-3</v>
      </c>
      <c r="I55" s="819">
        <v>0.1</v>
      </c>
      <c r="J55" s="1284">
        <f t="shared" si="12"/>
        <v>1.44E-2</v>
      </c>
      <c r="K55" s="1284">
        <f t="shared" si="13"/>
        <v>7.1999999999999998E-3</v>
      </c>
      <c r="L55" s="1284">
        <v>0</v>
      </c>
      <c r="M55" s="1284">
        <f t="shared" si="14"/>
        <v>-7.1999999999999998E-3</v>
      </c>
      <c r="N55" s="1284">
        <f t="shared" si="14"/>
        <v>-1.44E-2</v>
      </c>
      <c r="AA55" s="1370"/>
      <c r="AB55" s="1370"/>
      <c r="AC55" s="1370"/>
      <c r="AD55" s="1370"/>
      <c r="AE55" s="1370"/>
      <c r="AF55" s="1370"/>
      <c r="AG55" s="1370"/>
      <c r="AH55" s="1370"/>
      <c r="AI55" s="1370"/>
      <c r="AJ55" s="1370"/>
      <c r="AK55" s="1370"/>
    </row>
    <row r="56" spans="1:37" s="1369" customFormat="1" ht="39" thickBot="1">
      <c r="A56" s="2880" t="s">
        <v>2958</v>
      </c>
      <c r="B56" s="2881" t="str">
        <f>估价对象房地状况!C20</f>
        <v>区域自然环境：；人文环境；综合评价环境状况一般</v>
      </c>
      <c r="C56" s="2772" t="s">
        <v>3078</v>
      </c>
      <c r="D56" s="1285">
        <f t="shared" si="10"/>
        <v>4.3E-3</v>
      </c>
      <c r="E56" s="824"/>
      <c r="F56" s="2503"/>
      <c r="G56" s="1283">
        <f t="shared" si="15"/>
        <v>4.3E-3</v>
      </c>
      <c r="H56" s="1287">
        <f t="shared" si="11"/>
        <v>4.3E-3</v>
      </c>
      <c r="I56" s="823">
        <v>0.06</v>
      </c>
      <c r="J56" s="1284">
        <f t="shared" si="12"/>
        <v>8.6E-3</v>
      </c>
      <c r="K56" s="1284">
        <f t="shared" si="13"/>
        <v>4.3E-3</v>
      </c>
      <c r="L56" s="1284">
        <v>0</v>
      </c>
      <c r="M56" s="1284">
        <f t="shared" si="14"/>
        <v>-4.3E-3</v>
      </c>
      <c r="N56" s="1284">
        <f t="shared" si="14"/>
        <v>-8.6E-3</v>
      </c>
      <c r="AA56" s="1370"/>
      <c r="AB56" s="1370"/>
      <c r="AC56" s="1370"/>
      <c r="AD56" s="1370"/>
      <c r="AE56" s="1370"/>
      <c r="AF56" s="1370"/>
      <c r="AG56" s="1370"/>
      <c r="AH56" s="1370"/>
      <c r="AI56" s="1370"/>
      <c r="AJ56" s="1370"/>
      <c r="AK56" s="1370"/>
    </row>
    <row r="57" spans="1:37" s="1369" customFormat="1" ht="15">
      <c r="A57" s="2868" t="s">
        <v>2959</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2940</v>
      </c>
      <c r="B58" s="1807"/>
      <c r="C58" s="1807" t="s">
        <v>2942</v>
      </c>
      <c r="D58" s="1807" t="s">
        <v>2943</v>
      </c>
      <c r="E58" s="818" t="s">
        <v>2944</v>
      </c>
      <c r="F58" s="2873" t="s">
        <v>2960</v>
      </c>
      <c r="G58" s="1807" t="s">
        <v>754</v>
      </c>
      <c r="H58" s="2874" t="s">
        <v>2946</v>
      </c>
      <c r="I58" s="1807" t="s">
        <v>2947</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2" t="s">
        <v>2961</v>
      </c>
      <c r="B59" s="2875" t="str">
        <f>估价对象房地状况!C17</f>
        <v>估价对象位于XX商圈，周边办公楼项目较多，入驻率高，办公集聚程度较好</v>
      </c>
      <c r="C59" s="2772"/>
      <c r="D59" s="1285">
        <f t="shared" ref="D59:D67" si="16">SUMIF($J$58:$N$58,C59,J59:N59)</f>
        <v>0</v>
      </c>
      <c r="E59" s="820">
        <f>ROUND(SUM(D59:D67),4)</f>
        <v>0</v>
      </c>
      <c r="F59" s="2503"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51">
      <c r="A60" s="2872" t="s">
        <v>2949</v>
      </c>
      <c r="B60" s="2876" t="str">
        <f>估价对象房地状况!C18</f>
        <v>估价对象周边道路状况、公共交通通达情况、停车便捷程度，综合评价交通便捷度较好</v>
      </c>
      <c r="C60" s="2772"/>
      <c r="D60" s="1285">
        <f t="shared" si="16"/>
        <v>0</v>
      </c>
      <c r="E60" s="821"/>
      <c r="F60" s="2503"/>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72" t="s">
        <v>2950</v>
      </c>
      <c r="B61" s="2876">
        <f>估价对象房地状况!C19</f>
        <v>0</v>
      </c>
      <c r="C61" s="2772"/>
      <c r="D61" s="1285">
        <f t="shared" si="16"/>
        <v>0</v>
      </c>
      <c r="E61" s="821"/>
      <c r="F61" s="2503"/>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72" t="s">
        <v>2951</v>
      </c>
      <c r="B62" s="2877" t="s">
        <v>2952</v>
      </c>
      <c r="C62" s="2772"/>
      <c r="D62" s="1285">
        <f t="shared" si="16"/>
        <v>0</v>
      </c>
      <c r="E62" s="821"/>
      <c r="F62" s="2503"/>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72" t="s">
        <v>2953</v>
      </c>
      <c r="B63" s="2876">
        <f>估价对象房地状况!C24</f>
        <v>0</v>
      </c>
      <c r="C63" s="2772"/>
      <c r="D63" s="1285">
        <f t="shared" si="16"/>
        <v>0</v>
      </c>
      <c r="E63" s="821"/>
      <c r="F63" s="2503"/>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72" t="s">
        <v>2954</v>
      </c>
      <c r="B64" s="2878" t="s">
        <v>2955</v>
      </c>
      <c r="C64" s="2772"/>
      <c r="D64" s="1285">
        <f t="shared" si="16"/>
        <v>0</v>
      </c>
      <c r="E64" s="821"/>
      <c r="F64" s="2503"/>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5.5">
      <c r="A65" s="2872" t="s">
        <v>2956</v>
      </c>
      <c r="B65" s="1723" t="str">
        <f>估价对象房地状况!C21</f>
        <v>估价对象所在区域公共配套设施齐备情况</v>
      </c>
      <c r="C65" s="2772"/>
      <c r="D65" s="1285">
        <f t="shared" si="16"/>
        <v>0</v>
      </c>
      <c r="E65" s="821"/>
      <c r="F65" s="2503"/>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5.5">
      <c r="A66" s="2872" t="s">
        <v>2957</v>
      </c>
      <c r="B66" s="1723" t="str">
        <f>估价对象房地状况!C22</f>
        <v>估价对象所在区域基础设施水平</v>
      </c>
      <c r="C66" s="2772"/>
      <c r="D66" s="1285">
        <f t="shared" si="16"/>
        <v>0</v>
      </c>
      <c r="E66" s="821"/>
      <c r="F66" s="2503"/>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9" thickBot="1">
      <c r="A67" s="2880" t="s">
        <v>2958</v>
      </c>
      <c r="B67" s="2882" t="str">
        <f>估价对象房地状况!C20</f>
        <v>区域自然环境：；人文环境；综合评价环境状况一般</v>
      </c>
      <c r="C67" s="2772"/>
      <c r="D67" s="1285">
        <f t="shared" si="16"/>
        <v>0</v>
      </c>
      <c r="E67" s="824"/>
      <c r="F67" s="2503"/>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68" t="s">
        <v>2962</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2940</v>
      </c>
      <c r="B69" s="1807"/>
      <c r="C69" s="1807" t="s">
        <v>2942</v>
      </c>
      <c r="D69" s="1807" t="s">
        <v>2943</v>
      </c>
      <c r="E69" s="818" t="s">
        <v>2944</v>
      </c>
      <c r="F69" s="2873" t="s">
        <v>2960</v>
      </c>
      <c r="G69" s="1807" t="s">
        <v>754</v>
      </c>
      <c r="H69" s="2874" t="s">
        <v>2946</v>
      </c>
      <c r="I69" s="1807" t="s">
        <v>2947</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2" t="s">
        <v>2963</v>
      </c>
      <c r="B70" s="2875" t="str">
        <f>估价对象房地状况!C15</f>
        <v>估价对象周边居住用地比例、居住小区规模和社区发展完善程度，综合评价居住社区成熟度一般</v>
      </c>
      <c r="C70" s="2772"/>
      <c r="D70" s="1285">
        <f t="shared" ref="D70:D78" si="21">SUMIF($J$69:$N$69,C70,J70:N70)</f>
        <v>0</v>
      </c>
      <c r="E70" s="820">
        <f>ROUND(SUM(D70:D78),4)</f>
        <v>0</v>
      </c>
      <c r="F70" s="2503"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72" t="s">
        <v>2949</v>
      </c>
      <c r="B71" s="2876" t="str">
        <f>估价对象房地状况!C18</f>
        <v>估价对象周边道路状况、公共交通通达情况、停车便捷程度，综合评价交通便捷度较好</v>
      </c>
      <c r="C71" s="2772"/>
      <c r="D71" s="1285">
        <f t="shared" si="21"/>
        <v>0</v>
      </c>
      <c r="E71" s="825"/>
      <c r="F71" s="2503"/>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2" t="s">
        <v>2950</v>
      </c>
      <c r="B72" s="2876">
        <f>估价对象房地状况!C19</f>
        <v>0</v>
      </c>
      <c r="C72" s="2772"/>
      <c r="D72" s="1285">
        <f t="shared" si="21"/>
        <v>0</v>
      </c>
      <c r="E72" s="825"/>
      <c r="F72" s="2503"/>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2" t="s">
        <v>2964</v>
      </c>
      <c r="B73" s="2876">
        <f>估价对象房地状况!C24</f>
        <v>0</v>
      </c>
      <c r="C73" s="2772"/>
      <c r="D73" s="1285">
        <f t="shared" si="21"/>
        <v>0</v>
      </c>
      <c r="E73" s="825"/>
      <c r="F73" s="2503"/>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72" t="s">
        <v>2956</v>
      </c>
      <c r="B74" s="1723" t="str">
        <f>估价对象房地状况!C21</f>
        <v>估价对象所在区域公共配套设施齐备情况</v>
      </c>
      <c r="C74" s="2772"/>
      <c r="D74" s="1285">
        <f t="shared" si="21"/>
        <v>0</v>
      </c>
      <c r="E74" s="825"/>
      <c r="F74" s="2503"/>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2" t="s">
        <v>2957</v>
      </c>
      <c r="B75" s="1723" t="str">
        <f>估价对象房地状况!C22</f>
        <v>估价对象所在区域基础设施水平</v>
      </c>
      <c r="C75" s="2772"/>
      <c r="D75" s="1285">
        <f t="shared" si="21"/>
        <v>0</v>
      </c>
      <c r="E75" s="825"/>
      <c r="F75" s="2503"/>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21" customFormat="1" ht="24">
      <c r="A76" s="2872" t="s">
        <v>2954</v>
      </c>
      <c r="B76" s="2878" t="s">
        <v>2955</v>
      </c>
      <c r="C76" s="2772"/>
      <c r="D76" s="1285">
        <f t="shared" si="21"/>
        <v>0</v>
      </c>
      <c r="E76" s="825"/>
      <c r="F76" s="2503"/>
      <c r="G76" s="1283"/>
      <c r="H76" s="1287" t="str">
        <f t="shared" si="22"/>
        <v>——</v>
      </c>
      <c r="I76" s="819">
        <v>0.05</v>
      </c>
      <c r="J76" s="1284">
        <f t="shared" si="23"/>
        <v>0</v>
      </c>
      <c r="K76" s="1284">
        <f t="shared" si="24"/>
        <v>0</v>
      </c>
      <c r="L76" s="1284">
        <v>0</v>
      </c>
      <c r="M76" s="1284">
        <f t="shared" si="25"/>
        <v>0</v>
      </c>
      <c r="N76" s="1284">
        <f t="shared" si="25"/>
        <v>0</v>
      </c>
      <c r="AA76" s="2883"/>
      <c r="AB76" s="1370"/>
      <c r="AC76" s="1370"/>
      <c r="AD76" s="1370"/>
      <c r="AE76" s="1370"/>
      <c r="AF76" s="1370"/>
      <c r="AG76" s="1370"/>
      <c r="AH76" s="2883"/>
      <c r="AI76" s="2883"/>
      <c r="AJ76" s="2883"/>
      <c r="AK76" s="2883"/>
    </row>
    <row r="77" spans="1:37" ht="38.25">
      <c r="A77" s="2872" t="s">
        <v>2958</v>
      </c>
      <c r="B77" s="2875" t="str">
        <f>估价对象房地状况!C20</f>
        <v>区域自然环境：；人文环境；综合评价环境状况一般</v>
      </c>
      <c r="C77" s="2772"/>
      <c r="D77" s="1285">
        <f t="shared" si="21"/>
        <v>0</v>
      </c>
      <c r="E77" s="825"/>
      <c r="F77" s="2503"/>
      <c r="G77" s="1283"/>
      <c r="H77" s="1287" t="str">
        <f t="shared" si="22"/>
        <v>——</v>
      </c>
      <c r="I77" s="819">
        <v>0.15</v>
      </c>
      <c r="J77" s="1284">
        <f t="shared" si="23"/>
        <v>0</v>
      </c>
      <c r="K77" s="1284">
        <f t="shared" si="24"/>
        <v>0</v>
      </c>
      <c r="L77" s="1284">
        <v>0</v>
      </c>
      <c r="M77" s="1284">
        <f t="shared" si="25"/>
        <v>0</v>
      </c>
      <c r="N77" s="1284">
        <f t="shared" si="25"/>
        <v>0</v>
      </c>
      <c r="Z77" s="2722"/>
      <c r="AA77" s="2790"/>
      <c r="AG77" s="1371"/>
      <c r="AK77" s="2790"/>
    </row>
    <row r="78" spans="1:37" ht="24.75" thickBot="1">
      <c r="A78" s="2880" t="s">
        <v>2965</v>
      </c>
      <c r="B78" s="2884"/>
      <c r="C78" s="2772"/>
      <c r="D78" s="1285">
        <f t="shared" si="21"/>
        <v>0</v>
      </c>
      <c r="E78" s="826"/>
      <c r="F78" s="2503"/>
      <c r="G78" s="1283"/>
      <c r="H78" s="1287" t="str">
        <f t="shared" si="22"/>
        <v>——</v>
      </c>
      <c r="I78" s="823">
        <v>0.04</v>
      </c>
      <c r="J78" s="1284">
        <f t="shared" si="23"/>
        <v>0</v>
      </c>
      <c r="K78" s="1284">
        <f t="shared" si="24"/>
        <v>0</v>
      </c>
      <c r="L78" s="1284">
        <v>0</v>
      </c>
      <c r="M78" s="1284">
        <f t="shared" si="25"/>
        <v>0</v>
      </c>
      <c r="N78" s="1284">
        <f t="shared" si="25"/>
        <v>0</v>
      </c>
      <c r="Z78" s="2722"/>
      <c r="AA78" s="2790"/>
      <c r="AG78" s="1371"/>
      <c r="AK78" s="2790"/>
    </row>
    <row r="79" spans="1:37" ht="15">
      <c r="A79" s="2868" t="s">
        <v>2966</v>
      </c>
      <c r="B79" s="2869">
        <f>1+E81</f>
        <v>1</v>
      </c>
      <c r="C79" s="813"/>
      <c r="D79" s="813"/>
      <c r="E79" s="814"/>
      <c r="F79" s="2871"/>
      <c r="G79" s="6"/>
      <c r="H79" s="6"/>
      <c r="I79" s="6"/>
      <c r="J79" s="7"/>
      <c r="K79" s="7"/>
      <c r="L79" s="7"/>
      <c r="M79" s="7"/>
      <c r="N79" s="7"/>
      <c r="Z79" s="2722"/>
      <c r="AA79" s="2790"/>
      <c r="AG79" s="1371"/>
      <c r="AK79" s="2790"/>
    </row>
    <row r="80" spans="1:37" ht="24.75">
      <c r="A80" s="2872" t="s">
        <v>2940</v>
      </c>
      <c r="B80" s="1807"/>
      <c r="C80" s="1807" t="s">
        <v>2942</v>
      </c>
      <c r="D80" s="1807" t="s">
        <v>2943</v>
      </c>
      <c r="E80" s="818" t="s">
        <v>2944</v>
      </c>
      <c r="F80" s="2873" t="s">
        <v>2960</v>
      </c>
      <c r="G80" s="1807" t="s">
        <v>754</v>
      </c>
      <c r="H80" s="2874" t="s">
        <v>2946</v>
      </c>
      <c r="I80" s="1807" t="s">
        <v>2947</v>
      </c>
      <c r="J80" s="603" t="s">
        <v>2597</v>
      </c>
      <c r="K80" s="603" t="s">
        <v>2598</v>
      </c>
      <c r="L80" s="603" t="s">
        <v>2599</v>
      </c>
      <c r="M80" s="603" t="s">
        <v>2600</v>
      </c>
      <c r="N80" s="603" t="s">
        <v>2601</v>
      </c>
      <c r="Z80" s="2722"/>
      <c r="AA80" s="2790"/>
      <c r="AG80" s="1371"/>
      <c r="AK80" s="2790"/>
    </row>
    <row r="81" spans="1:37" ht="38.25">
      <c r="A81" s="2872" t="s">
        <v>2967</v>
      </c>
      <c r="B81" s="2876" t="str">
        <f>估价对象房地状况!G15</f>
        <v>估价对象位于XX开发区，园区建设成熟度XX，产业集聚程度XX</v>
      </c>
      <c r="C81" s="2772"/>
      <c r="D81" s="1285">
        <f t="shared" ref="D81:D88" si="26">SUMIF($J$80:$N$80,C81,J81:N81)</f>
        <v>0</v>
      </c>
      <c r="E81" s="820">
        <f>ROUND(SUM(D81:D88),4)</f>
        <v>0</v>
      </c>
      <c r="F81" s="2503"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22"/>
      <c r="AA81" s="2790"/>
      <c r="AG81" s="1371"/>
      <c r="AK81" s="2790"/>
    </row>
    <row r="82" spans="1:37" ht="51">
      <c r="A82" s="2872" t="s">
        <v>2949</v>
      </c>
      <c r="B82" s="2876" t="str">
        <f>估价对象房地状况!G16</f>
        <v>估价对象周边道路状况、公共交通通达情况、停车便捷程度，综合评价交通便捷度较好</v>
      </c>
      <c r="C82" s="2772"/>
      <c r="D82" s="1285">
        <f t="shared" si="26"/>
        <v>0</v>
      </c>
      <c r="E82" s="825"/>
      <c r="F82" s="2503"/>
      <c r="G82" s="1283"/>
      <c r="H82" s="1287" t="str">
        <f t="shared" si="27"/>
        <v>——</v>
      </c>
      <c r="I82" s="819">
        <v>0.33</v>
      </c>
      <c r="J82" s="1284">
        <f t="shared" si="28"/>
        <v>0</v>
      </c>
      <c r="K82" s="1284">
        <f t="shared" si="29"/>
        <v>0</v>
      </c>
      <c r="L82" s="1284">
        <v>0</v>
      </c>
      <c r="M82" s="1284">
        <f t="shared" si="30"/>
        <v>0</v>
      </c>
      <c r="N82" s="1284">
        <f t="shared" si="30"/>
        <v>0</v>
      </c>
      <c r="Z82" s="2722"/>
      <c r="AA82" s="2790"/>
      <c r="AG82" s="1371"/>
      <c r="AK82" s="2790"/>
    </row>
    <row r="83" spans="1:37" ht="24">
      <c r="A83" s="2872" t="s">
        <v>2950</v>
      </c>
      <c r="B83" s="2876">
        <f>估价对象房地状况!G17</f>
        <v>0</v>
      </c>
      <c r="C83" s="2772"/>
      <c r="D83" s="1285">
        <f t="shared" si="26"/>
        <v>0</v>
      </c>
      <c r="E83" s="825"/>
      <c r="F83" s="2503"/>
      <c r="G83" s="1283"/>
      <c r="H83" s="1287" t="str">
        <f t="shared" si="27"/>
        <v>——</v>
      </c>
      <c r="I83" s="819">
        <v>0.05</v>
      </c>
      <c r="J83" s="1284">
        <f t="shared" si="28"/>
        <v>0</v>
      </c>
      <c r="K83" s="1284">
        <f t="shared" si="29"/>
        <v>0</v>
      </c>
      <c r="L83" s="1284">
        <v>0</v>
      </c>
      <c r="M83" s="1284">
        <f t="shared" si="30"/>
        <v>0</v>
      </c>
      <c r="N83" s="1284">
        <f t="shared" si="30"/>
        <v>0</v>
      </c>
      <c r="Z83" s="2722"/>
      <c r="AA83" s="2790"/>
      <c r="AG83" s="1371"/>
      <c r="AK83" s="2790"/>
    </row>
    <row r="84" spans="1:37" ht="14.25">
      <c r="A84" s="2872" t="s">
        <v>2964</v>
      </c>
      <c r="B84" s="2876">
        <f>估价对象房地状况!G22</f>
        <v>0</v>
      </c>
      <c r="C84" s="2772"/>
      <c r="D84" s="1285">
        <f t="shared" si="26"/>
        <v>0</v>
      </c>
      <c r="E84" s="825"/>
      <c r="F84" s="2503"/>
      <c r="G84" s="1283"/>
      <c r="H84" s="1287" t="str">
        <f t="shared" si="27"/>
        <v>——</v>
      </c>
      <c r="I84" s="819">
        <v>0.04</v>
      </c>
      <c r="J84" s="1284">
        <f t="shared" si="28"/>
        <v>0</v>
      </c>
      <c r="K84" s="1284">
        <f t="shared" si="29"/>
        <v>0</v>
      </c>
      <c r="L84" s="1284">
        <v>0</v>
      </c>
      <c r="M84" s="1284">
        <f t="shared" si="30"/>
        <v>0</v>
      </c>
      <c r="N84" s="1284">
        <f t="shared" si="30"/>
        <v>0</v>
      </c>
      <c r="Z84" s="2722"/>
      <c r="AA84" s="2790"/>
      <c r="AG84" s="1371"/>
      <c r="AK84" s="2790"/>
    </row>
    <row r="85" spans="1:37" ht="25.5">
      <c r="A85" s="2872" t="s">
        <v>2956</v>
      </c>
      <c r="B85" s="1723" t="str">
        <f>估价对象房地状况!G19</f>
        <v>估价对象所在区域公共配套设施齐备情况</v>
      </c>
      <c r="C85" s="2772"/>
      <c r="D85" s="1285">
        <f t="shared" si="26"/>
        <v>0</v>
      </c>
      <c r="E85" s="825"/>
      <c r="F85" s="2503"/>
      <c r="G85" s="1283"/>
      <c r="H85" s="1287" t="str">
        <f t="shared" si="27"/>
        <v>——</v>
      </c>
      <c r="I85" s="819">
        <v>0.06</v>
      </c>
      <c r="J85" s="1284">
        <f t="shared" si="28"/>
        <v>0</v>
      </c>
      <c r="K85" s="1284">
        <f t="shared" si="29"/>
        <v>0</v>
      </c>
      <c r="L85" s="1284">
        <v>0</v>
      </c>
      <c r="M85" s="1284">
        <f t="shared" si="30"/>
        <v>0</v>
      </c>
      <c r="N85" s="1284">
        <f t="shared" si="30"/>
        <v>0</v>
      </c>
      <c r="Z85" s="2722"/>
      <c r="AA85" s="2790"/>
      <c r="AG85" s="1371"/>
      <c r="AK85" s="2790"/>
    </row>
    <row r="86" spans="1:37" ht="25.5">
      <c r="A86" s="2872" t="s">
        <v>2957</v>
      </c>
      <c r="B86" s="1723" t="str">
        <f>估价对象房地状况!G20</f>
        <v>估价对象所在区域基础设施水平</v>
      </c>
      <c r="C86" s="2772"/>
      <c r="D86" s="1285">
        <f t="shared" si="26"/>
        <v>0</v>
      </c>
      <c r="E86" s="825"/>
      <c r="F86" s="2503"/>
      <c r="G86" s="1283"/>
      <c r="H86" s="1287" t="str">
        <f t="shared" si="27"/>
        <v>——</v>
      </c>
      <c r="I86" s="819">
        <v>0.15</v>
      </c>
      <c r="J86" s="1284">
        <f t="shared" si="28"/>
        <v>0</v>
      </c>
      <c r="K86" s="1284">
        <f t="shared" si="29"/>
        <v>0</v>
      </c>
      <c r="L86" s="1284">
        <v>0</v>
      </c>
      <c r="M86" s="1284">
        <f t="shared" si="30"/>
        <v>0</v>
      </c>
      <c r="N86" s="1284">
        <f t="shared" si="30"/>
        <v>0</v>
      </c>
      <c r="Z86" s="2722"/>
      <c r="AA86" s="2790"/>
      <c r="AG86" s="1371"/>
      <c r="AK86" s="2790"/>
    </row>
    <row r="87" spans="1:37" ht="24">
      <c r="A87" s="2872" t="s">
        <v>2954</v>
      </c>
      <c r="B87" s="2878" t="s">
        <v>2968</v>
      </c>
      <c r="C87" s="2772"/>
      <c r="D87" s="1285">
        <f t="shared" si="26"/>
        <v>0</v>
      </c>
      <c r="E87" s="825"/>
      <c r="F87" s="2503"/>
      <c r="G87" s="1283"/>
      <c r="H87" s="1287" t="str">
        <f t="shared" si="27"/>
        <v>——</v>
      </c>
      <c r="I87" s="819">
        <v>0.05</v>
      </c>
      <c r="J87" s="1284">
        <f t="shared" si="28"/>
        <v>0</v>
      </c>
      <c r="K87" s="1284">
        <f t="shared" si="29"/>
        <v>0</v>
      </c>
      <c r="L87" s="1284">
        <v>0</v>
      </c>
      <c r="M87" s="1284">
        <f t="shared" si="30"/>
        <v>0</v>
      </c>
      <c r="N87" s="1284">
        <f t="shared" si="30"/>
        <v>0</v>
      </c>
      <c r="Z87" s="2722"/>
      <c r="AA87" s="2790"/>
      <c r="AG87" s="1371"/>
      <c r="AK87" s="2790"/>
    </row>
    <row r="88" spans="1:37" ht="39" thickBot="1">
      <c r="A88" s="2880" t="s">
        <v>2969</v>
      </c>
      <c r="B88" s="2885" t="str">
        <f>估价对象房地状况!G18</f>
        <v>该园区内是否有污染型企业，绿化情况，卫生条件，整体环境状况判断</v>
      </c>
      <c r="C88" s="2772"/>
      <c r="D88" s="1285">
        <f t="shared" si="26"/>
        <v>0</v>
      </c>
      <c r="E88" s="826"/>
      <c r="F88" s="2503"/>
      <c r="G88" s="1283"/>
      <c r="H88" s="1287" t="str">
        <f t="shared" si="27"/>
        <v>——</v>
      </c>
      <c r="I88" s="823">
        <v>0.06</v>
      </c>
      <c r="J88" s="1284">
        <f t="shared" si="28"/>
        <v>0</v>
      </c>
      <c r="K88" s="1284">
        <f t="shared" si="29"/>
        <v>0</v>
      </c>
      <c r="L88" s="1284">
        <v>0</v>
      </c>
      <c r="M88" s="1284">
        <f t="shared" si="30"/>
        <v>0</v>
      </c>
      <c r="N88" s="1284">
        <f t="shared" si="30"/>
        <v>0</v>
      </c>
      <c r="Z88" s="2722"/>
      <c r="AA88" s="2790"/>
      <c r="AG88" s="1371"/>
      <c r="AK88" s="2790"/>
    </row>
    <row r="90" spans="1:37">
      <c r="A90" s="3251" t="s">
        <v>2970</v>
      </c>
      <c r="B90" s="3251"/>
      <c r="C90" s="3251"/>
      <c r="D90" s="3251"/>
      <c r="E90" s="3251"/>
      <c r="F90" s="3251"/>
      <c r="G90" s="3251"/>
      <c r="H90" s="3251"/>
      <c r="I90" s="3251"/>
      <c r="J90" s="3251"/>
      <c r="K90" s="2886"/>
      <c r="L90" s="2886"/>
      <c r="M90" s="2886"/>
      <c r="N90" s="2886"/>
    </row>
    <row r="91" spans="1:37">
      <c r="A91" s="3253" t="s">
        <v>2971</v>
      </c>
      <c r="B91" s="3253" t="s">
        <v>2972</v>
      </c>
      <c r="C91" s="2840" t="s">
        <v>2973</v>
      </c>
      <c r="D91" s="2841"/>
      <c r="E91" s="2841"/>
      <c r="F91" s="2841"/>
      <c r="G91" s="2841"/>
      <c r="H91" s="2841"/>
      <c r="I91" s="2841"/>
      <c r="J91" s="2887"/>
      <c r="K91" s="2888"/>
      <c r="L91" s="2888"/>
      <c r="M91" s="2888"/>
      <c r="N91" s="2888"/>
    </row>
    <row r="92" spans="1:37">
      <c r="A92" s="3253"/>
      <c r="B92" s="3253"/>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54"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5"/>
      <c r="B99" s="2889" t="s">
        <v>2856</v>
      </c>
      <c r="C99" s="2891">
        <f>$I$3</f>
        <v>6</v>
      </c>
      <c r="D99" s="2891">
        <f t="shared" ref="D99:M99" si="31">$I$3</f>
        <v>6</v>
      </c>
      <c r="E99" s="2891">
        <f t="shared" si="31"/>
        <v>6</v>
      </c>
      <c r="F99" s="2891">
        <f t="shared" si="31"/>
        <v>6</v>
      </c>
      <c r="G99" s="2891">
        <f t="shared" si="31"/>
        <v>6</v>
      </c>
      <c r="H99" s="2891">
        <f t="shared" si="31"/>
        <v>6</v>
      </c>
      <c r="I99" s="2891">
        <f t="shared" si="31"/>
        <v>6</v>
      </c>
      <c r="J99" s="2891">
        <f t="shared" si="31"/>
        <v>6</v>
      </c>
      <c r="K99" s="2891">
        <f t="shared" si="31"/>
        <v>6</v>
      </c>
      <c r="L99" s="2891">
        <f t="shared" si="31"/>
        <v>6</v>
      </c>
      <c r="M99" s="2891">
        <f t="shared" si="31"/>
        <v>6</v>
      </c>
      <c r="N99" s="2891">
        <f>$I$3</f>
        <v>6</v>
      </c>
    </row>
    <row r="100" spans="1:14">
      <c r="A100" s="3256"/>
      <c r="B100" s="2889">
        <v>7</v>
      </c>
      <c r="C100" s="2892">
        <f>(-0.163*(C99^2)-0.59*C99+7617)*(10^(-4))</f>
        <v>0.76075919999999997</v>
      </c>
      <c r="D100" s="2892">
        <f>(-0.163*(D99^2)-0.59*D99+7617)*(10^(-4))</f>
        <v>0.76075919999999997</v>
      </c>
      <c r="E100" s="2892">
        <f>(-0.161*(E99^2)-7.509*E99+6533)*(10^(-4))</f>
        <v>0.64821499999999999</v>
      </c>
      <c r="F100" s="2892">
        <f>(-0.161*(F99^2)-7.509*F99+6533)*(10^(-4))</f>
        <v>0.64821499999999999</v>
      </c>
      <c r="G100" s="2892">
        <f>(-0.161*(G99^2)-7.509*G99+6533)*(10^(-4))</f>
        <v>0.64821499999999999</v>
      </c>
      <c r="H100" s="2892">
        <f>(-0.161*(H99^2)-7.509*H99+6533)*(10^(-4))</f>
        <v>0.64821499999999999</v>
      </c>
      <c r="I100" s="2892">
        <f>(-0.161*(I99^2)-7.509*I99+6533)*(10^(-4))</f>
        <v>0.64821499999999999</v>
      </c>
      <c r="J100" s="2892">
        <f>(-0.214*(J99^2)-21.991*J99+4665)*(10^(-4))</f>
        <v>0.45253500000000008</v>
      </c>
      <c r="K100" s="2892">
        <f>(-0.214*(K99^2)-21.991*K99+4665)*(10^(-4))</f>
        <v>0.45253500000000008</v>
      </c>
      <c r="L100" s="2892">
        <f>(-0.214*(L99^2)-21.991*L99+4665)*(10^(-4))</f>
        <v>0.45253500000000008</v>
      </c>
      <c r="M100" s="2892">
        <f>(-0.214*(M99^2)-21.991*M99+4665)*(10^(-4))</f>
        <v>0.45253500000000008</v>
      </c>
      <c r="N100" s="2892">
        <f>(-0.214*(N99^2)-21.991*N99+4665)*(10^(-4))</f>
        <v>0.45253500000000008</v>
      </c>
    </row>
    <row r="101" spans="1:14">
      <c r="A101" s="3254" t="s">
        <v>2975</v>
      </c>
      <c r="B101" s="2893" t="s">
        <v>2976</v>
      </c>
      <c r="C101" s="2894">
        <f>$G$3</f>
        <v>2</v>
      </c>
      <c r="D101" s="2894">
        <f t="shared" ref="D101:N101" si="32">$G$3</f>
        <v>2</v>
      </c>
      <c r="E101" s="2894">
        <f t="shared" si="32"/>
        <v>2</v>
      </c>
      <c r="F101" s="2894">
        <f t="shared" si="32"/>
        <v>2</v>
      </c>
      <c r="G101" s="2894">
        <f t="shared" si="32"/>
        <v>2</v>
      </c>
      <c r="H101" s="2894">
        <f t="shared" si="32"/>
        <v>2</v>
      </c>
      <c r="I101" s="2894">
        <f t="shared" si="32"/>
        <v>2</v>
      </c>
      <c r="J101" s="2894">
        <f t="shared" si="32"/>
        <v>2</v>
      </c>
      <c r="K101" s="2894">
        <f t="shared" si="32"/>
        <v>2</v>
      </c>
      <c r="L101" s="2894">
        <f t="shared" si="32"/>
        <v>2</v>
      </c>
      <c r="M101" s="2894">
        <f t="shared" si="32"/>
        <v>2</v>
      </c>
      <c r="N101" s="2894">
        <f t="shared" si="32"/>
        <v>2</v>
      </c>
    </row>
    <row r="102" spans="1:14">
      <c r="A102" s="3255"/>
      <c r="B102" s="2889">
        <v>1</v>
      </c>
      <c r="C102" s="2890">
        <f>1.9362/C101</f>
        <v>0.96809999999999996</v>
      </c>
      <c r="D102" s="2890">
        <f>1.9362/D101</f>
        <v>0.96809999999999996</v>
      </c>
      <c r="E102" s="2890">
        <f>1.8629/E101</f>
        <v>0.93145</v>
      </c>
      <c r="F102" s="2890">
        <f>1.8629/F101</f>
        <v>0.93145</v>
      </c>
      <c r="G102" s="2890">
        <f>1.8629/G101</f>
        <v>0.93145</v>
      </c>
      <c r="H102" s="2890">
        <f>1.8629/H101</f>
        <v>0.93145</v>
      </c>
      <c r="I102" s="2890">
        <f>1.8629/I101</f>
        <v>0.93145</v>
      </c>
      <c r="J102" s="2890">
        <f>1.942/J101</f>
        <v>0.97099999999999997</v>
      </c>
      <c r="K102" s="2890">
        <f>1.942/K101</f>
        <v>0.97099999999999997</v>
      </c>
      <c r="L102" s="2890">
        <f>1.942/L101</f>
        <v>0.97099999999999997</v>
      </c>
      <c r="M102" s="2890">
        <f>1.942/M101</f>
        <v>0.97099999999999997</v>
      </c>
      <c r="N102" s="2890">
        <f>1.942/N101</f>
        <v>0.97099999999999997</v>
      </c>
    </row>
    <row r="103" spans="1:14">
      <c r="A103" s="3255"/>
      <c r="B103" s="2889">
        <v>2</v>
      </c>
      <c r="C103" s="2890">
        <f>1.4198/C101</f>
        <v>0.70989999999999998</v>
      </c>
      <c r="D103" s="2890">
        <f>1.4198/D101</f>
        <v>0.70989999999999998</v>
      </c>
      <c r="E103" s="2890">
        <f>1.3372/E101</f>
        <v>0.66859999999999997</v>
      </c>
      <c r="F103" s="2890">
        <f>1.3372/F101</f>
        <v>0.66859999999999997</v>
      </c>
      <c r="G103" s="2890">
        <f>1.3372/G101</f>
        <v>0.66859999999999997</v>
      </c>
      <c r="H103" s="2890">
        <f>1.3372/H101</f>
        <v>0.66859999999999997</v>
      </c>
      <c r="I103" s="2890">
        <f>1.3372/I101</f>
        <v>0.66859999999999997</v>
      </c>
      <c r="J103" s="2890">
        <f>1.2799/J101</f>
        <v>0.63995000000000002</v>
      </c>
      <c r="K103" s="2890">
        <f>1.2799/K101</f>
        <v>0.63995000000000002</v>
      </c>
      <c r="L103" s="2890">
        <f>1.2799/L101</f>
        <v>0.63995000000000002</v>
      </c>
      <c r="M103" s="2890">
        <f>1.2799/M101</f>
        <v>0.63995000000000002</v>
      </c>
      <c r="N103" s="2890">
        <f>1.2799/N101</f>
        <v>0.63995000000000002</v>
      </c>
    </row>
    <row r="104" spans="1:14">
      <c r="A104" s="3255"/>
      <c r="B104" s="2889">
        <v>3</v>
      </c>
      <c r="C104" s="2890">
        <f>1.1594/C101</f>
        <v>0.57969999999999999</v>
      </c>
      <c r="D104" s="2890">
        <f>1.1594/D101</f>
        <v>0.57969999999999999</v>
      </c>
      <c r="E104" s="2890">
        <f>1.0788/E101</f>
        <v>0.53939999999999999</v>
      </c>
      <c r="F104" s="2890">
        <f>1.0788/F101</f>
        <v>0.53939999999999999</v>
      </c>
      <c r="G104" s="2890">
        <f>1.0788/G101</f>
        <v>0.53939999999999999</v>
      </c>
      <c r="H104" s="2890">
        <f>1.0788/H101</f>
        <v>0.53939999999999999</v>
      </c>
      <c r="I104" s="2890">
        <f>1.0788/I101</f>
        <v>0.53939999999999999</v>
      </c>
      <c r="J104" s="2890">
        <f>1.0072/J101</f>
        <v>0.50360000000000005</v>
      </c>
      <c r="K104" s="2890">
        <f>1.0072/K101</f>
        <v>0.50360000000000005</v>
      </c>
      <c r="L104" s="2890">
        <f>1.0072/L101</f>
        <v>0.50360000000000005</v>
      </c>
      <c r="M104" s="2890">
        <f>1.0072/M101</f>
        <v>0.50360000000000005</v>
      </c>
      <c r="N104" s="2890">
        <f>1.0072/N101</f>
        <v>0.50360000000000005</v>
      </c>
    </row>
    <row r="105" spans="1:14">
      <c r="A105" s="3255"/>
      <c r="B105" s="2889">
        <v>4</v>
      </c>
      <c r="C105" s="2890">
        <f>0.9622/C101</f>
        <v>0.48110000000000003</v>
      </c>
      <c r="D105" s="2890">
        <f>0.9622/D101</f>
        <v>0.48110000000000003</v>
      </c>
      <c r="E105" s="2890">
        <f>0.8656/E101</f>
        <v>0.43280000000000002</v>
      </c>
      <c r="F105" s="2890">
        <f>0.8656/F101</f>
        <v>0.43280000000000002</v>
      </c>
      <c r="G105" s="2890">
        <f>0.8656/G101</f>
        <v>0.43280000000000002</v>
      </c>
      <c r="H105" s="2890">
        <f>0.8656/H101</f>
        <v>0.43280000000000002</v>
      </c>
      <c r="I105" s="2890">
        <f>0.8656/I101</f>
        <v>0.43280000000000002</v>
      </c>
      <c r="J105" s="2890">
        <f>0.7525/J101</f>
        <v>0.37624999999999997</v>
      </c>
      <c r="K105" s="2890">
        <f>0.7525/K101</f>
        <v>0.37624999999999997</v>
      </c>
      <c r="L105" s="2890">
        <f>0.7525/L101</f>
        <v>0.37624999999999997</v>
      </c>
      <c r="M105" s="2890">
        <f>0.7525/M101</f>
        <v>0.37624999999999997</v>
      </c>
      <c r="N105" s="2890">
        <f>0.7525/N101</f>
        <v>0.37624999999999997</v>
      </c>
    </row>
    <row r="106" spans="1:14">
      <c r="A106" s="3255"/>
      <c r="B106" s="2889">
        <v>5</v>
      </c>
      <c r="C106" s="2890">
        <f>0.8417/C101</f>
        <v>0.42085</v>
      </c>
      <c r="D106" s="2890">
        <f>0.8417/D101</f>
        <v>0.42085</v>
      </c>
      <c r="E106" s="2890">
        <f>0.7371/E101</f>
        <v>0.36854999999999999</v>
      </c>
      <c r="F106" s="2890">
        <f>0.7371/F101</f>
        <v>0.36854999999999999</v>
      </c>
      <c r="G106" s="2890">
        <f>0.7371/G101</f>
        <v>0.36854999999999999</v>
      </c>
      <c r="H106" s="2890">
        <f>0.7371/H101</f>
        <v>0.36854999999999999</v>
      </c>
      <c r="I106" s="2890">
        <f>0.7371/I101</f>
        <v>0.36854999999999999</v>
      </c>
      <c r="J106" s="2890">
        <f>0.5659/J101</f>
        <v>0.28294999999999998</v>
      </c>
      <c r="K106" s="2890">
        <f>0.5659/K101</f>
        <v>0.28294999999999998</v>
      </c>
      <c r="L106" s="2890">
        <f>0.5659/L101</f>
        <v>0.28294999999999998</v>
      </c>
      <c r="M106" s="2890">
        <f>0.5659/M101</f>
        <v>0.28294999999999998</v>
      </c>
      <c r="N106" s="2890">
        <f>0.5659/N101</f>
        <v>0.28294999999999998</v>
      </c>
    </row>
    <row r="107" spans="1:14">
      <c r="A107" s="3255"/>
      <c r="B107" s="2889">
        <v>6</v>
      </c>
      <c r="C107" s="2890">
        <f>0.7608/C101</f>
        <v>0.38040000000000002</v>
      </c>
      <c r="D107" s="2890">
        <f>0.7608/D101</f>
        <v>0.38040000000000002</v>
      </c>
      <c r="E107" s="2890">
        <f>0.6482/E101</f>
        <v>0.3241</v>
      </c>
      <c r="F107" s="2890">
        <f>0.6482/F101</f>
        <v>0.3241</v>
      </c>
      <c r="G107" s="2890">
        <f>0.6482/G101</f>
        <v>0.3241</v>
      </c>
      <c r="H107" s="2890">
        <f>0.6482/H101</f>
        <v>0.3241</v>
      </c>
      <c r="I107" s="2890">
        <f>0.6482/I101</f>
        <v>0.3241</v>
      </c>
      <c r="J107" s="2890">
        <f>0.4525/J101</f>
        <v>0.22625000000000001</v>
      </c>
      <c r="K107" s="2890">
        <f>0.4525/K101</f>
        <v>0.22625000000000001</v>
      </c>
      <c r="L107" s="2890">
        <f>0.4525/L101</f>
        <v>0.22625000000000001</v>
      </c>
      <c r="M107" s="2890">
        <f>0.4525/M101</f>
        <v>0.22625000000000001</v>
      </c>
      <c r="N107" s="2890">
        <f>0.4525/N101</f>
        <v>0.22625000000000001</v>
      </c>
    </row>
    <row r="108" spans="1:14">
      <c r="A108" s="3255"/>
      <c r="B108" s="3083" t="s">
        <v>2977</v>
      </c>
      <c r="C108" s="2891">
        <f>C99</f>
        <v>6</v>
      </c>
      <c r="D108" s="2891">
        <f t="shared" ref="D108:N108" si="33">D99</f>
        <v>6</v>
      </c>
      <c r="E108" s="2891">
        <f t="shared" si="33"/>
        <v>6</v>
      </c>
      <c r="F108" s="2891">
        <f t="shared" si="33"/>
        <v>6</v>
      </c>
      <c r="G108" s="2891">
        <f t="shared" si="33"/>
        <v>6</v>
      </c>
      <c r="H108" s="2891">
        <f t="shared" si="33"/>
        <v>6</v>
      </c>
      <c r="I108" s="2891">
        <f t="shared" si="33"/>
        <v>6</v>
      </c>
      <c r="J108" s="2891">
        <f t="shared" si="33"/>
        <v>6</v>
      </c>
      <c r="K108" s="2891">
        <f t="shared" si="33"/>
        <v>6</v>
      </c>
      <c r="L108" s="2891">
        <f t="shared" si="33"/>
        <v>6</v>
      </c>
      <c r="M108" s="2891">
        <f t="shared" si="33"/>
        <v>6</v>
      </c>
      <c r="N108" s="2891">
        <f t="shared" si="33"/>
        <v>6</v>
      </c>
    </row>
    <row r="109" spans="1:14">
      <c r="A109" s="3256"/>
      <c r="B109" s="3084"/>
      <c r="C109" s="2892">
        <f>(-0.163*(C108^2)-0.59*C108+7617)*(10^(-4))/C101</f>
        <v>0.38037959999999998</v>
      </c>
      <c r="D109" s="2892">
        <f>(-0.163*(D108^2)-0.59*D108+7617)*(10^(-4))/D101</f>
        <v>0.38037959999999998</v>
      </c>
      <c r="E109" s="2892">
        <f>(-0.161*(E108^2)-7.509*E108+6533)*(10^(-4))/E101</f>
        <v>0.32410749999999999</v>
      </c>
      <c r="F109" s="2892">
        <f>(-0.161*(F108^2)-7.509*F108+6533)*(10^(-4))/F101</f>
        <v>0.32410749999999999</v>
      </c>
      <c r="G109" s="2892">
        <f>(-0.161*(G108^2)-7.509*G108+6533)*(10^(-4))/G101</f>
        <v>0.32410749999999999</v>
      </c>
      <c r="H109" s="2892">
        <f>(-0.161*(H108^2)-7.509*H108+6533)*(10^(-4))/H101</f>
        <v>0.32410749999999999</v>
      </c>
      <c r="I109" s="2892">
        <f>(-0.161*(I108^2)-7.509*I108+6533)*(10^(-4))/I101</f>
        <v>0.32410749999999999</v>
      </c>
      <c r="J109" s="2892">
        <f>(-0.214*(J108^2)-21.991*J108+4665)*(10^(-4))/J101</f>
        <v>0.22626750000000004</v>
      </c>
      <c r="K109" s="2892">
        <f>(-0.214*(K108^2)-21.991*K108+4665)*(10^(-4))/K101</f>
        <v>0.22626750000000004</v>
      </c>
      <c r="L109" s="2892">
        <f>(-0.214*(L108^2)-21.991*L108+4665)*(10^(-4))/L101</f>
        <v>0.22626750000000004</v>
      </c>
      <c r="M109" s="2892">
        <f>(-0.214*(M108^2)-21.991*M108+4665)*(10^(-4))/M101</f>
        <v>0.22626750000000004</v>
      </c>
      <c r="N109" s="2892">
        <f>(-0.214*(N108^2)-21.991*N108+4665)*(10^(-4))/N101</f>
        <v>0.22626750000000004</v>
      </c>
    </row>
    <row r="110" spans="1:14">
      <c r="A110" s="3252" t="s">
        <v>2978</v>
      </c>
      <c r="B110" s="3252"/>
      <c r="C110" s="3252"/>
      <c r="D110" s="3252"/>
      <c r="E110" s="3252"/>
      <c r="F110" s="3252"/>
      <c r="G110" s="3252"/>
      <c r="H110" s="3252"/>
      <c r="I110" s="3252"/>
      <c r="J110" s="3252"/>
      <c r="K110" s="2895"/>
      <c r="L110" s="2895"/>
      <c r="M110" s="2895"/>
      <c r="N110" s="2895"/>
    </row>
    <row r="112" spans="1:14" ht="13.5" thickBot="1"/>
    <row r="113" spans="1:13" ht="25.5" thickBot="1">
      <c r="A113" s="902" t="s">
        <v>2979</v>
      </c>
      <c r="B113" s="1286">
        <f>G3</f>
        <v>2</v>
      </c>
      <c r="C113" s="903" t="s">
        <v>2980</v>
      </c>
      <c r="D113" s="904">
        <f>SUMPRODUCT((A115:A118=F113)*(B114:M114=H113)*B115:M118)</f>
        <v>0.65800000000000003</v>
      </c>
      <c r="E113" s="2726" t="s">
        <v>2814</v>
      </c>
      <c r="F113" s="2897" t="str">
        <f>E2</f>
        <v>商业</v>
      </c>
      <c r="G113" s="2726" t="s">
        <v>2815</v>
      </c>
      <c r="H113" s="2897" t="str">
        <f>G2</f>
        <v>八级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4">I115</f>
        <v>0.65800000000000003</v>
      </c>
      <c r="K115" s="909">
        <f t="shared" si="34"/>
        <v>0.65800000000000003</v>
      </c>
      <c r="L115" s="909">
        <f t="shared" si="34"/>
        <v>0.65800000000000003</v>
      </c>
      <c r="M115" s="910">
        <f t="shared" si="34"/>
        <v>0.65800000000000003</v>
      </c>
    </row>
    <row r="116" spans="1:13">
      <c r="A116" s="908" t="s">
        <v>2879</v>
      </c>
      <c r="B116" s="909">
        <f>ROUND(0.949-0.012*B113,4)</f>
        <v>0.92500000000000004</v>
      </c>
      <c r="C116" s="909">
        <f>B116</f>
        <v>0.92500000000000004</v>
      </c>
      <c r="D116" s="909">
        <f>ROUND(0.8567-0.013*B113,4)</f>
        <v>0.83069999999999999</v>
      </c>
      <c r="E116" s="909">
        <f t="shared" ref="E116:H117" si="35">D116</f>
        <v>0.83069999999999999</v>
      </c>
      <c r="F116" s="909">
        <f t="shared" si="35"/>
        <v>0.83069999999999999</v>
      </c>
      <c r="G116" s="909">
        <f t="shared" si="35"/>
        <v>0.83069999999999999</v>
      </c>
      <c r="H116" s="909">
        <f t="shared" si="35"/>
        <v>0.83069999999999999</v>
      </c>
      <c r="I116" s="909">
        <f>ROUND(0.7694-0.014*B113,4)</f>
        <v>0.74139999999999995</v>
      </c>
      <c r="J116" s="909">
        <f t="shared" si="34"/>
        <v>0.74139999999999995</v>
      </c>
      <c r="K116" s="909">
        <f t="shared" si="34"/>
        <v>0.74139999999999995</v>
      </c>
      <c r="L116" s="909">
        <f t="shared" si="34"/>
        <v>0.74139999999999995</v>
      </c>
      <c r="M116" s="910">
        <f t="shared" si="34"/>
        <v>0.74139999999999995</v>
      </c>
    </row>
    <row r="117" spans="1:13">
      <c r="A117" s="908" t="s">
        <v>2880</v>
      </c>
      <c r="B117" s="909">
        <f>ROUND(0.8808-0.006*B113,4)</f>
        <v>0.86880000000000002</v>
      </c>
      <c r="C117" s="909">
        <f>B117</f>
        <v>0.86880000000000002</v>
      </c>
      <c r="D117" s="909">
        <f>ROUND(0.8748-0.008*B113,4)</f>
        <v>0.85880000000000001</v>
      </c>
      <c r="E117" s="909">
        <f t="shared" si="35"/>
        <v>0.85880000000000001</v>
      </c>
      <c r="F117" s="909">
        <f t="shared" si="35"/>
        <v>0.85880000000000001</v>
      </c>
      <c r="G117" s="909">
        <f t="shared" si="35"/>
        <v>0.85880000000000001</v>
      </c>
      <c r="H117" s="909">
        <f t="shared" si="35"/>
        <v>0.85880000000000001</v>
      </c>
      <c r="I117" s="909">
        <f>ROUND(0.7412-0.0095*B113,4)</f>
        <v>0.72219999999999995</v>
      </c>
      <c r="J117" s="909">
        <f t="shared" si="34"/>
        <v>0.72219999999999995</v>
      </c>
      <c r="K117" s="909">
        <f t="shared" si="34"/>
        <v>0.72219999999999995</v>
      </c>
      <c r="L117" s="909">
        <f t="shared" si="34"/>
        <v>0.72219999999999995</v>
      </c>
      <c r="M117" s="910">
        <f t="shared" si="34"/>
        <v>0.72219999999999995</v>
      </c>
    </row>
    <row r="118" spans="1:13" ht="13.5" thickBot="1">
      <c r="A118" s="714" t="s">
        <v>2881</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4"/>
        <v>0.53949999999999998</v>
      </c>
      <c r="K118" s="911">
        <f t="shared" si="34"/>
        <v>0.53949999999999998</v>
      </c>
      <c r="L118" s="911">
        <f t="shared" si="34"/>
        <v>0.53949999999999998</v>
      </c>
      <c r="M118" s="912">
        <f t="shared" si="34"/>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3001</v>
      </c>
    </row>
    <row r="2" spans="1:5" ht="15.75">
      <c r="A2" s="2904" t="s">
        <v>2993</v>
      </c>
      <c r="B2" s="2905">
        <f ca="1">SUMIF(B6:B13,"&lt;&gt;#ref!",B6:B13)</f>
        <v>22</v>
      </c>
      <c r="C2" s="2904" t="s">
        <v>2994</v>
      </c>
      <c r="D2" s="2904" t="s">
        <v>2995</v>
      </c>
      <c r="E2" s="2905">
        <f ca="1">SUMIF(E6:E13,"&lt;&gt;#ref!",E6:E13)</f>
        <v>81.84</v>
      </c>
    </row>
    <row r="3" spans="1:5" ht="15.75">
      <c r="A3" s="2904" t="s">
        <v>2996</v>
      </c>
      <c r="B3" s="2905">
        <f ca="1">ROUND(B2*10000/E2,0)</f>
        <v>2688</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22</v>
      </c>
      <c r="C6" s="2904" t="s">
        <v>2994</v>
      </c>
      <c r="D6" s="2906"/>
      <c r="E6" s="2577">
        <f ca="1">SUMIF(INDIRECT("'"&amp;A6&amp;"'"&amp;"!C:C"),"建筑面积",INDIRECT("'"&amp;A6&amp;"'"&amp;"!D:D"))</f>
        <v>81.84</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15" sqref="K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8" t="s">
        <v>1146</v>
      </c>
      <c r="C1" s="3278"/>
      <c r="D1" s="3278"/>
      <c r="E1" s="3278"/>
      <c r="F1" s="3278"/>
      <c r="G1" s="3274" t="s">
        <v>1147</v>
      </c>
      <c r="H1" s="3274"/>
      <c r="I1" s="3274"/>
      <c r="J1" s="3274"/>
      <c r="K1" s="3274"/>
      <c r="L1" s="3274"/>
      <c r="N1" s="3274" t="s">
        <v>1148</v>
      </c>
      <c r="O1" s="3274"/>
      <c r="P1" s="3274"/>
      <c r="Q1" s="3274"/>
      <c r="R1" s="1445"/>
      <c r="S1" s="3274" t="s">
        <v>1149</v>
      </c>
      <c r="T1" s="3274"/>
      <c r="U1" s="3274"/>
      <c r="V1" s="3274"/>
      <c r="X1" s="3273" t="s">
        <v>1150</v>
      </c>
      <c r="Y1" s="3274"/>
      <c r="Z1" s="3274"/>
      <c r="AA1" s="3274"/>
      <c r="AB1" s="3274"/>
      <c r="AD1" s="3273" t="s">
        <v>1151</v>
      </c>
      <c r="AE1" s="3274"/>
      <c r="AF1" s="3274"/>
      <c r="AG1" s="3274"/>
      <c r="AH1" s="3274"/>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3033</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3050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9">
        <v>2019</v>
      </c>
      <c r="H5" s="1728">
        <v>3</v>
      </c>
      <c r="I5" s="2916">
        <v>0</v>
      </c>
      <c r="J5" s="2916">
        <v>0</v>
      </c>
      <c r="K5" s="2916">
        <v>0</v>
      </c>
      <c r="L5" s="2916">
        <v>0</v>
      </c>
      <c r="N5" s="1466">
        <f>I5/100</f>
        <v>0</v>
      </c>
      <c r="O5" s="1466">
        <f t="shared" ref="O5" si="7">J5/100</f>
        <v>0</v>
      </c>
      <c r="P5" s="1466">
        <f t="shared" ref="P5" si="8">K5/100</f>
        <v>0</v>
      </c>
      <c r="Q5" s="1466">
        <f t="shared" ref="Q5" si="9">L5/100</f>
        <v>0</v>
      </c>
      <c r="R5" s="1730"/>
      <c r="S5" s="1731"/>
      <c r="T5" s="1730"/>
      <c r="U5" s="1730"/>
      <c r="V5" s="1730"/>
      <c r="W5" s="2919" t="s">
        <v>3034</v>
      </c>
      <c r="X5" s="1724">
        <f>ROUND(IF(项目基本情况!B7="出让",SUMPRODUCT(PRODUCT(1+N5:N$27)),SUMPRODUCT(PRODUCT(1+N5:N$26))),4)</f>
        <v>1.5422</v>
      </c>
      <c r="Y5" s="1724">
        <f>ROUND(IF(项目基本情况!B7="出让",SUMPRODUCT(PRODUCT(1+O5:O$27)),SUMPRODUCT(PRODUCT(1+O5:O$26))),4)</f>
        <v>1.3557999999999999</v>
      </c>
      <c r="Z5" s="1724">
        <f t="shared" ref="Z5" si="10">Y5</f>
        <v>1.3557999999999999</v>
      </c>
      <c r="AA5" s="1724">
        <f>ROUND(IF(项目基本情况!B7="出让",SUMPRODUCT(PRODUCT(1+P5:P$27)),SUMPRODUCT(PRODUCT(1+P5:P$26))),4)</f>
        <v>1.6036999999999999</v>
      </c>
      <c r="AB5" s="1724">
        <f>ROUND(IF(项目基本情况!B7="出让",SUMPRODUCT(PRODUCT(1+Q5:Q$27)),SUMPRODUCT(PRODUCT(1+Q5:Q$26))),4)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3049</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9">
        <v>2019</v>
      </c>
      <c r="H6" s="1461">
        <v>2</v>
      </c>
      <c r="I6" s="1461">
        <v>1.53</v>
      </c>
      <c r="J6" s="1461">
        <v>1.01</v>
      </c>
      <c r="K6" s="1461">
        <v>1.62</v>
      </c>
      <c r="L6" s="146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5" customFormat="1" ht="13.5" thickBot="1">
      <c r="A7" s="1460" t="s">
        <v>3046</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3">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5" customFormat="1">
      <c r="A8" s="1460" t="s">
        <v>3051</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76">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5" customFormat="1" ht="14.45" customHeight="1">
      <c r="A9" s="1460" t="s">
        <v>3040</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276"/>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5" customFormat="1" ht="14.45" customHeight="1">
      <c r="A10" s="1460" t="s">
        <v>3039</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276"/>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5" customFormat="1" ht="15" customHeight="1" thickBot="1">
      <c r="A11" s="1460" t="s">
        <v>3032</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283"/>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60" t="s">
        <v>3029</v>
      </c>
      <c r="B12" s="1468">
        <v>439</v>
      </c>
      <c r="C12" s="1468">
        <v>327</v>
      </c>
      <c r="D12" s="1468">
        <f>C12</f>
        <v>327</v>
      </c>
      <c r="E12" s="1468">
        <v>627</v>
      </c>
      <c r="F12" s="1469">
        <v>283</v>
      </c>
      <c r="G12" s="3279">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3030</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276"/>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276"/>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2"/>
      <c r="AD14" s="1787">
        <f>ROUND(AVERAGE(I14:I$27)/100,4)</f>
        <v>2.46E-2</v>
      </c>
      <c r="AE14" s="1787">
        <f>ROUND(AVERAGE(J14:J$27)/100,4)</f>
        <v>1.6E-2</v>
      </c>
      <c r="AF14" s="1787">
        <f t="shared" si="1"/>
        <v>1.6E-2</v>
      </c>
      <c r="AG14" s="1787">
        <f>ROUND(AVERAGE(K14:K$27)/100,4)</f>
        <v>2.75E-2</v>
      </c>
      <c r="AH14" s="1787">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283"/>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60" t="s">
        <v>154</v>
      </c>
      <c r="B16" s="1468">
        <v>392</v>
      </c>
      <c r="C16" s="1468">
        <v>302</v>
      </c>
      <c r="D16" s="1468">
        <f>C16</f>
        <v>302</v>
      </c>
      <c r="E16" s="1468">
        <v>553</v>
      </c>
      <c r="F16" s="1469">
        <v>266</v>
      </c>
      <c r="G16" s="3279">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276"/>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276"/>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277"/>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275">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276"/>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276"/>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277"/>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275">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276"/>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276"/>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277"/>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60" t="s">
        <v>1159</v>
      </c>
      <c r="B28" s="1468">
        <v>299</v>
      </c>
      <c r="C28" s="1468">
        <v>252</v>
      </c>
      <c r="D28" s="1468">
        <f t="shared" si="97"/>
        <v>252</v>
      </c>
      <c r="E28" s="1468">
        <v>409</v>
      </c>
      <c r="F28" s="1469">
        <v>227</v>
      </c>
      <c r="G28" s="3280">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281"/>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281"/>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282"/>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275">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276"/>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276"/>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277"/>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275">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276">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276">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277">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275">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276">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276">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277">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275">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276">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276">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277">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275">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276">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276">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277">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275">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276">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276">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277">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275">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276">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276">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277">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275">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276">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276">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277">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275">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276">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276">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277">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275">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276">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276">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277">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275">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276">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276">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277">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7" sqref="A7:XFD1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3003</v>
      </c>
      <c r="C1" s="3285" t="s">
        <v>3004</v>
      </c>
      <c r="D1" s="3286"/>
      <c r="E1" s="3286"/>
      <c r="F1" s="3286"/>
      <c r="G1" s="3286"/>
      <c r="H1" s="3286"/>
      <c r="I1" s="3286"/>
      <c r="J1" s="3286"/>
      <c r="K1" s="3286"/>
      <c r="L1" s="3286"/>
      <c r="M1" s="3286"/>
      <c r="N1" s="3286"/>
      <c r="O1" s="3286"/>
      <c r="P1" s="3286"/>
      <c r="Q1" s="3286"/>
      <c r="R1" s="3286"/>
      <c r="S1" s="3287"/>
      <c r="T1" s="1203" t="s">
        <v>3005</v>
      </c>
    </row>
    <row r="2" spans="1:45" s="707" customFormat="1" ht="25.5">
      <c r="A2" s="1204"/>
      <c r="B2" s="703" t="s">
        <v>3006</v>
      </c>
      <c r="C2" s="704" t="str">
        <f t="shared" ref="C2:L2" si="0">C3&amp;"(含)"&amp;"-"&amp;D3</f>
        <v>0(含)-30</v>
      </c>
      <c r="D2" s="705" t="str">
        <f t="shared" si="0"/>
        <v>30(含)-60</v>
      </c>
      <c r="E2" s="705" t="str">
        <f t="shared" si="0"/>
        <v>60(含)-90</v>
      </c>
      <c r="F2" s="705" t="str">
        <f t="shared" si="0"/>
        <v>90(含)-120</v>
      </c>
      <c r="G2" s="705" t="str">
        <f t="shared" si="0"/>
        <v>120(含)-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v>0</v>
      </c>
      <c r="D3" s="710">
        <v>30</v>
      </c>
      <c r="E3" s="710">
        <v>60</v>
      </c>
      <c r="F3" s="1703">
        <v>90</v>
      </c>
      <c r="G3" s="1703">
        <v>120</v>
      </c>
      <c r="H3" s="1703"/>
      <c r="I3" s="1703"/>
      <c r="J3" s="1703"/>
      <c r="K3" s="1703"/>
      <c r="L3" s="1704"/>
      <c r="M3" s="1705"/>
      <c r="N3" s="1705"/>
      <c r="O3" s="1703"/>
      <c r="P3" s="1703"/>
      <c r="Q3" s="1703"/>
      <c r="R3" s="1703"/>
      <c r="S3" s="1706"/>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v>100</v>
      </c>
      <c r="D4" s="1210">
        <v>98</v>
      </c>
      <c r="E4" s="1210">
        <v>96</v>
      </c>
      <c r="F4" s="1707">
        <v>94</v>
      </c>
      <c r="G4" s="1707">
        <v>92</v>
      </c>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7.75" thickTop="1">
      <c r="A5" s="1214"/>
      <c r="B5" s="2954" t="s">
        <v>3084</v>
      </c>
      <c r="C5" s="2955" t="s">
        <v>3085</v>
      </c>
      <c r="D5" s="2955" t="s">
        <v>3086</v>
      </c>
      <c r="E5" s="2955" t="s">
        <v>3087</v>
      </c>
      <c r="F5" s="2955" t="s">
        <v>3088</v>
      </c>
      <c r="G5" s="2955" t="s">
        <v>3089</v>
      </c>
      <c r="H5" s="2955" t="s">
        <v>3090</v>
      </c>
      <c r="I5" s="2955" t="s">
        <v>3091</v>
      </c>
      <c r="J5" s="2955" t="s">
        <v>3092</v>
      </c>
      <c r="K5" s="2956" t="s">
        <v>3093</v>
      </c>
      <c r="L5" s="2956" t="s">
        <v>3094</v>
      </c>
      <c r="M5" s="2957" t="s">
        <v>3105</v>
      </c>
      <c r="N5" s="1711"/>
      <c r="O5" s="1710"/>
      <c r="P5" s="1710"/>
      <c r="Q5" s="1710"/>
      <c r="R5" s="1710"/>
      <c r="S5" s="1712"/>
      <c r="T5" s="1218">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98</v>
      </c>
      <c r="E6" s="1118">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8.5" hidden="1" customHeight="1">
      <c r="A7" s="1214"/>
      <c r="B7" s="1768" t="s">
        <v>3007</v>
      </c>
      <c r="C7" s="1120"/>
      <c r="D7" s="1114"/>
      <c r="E7" s="1114"/>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4"/>
      <c r="B9" s="1768" t="s">
        <v>3008</v>
      </c>
      <c r="C9" s="1120"/>
      <c r="D9" s="1114"/>
      <c r="E9" s="1114"/>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4"/>
      <c r="B11" s="1767"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4"/>
      <c r="B13" s="1767"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4"/>
      <c r="B15" s="1767"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0" t="s">
        <v>3012</v>
      </c>
      <c r="B17" s="2911"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2" t="s">
        <v>3014</v>
      </c>
      <c r="E19" s="1790"/>
      <c r="F19" s="1790"/>
      <c r="G19" s="1790"/>
      <c r="H19" s="1279"/>
      <c r="I19" s="168"/>
      <c r="J19" s="168"/>
      <c r="K19" s="168"/>
      <c r="L19" s="168"/>
      <c r="M19" s="168"/>
      <c r="N19" s="168"/>
      <c r="O19" s="168"/>
      <c r="P19" s="168"/>
      <c r="Q19" s="168"/>
      <c r="R19" s="787"/>
      <c r="S19" s="138"/>
    </row>
    <row r="20" spans="1:45" ht="16.5" thickBot="1">
      <c r="A20" s="715" t="s">
        <v>3015</v>
      </c>
      <c r="B20" s="338">
        <f ca="1">IF(D20="——",S22,S22-F20)</f>
        <v>710</v>
      </c>
      <c r="C20" s="168"/>
      <c r="D20" s="2913" t="s">
        <v>70</v>
      </c>
      <c r="E20" s="1791"/>
      <c r="F20" s="1203" t="e">
        <f ca="1">SUMIF(INDIRECT("'"&amp;H20&amp;"'"&amp;"!A:A"),"承租人权益价值",INDIRECT("'"&amp;H20&amp;"'"&amp;"!c:c"))</f>
        <v>#REF!</v>
      </c>
      <c r="G20" s="1203" t="s">
        <v>3016</v>
      </c>
      <c r="H20" s="2914"/>
      <c r="I20" s="168"/>
      <c r="J20" s="168"/>
      <c r="K20" s="168"/>
      <c r="L20" s="168"/>
      <c r="M20" s="168"/>
      <c r="N20" s="168"/>
      <c r="O20" s="168"/>
      <c r="P20" s="168"/>
      <c r="Q20" s="168"/>
      <c r="R20" s="787"/>
      <c r="S20" s="138"/>
    </row>
    <row r="21" spans="1:45" ht="15.75">
      <c r="A21" s="715" t="s">
        <v>3017</v>
      </c>
      <c r="B21" s="338">
        <f ca="1">R22</f>
        <v>11525</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616.07000000000005</v>
      </c>
      <c r="C22" s="3064" t="s">
        <v>33</v>
      </c>
      <c r="D22" s="3065"/>
      <c r="E22" s="3065"/>
      <c r="F22" s="3065"/>
      <c r="G22" s="3065"/>
      <c r="H22" s="3065"/>
      <c r="I22" s="3065"/>
      <c r="J22" s="3065"/>
      <c r="K22" s="3065"/>
      <c r="L22" s="3065"/>
      <c r="M22" s="3065"/>
      <c r="N22" s="3065"/>
      <c r="O22" s="3065"/>
      <c r="P22" s="3065"/>
      <c r="Q22" s="3284"/>
      <c r="R22" s="716">
        <f ca="1">ROUND(S22*10000/B22,0)</f>
        <v>11525</v>
      </c>
      <c r="S22" s="24">
        <f ca="1">SUM(S24:S10000)</f>
        <v>710</v>
      </c>
    </row>
    <row r="23" spans="1:45" s="12" customFormat="1" ht="16.5" customHeight="1">
      <c r="A23" s="11" t="s">
        <v>3019</v>
      </c>
      <c r="B23" s="11" t="s">
        <v>3020</v>
      </c>
      <c r="C23" s="11" t="s">
        <v>3021</v>
      </c>
      <c r="D23" s="11" t="str">
        <f>B5</f>
        <v>朝向</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1271">
        <v>6118</v>
      </c>
      <c r="B24" s="2213">
        <v>81.84</v>
      </c>
      <c r="C24" s="718">
        <v>1</v>
      </c>
      <c r="D24" s="719" t="s">
        <v>3104</v>
      </c>
      <c r="E24" s="718">
        <v>1</v>
      </c>
      <c r="F24" s="719"/>
      <c r="G24" s="718">
        <v>1</v>
      </c>
      <c r="H24" s="719"/>
      <c r="I24" s="718">
        <v>1</v>
      </c>
      <c r="J24" s="719"/>
      <c r="K24" s="718">
        <v>1</v>
      </c>
      <c r="L24" s="719"/>
      <c r="M24" s="718">
        <v>1</v>
      </c>
      <c r="N24" s="719"/>
      <c r="O24" s="718">
        <v>1</v>
      </c>
      <c r="P24" s="719"/>
      <c r="Q24" s="718">
        <v>1</v>
      </c>
      <c r="R24" s="720">
        <f ca="1">结果表!G20</f>
        <v>11130</v>
      </c>
      <c r="S24" s="718">
        <f t="shared" ref="S24:S54" ca="1" si="11">ROUND(R24*B24/10000,0)</f>
        <v>91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271">
        <v>6111</v>
      </c>
      <c r="B25" s="2213">
        <v>70.84</v>
      </c>
      <c r="C25" s="24">
        <f>IF(B25="",1,(LOOKUP(B25,$3:$3,$4:$4)-LOOKUP($B$24,$3:$3,$4:$4)+100)/100)</f>
        <v>1</v>
      </c>
      <c r="D25" s="719" t="s">
        <v>3106</v>
      </c>
      <c r="E25" s="24">
        <f>(SUMIF($5:$5,D25,$6:$6)-SUMIF($5:$5,$D$24,$6:$6)+100)/100</f>
        <v>1.1000000000000001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 ca="1">IF(B25="",0,ROUND($R$24*C25*E25*G25*I25*K25*M25*O25*Q25,0))</f>
        <v>12243</v>
      </c>
      <c r="S25" s="361">
        <f t="shared" ca="1" si="11"/>
        <v>87</v>
      </c>
    </row>
    <row r="26" spans="1:45">
      <c r="A26" s="1271">
        <v>6112</v>
      </c>
      <c r="B26" s="2213">
        <v>81.84</v>
      </c>
      <c r="C26" s="24">
        <f t="shared" ref="C26:C89" si="12">IF(B26="",1,(LOOKUP(B26,$3:$3,$4:$4)-LOOKUP($B$24,$3:$3,$4:$4)+100)/100)</f>
        <v>1</v>
      </c>
      <c r="D26" s="719" t="s">
        <v>3104</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ca="1" si="20">IF(B26="",0,ROUND($R$24*C26*E26*G26*I26*K26*M26*O26*Q26,0))</f>
        <v>11130</v>
      </c>
      <c r="S26" s="361">
        <f t="shared" ca="1" si="11"/>
        <v>91</v>
      </c>
    </row>
    <row r="27" spans="1:45">
      <c r="A27" s="1271">
        <v>6103</v>
      </c>
      <c r="B27" s="2213">
        <v>70.84</v>
      </c>
      <c r="C27" s="24">
        <f t="shared" si="12"/>
        <v>1</v>
      </c>
      <c r="D27" s="719" t="s">
        <v>3106</v>
      </c>
      <c r="E27" s="24">
        <f t="shared" si="13"/>
        <v>1.1000000000000001</v>
      </c>
      <c r="F27" s="719"/>
      <c r="G27" s="24">
        <f t="shared" si="14"/>
        <v>1</v>
      </c>
      <c r="H27" s="719"/>
      <c r="I27" s="24">
        <f t="shared" si="15"/>
        <v>1</v>
      </c>
      <c r="J27" s="719"/>
      <c r="K27" s="24">
        <f t="shared" si="16"/>
        <v>1</v>
      </c>
      <c r="L27" s="719"/>
      <c r="M27" s="24">
        <f t="shared" si="17"/>
        <v>1</v>
      </c>
      <c r="N27" s="719"/>
      <c r="O27" s="24">
        <f t="shared" si="18"/>
        <v>1</v>
      </c>
      <c r="P27" s="719"/>
      <c r="Q27" s="24">
        <f t="shared" si="19"/>
        <v>1</v>
      </c>
      <c r="R27" s="716">
        <f t="shared" ca="1" si="20"/>
        <v>12243</v>
      </c>
      <c r="S27" s="361">
        <f t="shared" ca="1" si="11"/>
        <v>87</v>
      </c>
    </row>
    <row r="28" spans="1:45">
      <c r="A28" s="1271">
        <v>6120</v>
      </c>
      <c r="B28" s="2213">
        <v>76.19</v>
      </c>
      <c r="C28" s="24">
        <f t="shared" si="12"/>
        <v>1</v>
      </c>
      <c r="D28" s="719" t="s">
        <v>3104</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6">
        <f t="shared" ca="1" si="20"/>
        <v>11130</v>
      </c>
      <c r="S28" s="361">
        <f t="shared" ca="1" si="11"/>
        <v>85</v>
      </c>
    </row>
    <row r="29" spans="1:45">
      <c r="A29" s="1271">
        <v>6108</v>
      </c>
      <c r="B29" s="2213">
        <v>81.84</v>
      </c>
      <c r="C29" s="24">
        <f t="shared" si="12"/>
        <v>1</v>
      </c>
      <c r="D29" s="719" t="s">
        <v>3104</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6">
        <f t="shared" ca="1" si="20"/>
        <v>11130</v>
      </c>
      <c r="S29" s="361">
        <f t="shared" ca="1" si="11"/>
        <v>91</v>
      </c>
    </row>
    <row r="30" spans="1:45">
      <c r="A30" s="1271">
        <v>6113</v>
      </c>
      <c r="B30" s="2213">
        <v>70.84</v>
      </c>
      <c r="C30" s="24">
        <f t="shared" si="12"/>
        <v>1</v>
      </c>
      <c r="D30" s="719" t="s">
        <v>3106</v>
      </c>
      <c r="E30" s="24">
        <f t="shared" si="13"/>
        <v>1.1000000000000001</v>
      </c>
      <c r="F30" s="719"/>
      <c r="G30" s="24">
        <f t="shared" si="14"/>
        <v>1</v>
      </c>
      <c r="H30" s="719"/>
      <c r="I30" s="24">
        <f t="shared" si="15"/>
        <v>1</v>
      </c>
      <c r="J30" s="719"/>
      <c r="K30" s="24">
        <f t="shared" si="16"/>
        <v>1</v>
      </c>
      <c r="L30" s="719"/>
      <c r="M30" s="24">
        <f t="shared" si="17"/>
        <v>1</v>
      </c>
      <c r="N30" s="719"/>
      <c r="O30" s="24">
        <f t="shared" si="18"/>
        <v>1</v>
      </c>
      <c r="P30" s="719"/>
      <c r="Q30" s="24">
        <f t="shared" si="19"/>
        <v>1</v>
      </c>
      <c r="R30" s="716">
        <f t="shared" ca="1" si="20"/>
        <v>12243</v>
      </c>
      <c r="S30" s="361">
        <f t="shared" ca="1" si="11"/>
        <v>87</v>
      </c>
    </row>
    <row r="31" spans="1:45">
      <c r="A31" s="1271">
        <v>6110</v>
      </c>
      <c r="B31" s="2213">
        <v>81.84</v>
      </c>
      <c r="C31" s="24">
        <f t="shared" si="12"/>
        <v>1</v>
      </c>
      <c r="D31" s="719" t="s">
        <v>3104</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6">
        <f t="shared" ca="1" si="20"/>
        <v>11130</v>
      </c>
      <c r="S31" s="361">
        <f t="shared" ca="1" si="11"/>
        <v>91</v>
      </c>
    </row>
    <row r="32" spans="1:45">
      <c r="A32" s="159"/>
      <c r="B32" s="59"/>
      <c r="C32" s="24">
        <f t="shared" si="12"/>
        <v>1</v>
      </c>
      <c r="D32" s="719"/>
      <c r="E32" s="24">
        <f t="shared" si="13"/>
        <v>0.2</v>
      </c>
      <c r="F32" s="719"/>
      <c r="G32" s="24">
        <f t="shared" si="14"/>
        <v>1</v>
      </c>
      <c r="H32" s="719"/>
      <c r="I32" s="24">
        <f t="shared" si="15"/>
        <v>1</v>
      </c>
      <c r="J32" s="719"/>
      <c r="K32" s="24">
        <f t="shared" si="16"/>
        <v>1</v>
      </c>
      <c r="L32" s="719"/>
      <c r="M32" s="24">
        <f t="shared" si="17"/>
        <v>1</v>
      </c>
      <c r="N32" s="719"/>
      <c r="O32" s="24">
        <f t="shared" si="18"/>
        <v>1</v>
      </c>
      <c r="P32" s="719"/>
      <c r="Q32" s="24">
        <f t="shared" si="19"/>
        <v>1</v>
      </c>
      <c r="R32" s="716">
        <f t="shared" si="20"/>
        <v>0</v>
      </c>
      <c r="S32" s="361">
        <f t="shared" si="11"/>
        <v>0</v>
      </c>
    </row>
    <row r="33" spans="1:19">
      <c r="A33" s="159"/>
      <c r="B33" s="59"/>
      <c r="C33" s="24">
        <f t="shared" si="12"/>
        <v>1</v>
      </c>
      <c r="D33" s="719"/>
      <c r="E33" s="24">
        <f t="shared" si="13"/>
        <v>0.2</v>
      </c>
      <c r="F33" s="719"/>
      <c r="G33" s="24">
        <f t="shared" si="14"/>
        <v>1</v>
      </c>
      <c r="H33" s="719"/>
      <c r="I33" s="24">
        <f t="shared" si="15"/>
        <v>1</v>
      </c>
      <c r="J33" s="719"/>
      <c r="K33" s="24">
        <f t="shared" si="16"/>
        <v>1</v>
      </c>
      <c r="L33" s="719"/>
      <c r="M33" s="24">
        <f t="shared" si="17"/>
        <v>1</v>
      </c>
      <c r="N33" s="719"/>
      <c r="O33" s="24">
        <f t="shared" si="18"/>
        <v>1</v>
      </c>
      <c r="P33" s="719"/>
      <c r="Q33" s="24">
        <f t="shared" si="19"/>
        <v>1</v>
      </c>
      <c r="R33" s="716">
        <f t="shared" si="20"/>
        <v>0</v>
      </c>
      <c r="S33" s="361">
        <f t="shared" si="11"/>
        <v>0</v>
      </c>
    </row>
    <row r="34" spans="1:19">
      <c r="A34" s="159"/>
      <c r="B34" s="59"/>
      <c r="C34" s="24">
        <f t="shared" si="12"/>
        <v>1</v>
      </c>
      <c r="D34" s="719"/>
      <c r="E34" s="24">
        <f t="shared" si="13"/>
        <v>0.2</v>
      </c>
      <c r="F34" s="719"/>
      <c r="G34" s="24">
        <f t="shared" si="14"/>
        <v>1</v>
      </c>
      <c r="H34" s="719"/>
      <c r="I34" s="24">
        <f t="shared" si="15"/>
        <v>1</v>
      </c>
      <c r="J34" s="719"/>
      <c r="K34" s="24">
        <f t="shared" si="16"/>
        <v>1</v>
      </c>
      <c r="L34" s="719"/>
      <c r="M34" s="24">
        <f t="shared" si="17"/>
        <v>1</v>
      </c>
      <c r="N34" s="719"/>
      <c r="O34" s="24">
        <f t="shared" si="18"/>
        <v>1</v>
      </c>
      <c r="P34" s="719"/>
      <c r="Q34" s="24">
        <f t="shared" si="19"/>
        <v>1</v>
      </c>
      <c r="R34" s="716">
        <f t="shared" si="20"/>
        <v>0</v>
      </c>
      <c r="S34" s="361">
        <f t="shared" si="11"/>
        <v>0</v>
      </c>
    </row>
    <row r="35" spans="1:19">
      <c r="A35" s="159"/>
      <c r="B35" s="59"/>
      <c r="C35" s="24">
        <f t="shared" si="12"/>
        <v>1</v>
      </c>
      <c r="D35" s="719"/>
      <c r="E35" s="24">
        <f t="shared" si="13"/>
        <v>0.2</v>
      </c>
      <c r="F35" s="719"/>
      <c r="G35" s="24">
        <f t="shared" si="14"/>
        <v>1</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0.2</v>
      </c>
      <c r="F36" s="719"/>
      <c r="G36" s="24">
        <f t="shared" si="14"/>
        <v>1</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0.2</v>
      </c>
      <c r="F37" s="719"/>
      <c r="G37" s="24">
        <f t="shared" si="14"/>
        <v>1</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0.2</v>
      </c>
      <c r="F38" s="719"/>
      <c r="G38" s="24">
        <f t="shared" si="14"/>
        <v>1</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0.2</v>
      </c>
      <c r="F39" s="719"/>
      <c r="G39" s="24">
        <f t="shared" si="14"/>
        <v>1</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0.2</v>
      </c>
      <c r="F40" s="719"/>
      <c r="G40" s="24">
        <f t="shared" si="14"/>
        <v>1</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0.2</v>
      </c>
      <c r="F41" s="719"/>
      <c r="G41" s="24">
        <f t="shared" si="14"/>
        <v>1</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0.2</v>
      </c>
      <c r="F42" s="719"/>
      <c r="G42" s="24">
        <f t="shared" si="14"/>
        <v>1</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0.2</v>
      </c>
      <c r="F43" s="719"/>
      <c r="G43" s="24">
        <f t="shared" si="14"/>
        <v>1</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0.2</v>
      </c>
      <c r="F44" s="719"/>
      <c r="G44" s="24">
        <f t="shared" si="14"/>
        <v>1</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0.2</v>
      </c>
      <c r="F45" s="719"/>
      <c r="G45" s="24">
        <f t="shared" si="14"/>
        <v>1</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0.2</v>
      </c>
      <c r="F46" s="719"/>
      <c r="G46" s="24">
        <f t="shared" si="14"/>
        <v>1</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0.2</v>
      </c>
      <c r="F47" s="719"/>
      <c r="G47" s="24">
        <f t="shared" si="14"/>
        <v>1</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0.2</v>
      </c>
      <c r="F48" s="719"/>
      <c r="G48" s="24">
        <f t="shared" si="14"/>
        <v>1</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0.2</v>
      </c>
      <c r="F49" s="719"/>
      <c r="G49" s="24">
        <f t="shared" si="14"/>
        <v>1</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0.2</v>
      </c>
      <c r="F50" s="719"/>
      <c r="G50" s="24">
        <f t="shared" si="14"/>
        <v>1</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0.2</v>
      </c>
      <c r="F51" s="719"/>
      <c r="G51" s="24">
        <f t="shared" si="14"/>
        <v>1</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0.2</v>
      </c>
      <c r="F52" s="719"/>
      <c r="G52" s="24">
        <f t="shared" si="14"/>
        <v>1</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0.2</v>
      </c>
      <c r="F53" s="719"/>
      <c r="G53" s="24">
        <f t="shared" si="14"/>
        <v>1</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0.2</v>
      </c>
      <c r="F54" s="719"/>
      <c r="G54" s="24">
        <f t="shared" si="14"/>
        <v>1</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0.2</v>
      </c>
      <c r="F55" s="719"/>
      <c r="G55" s="24">
        <f t="shared" si="14"/>
        <v>1</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0.2</v>
      </c>
      <c r="F56" s="719"/>
      <c r="G56" s="24">
        <f t="shared" si="14"/>
        <v>1</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0.2</v>
      </c>
      <c r="F57" s="719"/>
      <c r="G57" s="24">
        <f t="shared" si="14"/>
        <v>1</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0.2</v>
      </c>
      <c r="F58" s="719"/>
      <c r="G58" s="24">
        <f t="shared" si="14"/>
        <v>1</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0.2</v>
      </c>
      <c r="F59" s="719"/>
      <c r="G59" s="24">
        <f t="shared" si="14"/>
        <v>1</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0.2</v>
      </c>
      <c r="F60" s="719"/>
      <c r="G60" s="24">
        <f t="shared" si="14"/>
        <v>1</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0.2</v>
      </c>
      <c r="F61" s="719"/>
      <c r="G61" s="24">
        <f t="shared" si="14"/>
        <v>1</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0.2</v>
      </c>
      <c r="F62" s="719"/>
      <c r="G62" s="24">
        <f t="shared" si="14"/>
        <v>1</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0.2</v>
      </c>
      <c r="F63" s="719"/>
      <c r="G63" s="24">
        <f t="shared" si="14"/>
        <v>1</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0.2</v>
      </c>
      <c r="F64" s="719"/>
      <c r="G64" s="24">
        <f t="shared" si="14"/>
        <v>1</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0.2</v>
      </c>
      <c r="F65" s="719"/>
      <c r="G65" s="24">
        <f t="shared" si="14"/>
        <v>1</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0.2</v>
      </c>
      <c r="F66" s="719"/>
      <c r="G66" s="24">
        <f t="shared" si="14"/>
        <v>1</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0.2</v>
      </c>
      <c r="F67" s="719"/>
      <c r="G67" s="24">
        <f t="shared" si="14"/>
        <v>1</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0.2</v>
      </c>
      <c r="F68" s="719"/>
      <c r="G68" s="24">
        <f t="shared" si="14"/>
        <v>1</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0.2</v>
      </c>
      <c r="F69" s="719"/>
      <c r="G69" s="24">
        <f t="shared" si="14"/>
        <v>1</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0.2</v>
      </c>
      <c r="F70" s="719"/>
      <c r="G70" s="24">
        <f t="shared" si="14"/>
        <v>1</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0.2</v>
      </c>
      <c r="F71" s="719"/>
      <c r="G71" s="24">
        <f t="shared" si="14"/>
        <v>1</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0.2</v>
      </c>
      <c r="F72" s="719"/>
      <c r="G72" s="24">
        <f t="shared" si="14"/>
        <v>1</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0.2</v>
      </c>
      <c r="F73" s="719"/>
      <c r="G73" s="24">
        <f t="shared" si="14"/>
        <v>1</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0.2</v>
      </c>
      <c r="F74" s="719"/>
      <c r="G74" s="24">
        <f t="shared" si="14"/>
        <v>1</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0.2</v>
      </c>
      <c r="F75" s="719"/>
      <c r="G75" s="24">
        <f t="shared" si="14"/>
        <v>1</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0.2</v>
      </c>
      <c r="F76" s="719"/>
      <c r="G76" s="24">
        <f t="shared" si="14"/>
        <v>1</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0.2</v>
      </c>
      <c r="F77" s="719"/>
      <c r="G77" s="24">
        <f t="shared" si="14"/>
        <v>1</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0.2</v>
      </c>
      <c r="F78" s="719"/>
      <c r="G78" s="24">
        <f t="shared" si="14"/>
        <v>1</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0.2</v>
      </c>
      <c r="F79" s="719"/>
      <c r="G79" s="24">
        <f t="shared" si="14"/>
        <v>1</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0.2</v>
      </c>
      <c r="F80" s="719"/>
      <c r="G80" s="24">
        <f t="shared" si="14"/>
        <v>1</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0.2</v>
      </c>
      <c r="F81" s="719"/>
      <c r="G81" s="24">
        <f t="shared" si="14"/>
        <v>1</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0.2</v>
      </c>
      <c r="F82" s="719"/>
      <c r="G82" s="24">
        <f t="shared" si="14"/>
        <v>1</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0.2</v>
      </c>
      <c r="F83" s="719"/>
      <c r="G83" s="24">
        <f t="shared" si="14"/>
        <v>1</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0.2</v>
      </c>
      <c r="F84" s="719"/>
      <c r="G84" s="24">
        <f t="shared" si="14"/>
        <v>1</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0.2</v>
      </c>
      <c r="F85" s="719"/>
      <c r="G85" s="24">
        <f t="shared" si="14"/>
        <v>1</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0.2</v>
      </c>
      <c r="F86" s="719"/>
      <c r="G86" s="24">
        <f t="shared" si="14"/>
        <v>1</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0.2</v>
      </c>
      <c r="F87" s="719"/>
      <c r="G87" s="24">
        <f t="shared" si="14"/>
        <v>1</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0.2</v>
      </c>
      <c r="F88" s="719"/>
      <c r="G88" s="24">
        <f t="shared" si="14"/>
        <v>1</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0.2</v>
      </c>
      <c r="F89" s="719"/>
      <c r="G89" s="24">
        <f t="shared" si="14"/>
        <v>1</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0.2</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0.2</v>
      </c>
      <c r="F91" s="719"/>
      <c r="G91" s="24">
        <f t="shared" si="25"/>
        <v>1</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0.2</v>
      </c>
      <c r="F92" s="719"/>
      <c r="G92" s="24">
        <f t="shared" si="25"/>
        <v>1</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0.2</v>
      </c>
      <c r="F93" s="719"/>
      <c r="G93" s="24">
        <f t="shared" si="25"/>
        <v>1</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0.2</v>
      </c>
      <c r="F94" s="719"/>
      <c r="G94" s="24">
        <f t="shared" si="25"/>
        <v>1</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0.2</v>
      </c>
      <c r="F95" s="719"/>
      <c r="G95" s="24">
        <f t="shared" si="25"/>
        <v>1</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0.2</v>
      </c>
      <c r="F96" s="719"/>
      <c r="G96" s="24">
        <f t="shared" si="25"/>
        <v>1</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0.2</v>
      </c>
      <c r="F97" s="719"/>
      <c r="G97" s="24">
        <f t="shared" si="25"/>
        <v>1</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0.2</v>
      </c>
      <c r="F98" s="719"/>
      <c r="G98" s="24">
        <f t="shared" si="25"/>
        <v>1</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0.2</v>
      </c>
      <c r="F99" s="719"/>
      <c r="G99" s="24">
        <f t="shared" si="25"/>
        <v>1</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0.2</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0.2</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0.2</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0.2</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0.2</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0.2</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0.2</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0.2</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0.2</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0.2</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0.2</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0.2</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0.2</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0.2</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0.2</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0.2</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0.2</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0.2</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0.2</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0.2</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0.2</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0.2</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0.2</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0.2</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0.2</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0.2</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0.2</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0.2</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0.2</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0.2</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0.2</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0.2</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0.2</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0.2</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0.2</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0.2</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0.2</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0.2</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0.2</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0.2</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0.2</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0.2</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0.2</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0.2</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0.2</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0.2</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0.2</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0.2</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0.2</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0.2</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0.2</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0.2</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0.2</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0.2</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0.2</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0.2</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0.2</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0.2</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0.2</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0.2</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0.2</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0.2</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0.2</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0.2</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0.2</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0.2</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0.2</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0.2</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0.2</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0.2</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0.2</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0.2</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0.2</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0.2</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0.2</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0.2</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0.2</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0.2</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0.2</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0.2</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0.2</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0.2</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0.2</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0.2</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0.2</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0.2</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0.2</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0.2</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0.2</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0.2</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0.2</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0.2</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0.2</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0.2</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0.2</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0.2</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0.2</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0.2</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0.2</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0.2</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0.2</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0.2</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0.2</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0.2</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0.2</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0.2</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0.2</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0.2</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0.2</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0.2</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0.2</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0.2</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0.2</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0.2</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0.2</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0.2</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0.2</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0.2</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0.2</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0.2</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0.2</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0.2</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0.2</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0.2</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0.2</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0.2</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0.2</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0.2</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0.2</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0.2</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0.2</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0.2</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0.2</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0.2</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0.2</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0.2</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0.2</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0.2</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0.2</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0.2</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0.2</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0.2</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0.2</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0.2</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0.2</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0.2</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0.2</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0.2</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0.2</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0.2</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0.2</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0.2</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0.2</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0.2</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0.2</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0.2</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0.2</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0.2</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0.2</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0.2</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0.2</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0.2</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0.2</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0.2</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0.2</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0.2</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0.2</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0.2</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0.2</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0.2</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0.2</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0.2</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0.2</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0.2</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0.2</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0.2</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0.2</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0.2</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0.2</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0.2</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0.2</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0.2</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0.2</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0.2</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0.2</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0.2</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0.2</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0.2</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0.2</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0.2</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0.2</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0.2</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0.2</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0.2</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0.2</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0.2</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0.2</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0.2</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0.2</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0.2</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0.2</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0.2</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0.2</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0.2</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0.2</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0.2</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0.2</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0.2</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0.2</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0.2</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0.2</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0.2</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0.2</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0.2</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0.2</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0.2</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0.2</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0.2</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0.2</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0.2</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0.2</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0.2</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0.2</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0.2</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0.2</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0.2</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0.2</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0.2</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0.2</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0.2</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0.2</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0.2</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0.2</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0.2</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0.2</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0.2</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0.2</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0.2</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0.2</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0.2</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0.2</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0.2</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0.2</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0.2</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0.2</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0.2</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0.2</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0.2</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0.2</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0.2</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0.2</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0.2</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0.2</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0.2</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0.2</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0.2</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0.2</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0.2</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0.2</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0.2</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0.2</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0.2</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0.2</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0.2</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0.2</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0.2</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0.2</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0.2</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0.2</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0.2</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0.2</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0.2</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0.2</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0.2</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0.2</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0.2</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0.2</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0.2</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0.2</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0.2</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0.2</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0.2</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0.2</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0.2</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0.2</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0.2</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0.2</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0.2</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0.2</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0.2</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0.2</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0.2</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0.2</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0.2</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0.2</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0.2</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0.2</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0.2</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0.2</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0.2</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0.2</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0.2</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0.2</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0.2</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0.2</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0.2</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0.2</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0.2</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0.2</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0.2</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0.2</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0.2</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0.2</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0.2</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0.2</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0.2</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0.2</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0.2</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0.2</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0.2</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0.2</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0.2</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0.2</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0.2</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0.2</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0.2</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0.2</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0.2</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0.2</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0.2</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0.2</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0.2</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0.2</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0.2</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0.2</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0.2</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0.2</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0.2</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0.2</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0.2</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0.2</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0.2</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0.2</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0.2</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0.2</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0.2</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0.2</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0.2</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0.2</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0.2</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0.2</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0.2</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0.2</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0.2</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0.2</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0.2</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0.2</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0.2</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0.2</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0.2</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0.2</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0.2</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0.2</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0.2</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0.2</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0.2</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0.2</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0.2</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0.2</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0.2</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0.2</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0.2</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0.2</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0.2</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0.2</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0.2</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0.2</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0.2</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0.2</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0.2</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0.2</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0.2</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0.2</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0.2</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0.2</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0.2</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0.2</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0.2</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0.2</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0.2</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0.2</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0.2</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0.2</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0.2</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0.2</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0.2</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0.2</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0.2</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0.2</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0.2</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0.2</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0.2</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0.2</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0.2</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0.2</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0.2</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0.2</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0.2</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0.2</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0.2</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0.2</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0.2</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0.2</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0.2</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0.2</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0.2</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0.2</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0.2</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0.2</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0.2</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0.2</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0.2</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0.2</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0.2</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0.2</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59"/>
      <c r="B4" s="2967" t="s">
        <v>1625</v>
      </c>
      <c r="C4" s="2967"/>
      <c r="D4" s="2967"/>
      <c r="E4" s="1959"/>
    </row>
    <row r="5" spans="1:5" ht="16.5" thickTop="1">
      <c r="A5" s="1957"/>
      <c r="B5" s="2965" t="s">
        <v>1617</v>
      </c>
      <c r="C5" s="1960" t="s">
        <v>1618</v>
      </c>
      <c r="D5" s="1039">
        <f ca="1">结果表!H101</f>
        <v>91</v>
      </c>
      <c r="E5" s="1957"/>
    </row>
    <row r="6" spans="1:5" ht="15.75">
      <c r="A6" s="1957"/>
      <c r="B6" s="2965"/>
      <c r="C6" s="1960" t="s">
        <v>1619</v>
      </c>
      <c r="D6" s="1039" t="str">
        <f ca="1">NUMBERSTRING(INT(D5*10000),2)&amp;"元整"</f>
        <v>玖拾壹万元整</v>
      </c>
      <c r="E6" s="1957"/>
    </row>
    <row r="7" spans="1:5" ht="15.75">
      <c r="A7" s="1957"/>
      <c r="B7" s="2970"/>
      <c r="C7" s="1961" t="s">
        <v>1620</v>
      </c>
      <c r="D7" s="1040">
        <f ca="1">结果表!H102</f>
        <v>11119</v>
      </c>
      <c r="E7" s="1957"/>
    </row>
    <row r="8" spans="1:5" ht="15.75">
      <c r="A8" s="1957"/>
      <c r="B8" s="2971" t="str">
        <f>结果表!E103</f>
        <v>2.估价师知悉的法定优先受偿款</v>
      </c>
      <c r="C8" s="1962" t="s">
        <v>1621</v>
      </c>
      <c r="D8" s="1040">
        <f>结果表!H103</f>
        <v>0</v>
      </c>
      <c r="E8" s="1957"/>
    </row>
    <row r="9" spans="1:5" ht="15.75">
      <c r="A9" s="1957"/>
      <c r="B9" s="2973"/>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64" t="str">
        <f>结果表!E107</f>
        <v>3.房地产抵押价值</v>
      </c>
      <c r="C13" s="1965" t="s">
        <v>1618</v>
      </c>
      <c r="D13" s="1042">
        <f ca="1">结果表!H107</f>
        <v>91</v>
      </c>
      <c r="E13" s="1957"/>
    </row>
    <row r="14" spans="1:5" ht="15.75">
      <c r="A14" s="1957"/>
      <c r="B14" s="2965"/>
      <c r="C14" s="1960" t="s">
        <v>1619</v>
      </c>
      <c r="D14" s="1039" t="str">
        <f ca="1">NUMBERSTRING(INT(D13*10000),2)&amp;"元整"</f>
        <v>玖拾壹万元整</v>
      </c>
      <c r="E14" s="1957"/>
    </row>
    <row r="15" spans="1:5" ht="15">
      <c r="A15" s="1957"/>
      <c r="B15" s="2970"/>
      <c r="C15" s="1961" t="s">
        <v>1629</v>
      </c>
      <c r="D15" s="1051">
        <f ca="1">结果表!H108</f>
        <v>11119</v>
      </c>
      <c r="E15" s="1957"/>
    </row>
    <row r="16" spans="1:5" ht="15">
      <c r="A16" s="1957"/>
      <c r="B16" s="2971" t="str">
        <f>结果表!E109</f>
        <v>——</v>
      </c>
      <c r="C16" s="1965" t="s">
        <v>1630</v>
      </c>
      <c r="D16" s="1966" t="str">
        <f>结果表!H109</f>
        <v>——</v>
      </c>
      <c r="E16" s="1957"/>
    </row>
    <row r="17" spans="1:5" ht="15.75">
      <c r="A17" s="1957"/>
      <c r="B17" s="2972"/>
      <c r="C17" s="1960" t="s">
        <v>1631</v>
      </c>
      <c r="D17" s="1039" t="e">
        <f>NUMBERSTRING(INT(D16*10000),2)&amp;"元整"</f>
        <v>#VALUE!</v>
      </c>
      <c r="E17" s="1957"/>
    </row>
    <row r="18" spans="1:5" ht="15">
      <c r="A18" s="1957"/>
      <c r="B18" s="2973"/>
      <c r="C18" s="1961" t="s">
        <v>1620</v>
      </c>
      <c r="D18" s="1051" t="str">
        <f>结果表!H110</f>
        <v>——</v>
      </c>
      <c r="E18" s="1957"/>
    </row>
    <row r="19" spans="1:5" ht="15.75">
      <c r="A19" s="1957"/>
      <c r="B19" s="2964" t="str">
        <f>结果表!E111</f>
        <v>——</v>
      </c>
      <c r="C19" s="1965" t="s">
        <v>1618</v>
      </c>
      <c r="D19" s="1040" t="str">
        <f>结果表!H111</f>
        <v>——</v>
      </c>
      <c r="E19" s="1957"/>
    </row>
    <row r="20" spans="1:5" ht="15.75">
      <c r="A20" s="1957"/>
      <c r="B20" s="2965"/>
      <c r="C20" s="1960" t="s">
        <v>1631</v>
      </c>
      <c r="D20" s="1039" t="e">
        <f>NUMBERSTRING(INT(D19*10000),2)&amp;"元整"</f>
        <v>#VALUE!</v>
      </c>
      <c r="E20" s="1957"/>
    </row>
    <row r="21" spans="1:5" ht="15.75" thickBot="1">
      <c r="A21" s="1957"/>
      <c r="B21" s="2966"/>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28991</v>
      </c>
      <c r="C2" s="2" t="s">
        <v>133</v>
      </c>
      <c r="D2" s="243"/>
      <c r="E2" s="243"/>
      <c r="F2" s="243"/>
      <c r="G2" s="243"/>
    </row>
    <row r="3" spans="1:7" s="244" customFormat="1" ht="18" customHeight="1" thickBot="1">
      <c r="A3" s="247" t="s">
        <v>85</v>
      </c>
      <c r="B3" s="248">
        <f ca="1">ROUND(B2*10000/'数据-汇总表'!E3,0)</f>
        <v>3542400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150</v>
      </c>
      <c r="F9" s="265"/>
      <c r="G9" s="270"/>
    </row>
    <row r="10" spans="1:7" s="258" customFormat="1" ht="13.5" customHeight="1">
      <c r="A10" s="949" t="s">
        <v>801</v>
      </c>
      <c r="B10" s="268" t="s">
        <v>94</v>
      </c>
      <c r="C10" s="269">
        <f>ROUND(D10*E10/10000,0)</f>
        <v>2</v>
      </c>
      <c r="D10" s="1031">
        <f>'数据-汇总表'!E6</f>
        <v>81.84</v>
      </c>
      <c r="E10" s="269">
        <f>'数据-取费表'!B28</f>
        <v>190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2</v>
      </c>
      <c r="D19" s="1035">
        <f>'数据-汇总表'!E3</f>
        <v>81.84</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1501</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1486</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1055</v>
      </c>
      <c r="C25" s="1354">
        <f ca="1">ROUND(IF('数据-取费表'!B22&lt;=1,C20*F22*'数据-取费表'!B23/2,C20*(POWER((1+F22),'数据-取费表'!B23/2)-1)),0)</f>
        <v>15</v>
      </c>
      <c r="D25" s="282"/>
      <c r="E25" s="285"/>
      <c r="F25" s="283"/>
      <c r="G25" s="286" t="s">
        <v>110</v>
      </c>
    </row>
    <row r="26" spans="1:7" s="258" customFormat="1">
      <c r="A26" s="950" t="s">
        <v>795</v>
      </c>
      <c r="B26" s="259" t="s">
        <v>1057</v>
      </c>
      <c r="C26" s="282">
        <f ca="1">ROUND(IF('数据-取费表'!B22&lt;=1,F21*F22*'数据-取费表'!B23/2,F21*(POWER((1+F22),'数据-取费表'!B23/2)-1)),4)</f>
        <v>6.9999999999999999E-4</v>
      </c>
      <c r="D26" s="282"/>
      <c r="E26" s="285"/>
      <c r="F26" s="283"/>
      <c r="G26" s="287"/>
    </row>
    <row r="27" spans="1:7" s="258" customFormat="1" ht="24.75">
      <c r="A27" s="947" t="s">
        <v>787</v>
      </c>
      <c r="B27" s="288" t="s">
        <v>112</v>
      </c>
      <c r="C27" s="289">
        <f>C28</f>
        <v>4205</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4205</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23</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2</v>
      </c>
      <c r="D37" s="261">
        <f>'数据-汇总表'!E3</f>
        <v>81.84</v>
      </c>
      <c r="E37" s="293">
        <f>'数据-取费表'!B35</f>
        <v>200</v>
      </c>
      <c r="F37" s="303"/>
      <c r="G37" s="305" t="s">
        <v>119</v>
      </c>
    </row>
    <row r="38" spans="1:7" ht="13.5" customHeight="1">
      <c r="A38" s="950" t="s">
        <v>799</v>
      </c>
      <c r="B38" s="259" t="s">
        <v>63</v>
      </c>
      <c r="C38" s="264">
        <f>ROUND(C34*F38,0)</f>
        <v>0</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v>
      </c>
      <c r="D41" s="279">
        <f ca="1">C44</f>
        <v>6.9999999999999999E-4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v>
      </c>
      <c r="D42" s="282"/>
      <c r="E42" s="282"/>
      <c r="F42" s="283"/>
      <c r="G42" s="3149" t="s">
        <v>121</v>
      </c>
    </row>
    <row r="43" spans="1:7" ht="13.5" customHeight="1">
      <c r="A43" s="950" t="s">
        <v>792</v>
      </c>
      <c r="B43" s="259" t="s">
        <v>1061</v>
      </c>
      <c r="C43" s="282">
        <f ca="1">ROUND(IF('数据-取费表'!B22&lt;=1,C39*F22*'数据-取费表'!B21/2,C39*(POWER((1+F22),'数据-取费表'!B21/2)-1)),0)</f>
        <v>0</v>
      </c>
      <c r="D43" s="282"/>
      <c r="E43" s="282"/>
      <c r="F43" s="283"/>
      <c r="G43" s="3150"/>
    </row>
    <row r="44" spans="1:7" ht="13.5" customHeight="1">
      <c r="A44" s="950" t="s">
        <v>793</v>
      </c>
      <c r="B44" s="259" t="s">
        <v>1063</v>
      </c>
      <c r="C44" s="282">
        <f ca="1">ROUND(IF('数据-取费表'!B22&lt;=1,C40*F22*'数据-取费表'!B21/2,C40*(POWER((1+F22),'数据-取费表'!B21/2)-1)),4)</f>
        <v>6.9999999999999999E-4</v>
      </c>
      <c r="D44" s="282"/>
      <c r="E44" s="282"/>
      <c r="F44" s="283"/>
      <c r="G44" s="3151"/>
    </row>
    <row r="45" spans="1:7" s="258" customFormat="1" ht="13.5" customHeight="1">
      <c r="A45" s="947" t="s">
        <v>786</v>
      </c>
      <c r="B45" s="288" t="s">
        <v>112</v>
      </c>
      <c r="C45" s="289">
        <f>C46</f>
        <v>5</v>
      </c>
      <c r="D45" s="279">
        <f>C47</f>
        <v>4.0000000000000001E-3</v>
      </c>
      <c r="E45" s="280" t="s">
        <v>129</v>
      </c>
      <c r="F45" s="290"/>
      <c r="G45" s="291" t="s">
        <v>1069</v>
      </c>
    </row>
    <row r="46" spans="1:7" s="258" customFormat="1" ht="13.5" customHeight="1">
      <c r="A46" s="950" t="s">
        <v>794</v>
      </c>
      <c r="B46" s="292" t="s">
        <v>1062</v>
      </c>
      <c r="C46" s="293">
        <f>ROUND((C33+C39)*F27,0)</f>
        <v>5</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36</v>
      </c>
      <c r="D49" s="276"/>
      <c r="E49" s="276"/>
      <c r="F49" s="308"/>
      <c r="G49" s="278" t="s">
        <v>1070</v>
      </c>
    </row>
    <row r="50" spans="1:7" s="302" customFormat="1" ht="24">
      <c r="A50" s="947" t="s">
        <v>789</v>
      </c>
      <c r="B50" s="254" t="s">
        <v>124</v>
      </c>
      <c r="C50" s="276"/>
      <c r="D50" s="276"/>
      <c r="E50" s="276"/>
      <c r="F50" s="308">
        <f>IF('数据-取费表'!B24=0,'数据-取费表'!N16,1)</f>
        <v>0.8</v>
      </c>
      <c r="G50" s="291" t="s">
        <v>125</v>
      </c>
    </row>
    <row r="51" spans="1:7" ht="16.5" customHeight="1">
      <c r="A51" s="947" t="s">
        <v>790</v>
      </c>
      <c r="B51" s="254" t="s">
        <v>132</v>
      </c>
      <c r="C51" s="276">
        <f ca="1">ROUND(C49*F50,0)</f>
        <v>29</v>
      </c>
      <c r="D51" s="276"/>
      <c r="E51" s="276"/>
      <c r="F51" s="308"/>
      <c r="G51" s="278" t="s">
        <v>64</v>
      </c>
    </row>
    <row r="52" spans="1:7" s="252" customFormat="1" ht="16.5" thickBot="1">
      <c r="A52" s="309" t="s">
        <v>65</v>
      </c>
      <c r="B52" s="310"/>
      <c r="C52" s="311">
        <f ca="1">C31+C51</f>
        <v>28991</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8" t="s">
        <v>156</v>
      </c>
      <c r="B1" s="3288"/>
      <c r="C1" s="3288"/>
      <c r="D1" s="3288"/>
      <c r="E1" s="3288"/>
      <c r="F1" s="328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9" t="s">
        <v>169</v>
      </c>
      <c r="B2" s="3289"/>
      <c r="C2" s="3289"/>
      <c r="D2" s="3289"/>
      <c r="E2" s="3289"/>
      <c r="F2" s="328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8" t="s">
        <v>868</v>
      </c>
      <c r="B1" s="3288"/>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43643</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P7"/>
  <sheetViews>
    <sheetView workbookViewId="0">
      <selection activeCell="N4" sqref="N4:P4"/>
    </sheetView>
  </sheetViews>
  <sheetFormatPr defaultRowHeight="13.5"/>
  <sheetData>
    <row r="1" spans="14:16">
      <c r="N1" s="2958" t="s">
        <v>3102</v>
      </c>
      <c r="O1" s="2958" t="s">
        <v>3100</v>
      </c>
      <c r="P1" s="2958" t="s">
        <v>3101</v>
      </c>
    </row>
    <row r="2" spans="14:16">
      <c r="N2">
        <v>502</v>
      </c>
      <c r="O2">
        <f>200000/30.02</f>
        <v>6662.2251832111924</v>
      </c>
      <c r="P2">
        <f>289000/30.02</f>
        <v>9626.9153897401739</v>
      </c>
    </row>
    <row r="3" spans="14:16">
      <c r="N3">
        <v>702</v>
      </c>
      <c r="O3">
        <f>250000/36.01</f>
        <v>6942.5159677867259</v>
      </c>
      <c r="P3">
        <f>325000/36.01</f>
        <v>9025.2707581227442</v>
      </c>
    </row>
    <row r="4" spans="14:16">
      <c r="N4">
        <v>6209</v>
      </c>
      <c r="O4">
        <f>830000/73.07</f>
        <v>11358.970849869989</v>
      </c>
      <c r="P4">
        <f>905000/73.07</f>
        <v>12385.383878472698</v>
      </c>
    </row>
    <row r="5" spans="14:16">
      <c r="N5">
        <v>3210</v>
      </c>
      <c r="O5">
        <f>980000/86.36</f>
        <v>11347.846225104215</v>
      </c>
      <c r="P5">
        <f>920000/86.36</f>
        <v>10653.080129689672</v>
      </c>
    </row>
    <row r="6" spans="14:16">
      <c r="N6">
        <v>5113</v>
      </c>
      <c r="O6">
        <f>800000/70.84</f>
        <v>11293.054771315641</v>
      </c>
      <c r="P6">
        <f>565000/70.84</f>
        <v>7975.7199322416709</v>
      </c>
    </row>
    <row r="7" spans="14:16">
      <c r="N7">
        <v>6106</v>
      </c>
      <c r="O7">
        <f>930000/81.84</f>
        <v>11363.636363636364</v>
      </c>
      <c r="P7">
        <f>685000/81.84</f>
        <v>8369.9902248289345</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81" sqref="A8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4" t="str">
        <f>IF(项目基本情况!B9="房地产市场价值","估价结果一览表","结果表-2")</f>
        <v>估价结果一览表</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房地产市场价值</v>
      </c>
      <c r="I2" s="2975"/>
    </row>
    <row r="3" spans="1:9" ht="15">
      <c r="A3" s="2976"/>
      <c r="B3" s="2976"/>
      <c r="C3" s="2976"/>
      <c r="D3" s="1043" t="s">
        <v>1633</v>
      </c>
      <c r="E3" s="1043" t="s">
        <v>1639</v>
      </c>
      <c r="F3" s="1043" t="s">
        <v>1633</v>
      </c>
      <c r="G3" s="1043" t="s">
        <v>1634</v>
      </c>
      <c r="H3" s="1043" t="s">
        <v>1633</v>
      </c>
      <c r="I3" s="1043" t="s">
        <v>1634</v>
      </c>
    </row>
    <row r="4" spans="1:9" ht="15">
      <c r="A4" s="1971" t="str">
        <f>项目基本情况!S2</f>
        <v>北京市房地产</v>
      </c>
      <c r="B4" s="1043">
        <f>项目基本情况!C17</f>
        <v>81.84</v>
      </c>
      <c r="C4" s="1043">
        <f>项目基本情况!C18</f>
        <v>0</v>
      </c>
      <c r="D4" s="1043" t="e">
        <f ca="1">结果表!D118</f>
        <v>#REF!</v>
      </c>
      <c r="E4" s="1043" t="e">
        <f ca="1">结果表!E118</f>
        <v>#REF!</v>
      </c>
      <c r="F4" s="1043" t="e">
        <f ca="1">结果表!F118</f>
        <v>#REF!</v>
      </c>
      <c r="G4" s="1043" t="e">
        <f ca="1">结果表!G118</f>
        <v>#REF!</v>
      </c>
      <c r="H4" s="1043">
        <f ca="1">结果表!H118</f>
        <v>91</v>
      </c>
      <c r="I4" s="1043">
        <f ca="1">结果表!I118</f>
        <v>11119</v>
      </c>
    </row>
    <row r="5" spans="1:9" ht="30" customHeight="1">
      <c r="A5" s="2976" t="s">
        <v>1635</v>
      </c>
      <c r="B5" s="2976"/>
      <c r="C5" s="2976"/>
      <c r="D5" s="2977" t="e">
        <f ca="1">结果表!D119</f>
        <v>#REF!</v>
      </c>
      <c r="E5" s="2977"/>
      <c r="F5" s="2977" t="e">
        <f ca="1">结果表!F119</f>
        <v>#REF!</v>
      </c>
      <c r="G5" s="2977"/>
      <c r="H5" s="2977" t="str">
        <f ca="1">结果表!H119</f>
        <v>玖拾壹万元整</v>
      </c>
      <c r="I5" s="2977"/>
    </row>
    <row r="6" spans="1:9" ht="15.75">
      <c r="A6" s="2978" t="str">
        <f>结果表!A120</f>
        <v/>
      </c>
      <c r="B6" s="2978"/>
      <c r="C6" s="2978"/>
      <c r="D6" s="2978">
        <f>结果表!D120</f>
        <v>0</v>
      </c>
      <c r="E6" s="2978"/>
      <c r="F6" s="2978"/>
      <c r="G6" s="2978"/>
      <c r="H6" s="2978"/>
      <c r="I6" s="2978"/>
    </row>
    <row r="7" spans="1:9" ht="15">
      <c r="A7" s="2976" t="s">
        <v>1635</v>
      </c>
      <c r="B7" s="2976"/>
      <c r="C7" s="2976"/>
      <c r="D7" s="2979" t="str">
        <f>结果表!D121</f>
        <v>零元整</v>
      </c>
      <c r="E7" s="2980"/>
      <c r="F7" s="2980"/>
      <c r="G7" s="2980"/>
      <c r="H7" s="2980"/>
      <c r="I7" s="2981"/>
    </row>
    <row r="8" spans="1:9" ht="15.75">
      <c r="A8" s="2978" t="str">
        <f>结果表!A122</f>
        <v/>
      </c>
      <c r="B8" s="2978"/>
      <c r="C8" s="2978"/>
      <c r="D8" s="2978">
        <f ca="1">结果表!D122</f>
        <v>91</v>
      </c>
      <c r="E8" s="2978"/>
      <c r="F8" s="2978"/>
      <c r="G8" s="2978"/>
      <c r="H8" s="2978"/>
      <c r="I8" s="2978"/>
    </row>
    <row r="9" spans="1:9" ht="15">
      <c r="A9" s="2976" t="s">
        <v>1635</v>
      </c>
      <c r="B9" s="2976"/>
      <c r="C9" s="2976"/>
      <c r="D9" s="2977" t="str">
        <f ca="1">结果表!D123</f>
        <v>玖拾壹万元整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1635</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5" t="s">
        <v>1657</v>
      </c>
      <c r="B1" s="2985"/>
      <c r="C1" s="2985"/>
      <c r="D1" s="2985"/>
    </row>
    <row r="2" spans="1:4" ht="18">
      <c r="A2" s="2986" t="s">
        <v>1641</v>
      </c>
      <c r="B2" s="2986"/>
      <c r="C2" s="2986"/>
      <c r="D2" s="2986"/>
    </row>
    <row r="3" spans="1:4" ht="18.75">
      <c r="A3" s="1975" t="s">
        <v>1642</v>
      </c>
      <c r="B3" s="1975" t="s">
        <v>1643</v>
      </c>
      <c r="C3" s="1975" t="s">
        <v>1644</v>
      </c>
      <c r="D3" s="1975" t="s">
        <v>1645</v>
      </c>
    </row>
    <row r="4" spans="1:4" ht="56.25" customHeight="1">
      <c r="A4" s="1976" t="str">
        <f>项目基本情况!B4</f>
        <v>陈颖</v>
      </c>
      <c r="B4" s="1977">
        <f ca="1">项目基本情况!C4</f>
        <v>1120060040</v>
      </c>
      <c r="C4" s="1978"/>
      <c r="D4" s="1979" t="s">
        <v>1646</v>
      </c>
    </row>
    <row r="5" spans="1:4" ht="56.25" customHeight="1">
      <c r="A5" s="1976" t="str">
        <f>项目基本情况!D4</f>
        <v>杨红英</v>
      </c>
      <c r="B5" s="1977">
        <f ca="1">项目基本情况!E4</f>
        <v>1120070085</v>
      </c>
      <c r="C5" s="1980"/>
      <c r="D5" s="1979" t="s">
        <v>1646</v>
      </c>
    </row>
    <row r="6" spans="1:4" ht="18">
      <c r="A6" s="2986" t="s">
        <v>1647</v>
      </c>
      <c r="B6" s="2986"/>
      <c r="C6" s="2986"/>
      <c r="D6" s="2986"/>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2987" t="s">
        <v>1650</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8" t="str">
        <f>IF(项目基本情况!B8="抵押","3.抵押双方在办理抵押登记手续时，应使用本公司出具的正式《房地产评估报告》，特提醒报告使用者注意。","——")</f>
        <v>——</v>
      </c>
      <c r="B13" s="2989"/>
      <c r="C13" s="2989"/>
      <c r="D13" s="2989"/>
    </row>
    <row r="14" spans="1:4" ht="15.75" customHeight="1">
      <c r="A14" s="2988" t="str">
        <f>IF(项目基本情况!B8="抵押","4.本次评估估价师所知悉的法定优先受偿款情况说明如下：","——")</f>
        <v>——</v>
      </c>
      <c r="B14" s="2989"/>
      <c r="C14" s="2989"/>
      <c r="D14" s="2989"/>
    </row>
    <row r="15" spans="1:4" ht="42" customHeight="1">
      <c r="A15" s="2988" t="str">
        <f>IF(项目基本情况!B8="抵押","（1）"&amp;CONCATENATE(项目基本情况!L20,项目基本情况!L21,项目基本情况!L22),"——")</f>
        <v>——</v>
      </c>
      <c r="B15" s="2988"/>
      <c r="C15" s="2988"/>
      <c r="D15" s="2988"/>
    </row>
    <row r="16" spans="1:4" ht="30" customHeight="1">
      <c r="A16" s="2991" t="s">
        <v>1651</v>
      </c>
      <c r="B16" s="2991"/>
      <c r="C16" s="2991"/>
      <c r="D16" s="2991"/>
    </row>
    <row r="17" spans="1:4" ht="144" customHeight="1">
      <c r="A17" s="2991" t="s">
        <v>1652</v>
      </c>
      <c r="B17" s="2991"/>
      <c r="C17" s="2991"/>
      <c r="D17" s="2991"/>
    </row>
    <row r="18" spans="1:4" ht="15.75" customHeight="1">
      <c r="A18" s="2988" t="str">
        <f>IF(项目基本情况!B8="抵押",结果表!K120,"——")</f>
        <v>——</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2999" t="s">
        <v>1664</v>
      </c>
      <c r="B15" s="2994" t="s">
        <v>136</v>
      </c>
      <c r="C15" s="2995"/>
    </row>
    <row r="16" spans="1:7" ht="13.5">
      <c r="A16" s="3000"/>
      <c r="B16" s="2994" t="s">
        <v>69</v>
      </c>
      <c r="C16" s="2995"/>
    </row>
    <row r="17" spans="1:3" ht="13.5">
      <c r="A17" s="3000"/>
      <c r="B17" s="2997" t="s">
        <v>1665</v>
      </c>
      <c r="C17" s="1998" t="s">
        <v>1664</v>
      </c>
    </row>
    <row r="18" spans="1:3" ht="13.5">
      <c r="A18" s="3000"/>
      <c r="B18" s="2997"/>
      <c r="C18" s="1998" t="s">
        <v>1666</v>
      </c>
    </row>
    <row r="19" spans="1:3" ht="13.5">
      <c r="A19" s="3000"/>
      <c r="B19" s="2997"/>
      <c r="C19" s="1998" t="s">
        <v>1667</v>
      </c>
    </row>
    <row r="20" spans="1:3" ht="13.5">
      <c r="A20" s="3001"/>
      <c r="B20" s="2996" t="s">
        <v>1668</v>
      </c>
      <c r="C20" s="2995"/>
    </row>
    <row r="21" spans="1:3" ht="13.5">
      <c r="A21" s="1999" t="s">
        <v>1669</v>
      </c>
      <c r="B21" s="2000"/>
      <c r="C21" s="2001"/>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8" t="s">
        <v>1675</v>
      </c>
    </row>
    <row r="26" spans="1:3" ht="13.5">
      <c r="A26" s="2998"/>
      <c r="B26" s="2997"/>
      <c r="C26" s="1998" t="s">
        <v>1676</v>
      </c>
    </row>
    <row r="27" spans="1:3" ht="13.5">
      <c r="A27" s="2998"/>
      <c r="B27" s="2997"/>
      <c r="C27" s="1998" t="s">
        <v>1677</v>
      </c>
    </row>
    <row r="28" spans="1:3" ht="13.5">
      <c r="A28" s="2998"/>
      <c r="B28" s="2997"/>
      <c r="C28" s="1998" t="s">
        <v>1678</v>
      </c>
    </row>
    <row r="29" spans="1:3" ht="13.5">
      <c r="A29" s="2998"/>
      <c r="B29" s="2997"/>
      <c r="C29" s="1998" t="s">
        <v>1679</v>
      </c>
    </row>
    <row r="30" spans="1:3" ht="13.5">
      <c r="A30" s="2998"/>
      <c r="B30" s="2997"/>
      <c r="C30" s="1998" t="s">
        <v>1680</v>
      </c>
    </row>
    <row r="31" spans="1:3" ht="13.5">
      <c r="A31" s="2998"/>
      <c r="B31" s="2997"/>
      <c r="C31" s="1998" t="s">
        <v>1681</v>
      </c>
    </row>
    <row r="32" spans="1:3" ht="13.5">
      <c r="A32" s="2998"/>
      <c r="B32" s="2997"/>
      <c r="C32" s="1998" t="s">
        <v>1682</v>
      </c>
    </row>
    <row r="33" spans="1:3" ht="13.5">
      <c r="A33" s="2998"/>
      <c r="B33" s="2997"/>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43663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f ca="1">IF(C10&lt;B2,"已过期",1120060040)</f>
        <v>1120060040</v>
      </c>
      <c r="C10" s="2347">
        <v>44554</v>
      </c>
      <c r="D10" s="2350" t="s">
        <v>838</v>
      </c>
      <c r="E10" s="1021">
        <f ca="1">IF(F10&lt;B2,"已过期",2004110096)</f>
        <v>2004110096</v>
      </c>
      <c r="F10" s="1029">
        <v>47118</v>
      </c>
    </row>
    <row r="11" spans="1:6" ht="24" customHeight="1">
      <c r="A11" s="1701" t="s">
        <v>839</v>
      </c>
      <c r="B11" s="1021">
        <f ca="1">IF(C11&lt;B2,"已过期",1120100036)</f>
        <v>1120100036</v>
      </c>
      <c r="C11" s="2347">
        <v>44675</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3041</v>
      </c>
      <c r="B14" s="1021">
        <f ca="1">IF(C14&lt;B2,"已过期",1120040230)</f>
        <v>1120040230</v>
      </c>
      <c r="C14" s="2347">
        <v>43835</v>
      </c>
      <c r="D14" s="2350" t="s">
        <v>3041</v>
      </c>
      <c r="E14" s="1021">
        <f ca="1">IF(F14&lt;B2,"已过期",98030020)</f>
        <v>98030020</v>
      </c>
      <c r="F14" s="1029">
        <v>47118</v>
      </c>
    </row>
    <row r="15" spans="1:6" ht="24" customHeight="1">
      <c r="A15" s="1702" t="s">
        <v>3042</v>
      </c>
      <c r="B15" s="1021">
        <f ca="1">IF(C15&lt;B2,"已过期",1120070085)</f>
        <v>1120070085</v>
      </c>
      <c r="C15" s="2347">
        <v>43814</v>
      </c>
      <c r="D15" s="2351" t="s">
        <v>3042</v>
      </c>
      <c r="E15" s="1021">
        <f ca="1">IF(F15&lt;B2,"已过期",2004110128)</f>
        <v>2004110128</v>
      </c>
      <c r="F15" s="1022">
        <v>47118</v>
      </c>
    </row>
    <row r="16" spans="1:6" ht="24" customHeight="1">
      <c r="A16" s="1701" t="s">
        <v>3043</v>
      </c>
      <c r="B16" s="1021">
        <f ca="1">IF(C16&lt;B2,"已过期",1120140022)</f>
        <v>1120140022</v>
      </c>
      <c r="C16" s="2930">
        <v>44029</v>
      </c>
      <c r="D16" s="2350" t="s">
        <v>3043</v>
      </c>
      <c r="E16" s="1021">
        <f ca="1">IF(F16&lt;B2,"已过期",2008110059)</f>
        <v>2008110059</v>
      </c>
      <c r="F16" s="1029">
        <v>47177</v>
      </c>
    </row>
    <row r="17" spans="1:7" ht="24" customHeight="1">
      <c r="A17" s="1701"/>
      <c r="B17" s="1021"/>
      <c r="C17" s="2347"/>
      <c r="D17" s="2350" t="s">
        <v>3044</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02" t="s">
        <v>843</v>
      </c>
      <c r="B25" s="3002"/>
      <c r="C25" s="3002"/>
      <c r="D25" s="3002"/>
      <c r="E25" s="3002"/>
      <c r="F25" s="3002"/>
      <c r="G25" s="3002"/>
    </row>
    <row r="26" spans="1:7" s="1024" customFormat="1" ht="24" customHeight="1">
      <c r="A26" s="3003" t="s">
        <v>844</v>
      </c>
      <c r="B26" s="3003"/>
      <c r="C26" s="3004"/>
      <c r="D26" s="3005" t="s">
        <v>845</v>
      </c>
      <c r="E26" s="3003"/>
      <c r="F26" s="3003"/>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3048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 (元)</vt:lpstr>
      <vt:lpstr>成本法 (元)</vt:lpstr>
      <vt:lpstr>假设开发法</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写字楼租金</vt:lpstr>
      <vt:lpstr>拍卖网站</vt:lpstr>
      <vt:lpstr>商业租金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2019-07-17T02:14:05Z</dcterms:modified>
</cp:coreProperties>
</file>