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石景山区五一剧场路商业办公项目\"/>
    </mc:Choice>
  </mc:AlternateContent>
  <xr:revisionPtr revIDLastSave="0" documentId="13_ncr:1_{6FFEB12C-FD7F-4E23-8011-123694DFEB3B}" xr6:coauthVersionLast="47" xr6:coauthVersionMax="47" xr10:uidLastSave="{00000000-0000-0000-0000-000000000000}"/>
  <bookViews>
    <workbookView xWindow="-120" yWindow="-120" windowWidth="29040" windowHeight="15840" tabRatio="899" firstSheet="26"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土地信息" sheetId="80" r:id="rId14"/>
    <sheet name="总面积" sheetId="81" r:id="rId15"/>
    <sheet name="739地块" sheetId="85" r:id="rId16"/>
    <sheet name="738地块" sheetId="86" r:id="rId17"/>
    <sheet name="评估范围" sheetId="99" r:id="rId18"/>
    <sheet name="749地块" sheetId="87" state="hidden" r:id="rId19"/>
    <sheet name="758地块" sheetId="88" state="hidden" r:id="rId20"/>
    <sheet name="755地块" sheetId="89" state="hidden" r:id="rId21"/>
    <sheet name="754地块" sheetId="90" state="hidden" r:id="rId22"/>
    <sheet name="数据-汇总表" sheetId="6" r:id="rId23"/>
    <sheet name="数据-取费表" sheetId="1" r:id="rId24"/>
    <sheet name="估价对象房地状况" sheetId="20" state="hidden" r:id="rId25"/>
    <sheet name="典型户型修正" sheetId="31" r:id="rId26"/>
    <sheet name="系统读取表" sheetId="74" r:id="rId27"/>
    <sheet name="结果表" sheetId="9" r:id="rId28"/>
    <sheet name="成本法" sheetId="68" r:id="rId29"/>
    <sheet name="成本法 (元)" sheetId="69" state="hidden" r:id="rId30"/>
    <sheet name="假设开发法" sheetId="12" state="hidden" r:id="rId31"/>
    <sheet name="基准地价修正-商业" sheetId="43" r:id="rId32"/>
    <sheet name="基准地价修正-办公" sheetId="93" r:id="rId33"/>
    <sheet name="基准地价修正-公服" sheetId="98" state="hidden" r:id="rId34"/>
    <sheet name="基准地价（汇总）" sheetId="76" r:id="rId35"/>
    <sheet name="收益法-商业" sheetId="15" r:id="rId36"/>
    <sheet name="收益法-办公" sheetId="94" r:id="rId37"/>
    <sheet name="收益法-公服" sheetId="97" state="hidden" r:id="rId38"/>
    <sheet name="收益法（汇总）" sheetId="70" r:id="rId39"/>
    <sheet name="739地块商业租金" sheetId="91" r:id="rId40"/>
    <sheet name="739地块办公租金" sheetId="92" r:id="rId41"/>
    <sheet name="商业" sheetId="83" r:id="rId42"/>
    <sheet name="738商业租金" sheetId="95" r:id="rId43"/>
    <sheet name="办公" sheetId="84" r:id="rId44"/>
    <sheet name="738办公租金" sheetId="96" r:id="rId45"/>
    <sheet name="收益法 (元)" sheetId="67" state="hidden" r:id="rId46"/>
    <sheet name="收益法-酒店模型" sheetId="77" state="hidden" r:id="rId47"/>
    <sheet name="比较法-住宅" sheetId="21" state="hidden" r:id="rId48"/>
    <sheet name="比较法-商业" sheetId="33" state="hidden" r:id="rId49"/>
    <sheet name="比较法-办公" sheetId="34"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state="hidden"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sum2">'[1]（27）实收资本'!#REF!</definedName>
    <definedName name="____sum2">'[1]（27）实收资本'!#REF!</definedName>
    <definedName name="___sum1">'[1]（27）实收资本'!#REF!</definedName>
    <definedName name="___sum2">'[1]（27）实收资本'!#REF!</definedName>
    <definedName name="__IntlFixup" hidden="1">TRUE</definedName>
    <definedName name="__sum1">'[1]（27）实收资本'!#REF!</definedName>
    <definedName name="__sum2">'[1]（27）实收资本'!#REF!</definedName>
    <definedName name="_1__123Graph_ACHART_1" hidden="1">'[2]Consolidated 03'!#REF!</definedName>
    <definedName name="_2__123Graph_DCHART_1" hidden="1">'[2]Consolidated 03'!$AL$98:$AW$98</definedName>
    <definedName name="_3__123Graph_FCHART_1" hidden="1">'[2]Consolidated 03'!$AL$100:$AW$100</definedName>
    <definedName name="_4__123Graph_LBL_ACHART_1" hidden="1">'[2]Consolidated 03'!#REF!</definedName>
    <definedName name="_5__123Graph_LBL_DCHART_1" hidden="1">'[2]Consolidated 03'!$AI$98:$AI$98</definedName>
    <definedName name="_6__123Graph_LBL_FCHART_1" hidden="1">'[2]Consolidated 03'!$AI$100:$AI$100</definedName>
    <definedName name="_xlnm._FilterDatabase" localSheetId="43" hidden="1">办公!$A$1:$W$70</definedName>
    <definedName name="_xlnm._FilterDatabase" localSheetId="49"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48" hidden="1">'比较法-商业'!$A$1:$L$49</definedName>
    <definedName name="_xlnm._FilterDatabase" localSheetId="47" hidden="1">'比较法-住宅'!$A$1:$L$49</definedName>
    <definedName name="_xlnm._FilterDatabase" localSheetId="41" hidden="1">商业!$A$1:$W$79</definedName>
    <definedName name="_xlnm._FilterDatabase" localSheetId="12"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1" hidden="1">项目基本情况!$A$42:$N$42</definedName>
    <definedName name="_Order1" hidden="1">0</definedName>
    <definedName name="_sum1">'[1]（27）实收资本'!#REF!</definedName>
    <definedName name="_sum2">'[1]（27）实收资本'!#REF!</definedName>
    <definedName name="A">#REF!</definedName>
    <definedName name="as">#REF!</definedName>
    <definedName name="bnit" hidden="1">'[2]Consolidated 03'!#REF!</definedName>
    <definedName name="Code" hidden="1">#REF!</definedName>
    <definedName name="Data.Dump" localSheetId="43" hidden="1">OFFSET(Data.Top.Left,1,0)</definedName>
    <definedName name="Data.Dump" localSheetId="32" hidden="1">OFFSET(Data.Top.Left,1,0)</definedName>
    <definedName name="Data.Dump" localSheetId="33" hidden="1">OFFSET(Data.Top.Left,1,0)</definedName>
    <definedName name="Data.Dump" localSheetId="36" hidden="1">OFFSET(Data.Top.Left,1,0)</definedName>
    <definedName name="Data.Dump" localSheetId="37" hidden="1">OFFSET(Data.Top.Left,1,0)</definedName>
    <definedName name="Data.Dump" hidden="1">OFFSET(Data.Top.Left,1,0)</definedName>
    <definedName name="data1" hidden="1">#REF!</definedName>
    <definedName name="data2" hidden="1">#REF!</definedName>
    <definedName name="data3" hidden="1">#REF!</definedName>
    <definedName name="_xlnm.Database">[3]工时统计!$A$1:$R$1134</definedName>
    <definedName name="Discount" hidden="1">#REF!</definedName>
    <definedName name="display_area_2" hidden="1">#REF!</definedName>
    <definedName name="EE">#REF!</definedName>
    <definedName name="FCode" hidden="1">#REF!</definedName>
    <definedName name="he">#REF!</definedName>
    <definedName name="her">#REF!</definedName>
    <definedName name="HiddenRows" hidden="1">#REF!</definedName>
    <definedName name="him">#REF!</definedName>
    <definedName name="HTML_CodePage" hidden="1">1252</definedName>
    <definedName name="HTML_Control" localSheetId="43" hidden="1">{"'Leverage'!$B$2:$M$418"}</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kma">[4]科目代码!#REF!</definedName>
    <definedName name="kmb">[5]科目代码!#REF!</definedName>
    <definedName name="lily">[5]科目代码!$C$1:$C$65536</definedName>
    <definedName name="OrderTable" hidden="1">#REF!</definedName>
    <definedName name="Ownership" localSheetId="43" hidden="1">OFFSET(Data.Top.Left,1,0)</definedName>
    <definedName name="Ownership" localSheetId="32" hidden="1">OFFSET(Data.Top.Left,1,0)</definedName>
    <definedName name="Ownership" localSheetId="33" hidden="1">OFFSET(Data.Top.Left,1,0)</definedName>
    <definedName name="Ownership" localSheetId="36" hidden="1">OFFSET(Data.Top.Left,1,0)</definedName>
    <definedName name="Ownership" localSheetId="37" hidden="1">OFFSET(Data.Top.Left,1,0)</definedName>
    <definedName name="Ownership" hidden="1">OFFSET(Data.Top.Left,1,0)</definedName>
    <definedName name="_xlnm.Print_Area" localSheetId="49">'比较法-办公'!$A$1:$K$55,'比较法-办公'!$A$58:$M$132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48">'比较法-商业'!$A$1:$K$54,'比较法-商业'!$A$57:$M$131</definedName>
    <definedName name="_xlnm.Print_Area" localSheetId="47">'比较法-住宅'!$A$1:$K$54,'比较法-住宅'!$A$57:$M$131</definedName>
    <definedName name="_xlnm.Print_Area" localSheetId="28">成本法!$A$1:$G$57</definedName>
    <definedName name="_xlnm.Print_Area" localSheetId="29">'成本法 (元)'!$A$1:$G$57</definedName>
    <definedName name="_xlnm.Print_Area" localSheetId="24">估价对象房地状况!$A$1:$G$24</definedName>
    <definedName name="_xlnm.Print_Area" localSheetId="8">估价师及机构信息!$A$1:$G$22</definedName>
    <definedName name="_xlnm.Print_Area" localSheetId="34">'基准地价（汇总）'!$A$1:$E$13</definedName>
    <definedName name="_xlnm.Print_Area" localSheetId="32">'基准地价修正-办公'!$A$1:$J$44,'基准地价修正-办公'!$A$47:$H$101,'基准地价修正-办公'!$R$1:$V$16</definedName>
    <definedName name="_xlnm.Print_Area" localSheetId="33">'基准地价修正-公服'!$A$1:$J$44,'基准地价修正-公服'!$A$47:$H$101,'基准地价修正-公服'!$R$1:$V$16</definedName>
    <definedName name="_xlnm.Print_Area" localSheetId="31">'基准地价修正-商业'!$A$1:$J$44,'基准地价修正-商业'!$A$47:$H$101,'基准地价修正-商业'!$R$1:$V$16</definedName>
    <definedName name="_xlnm.Print_Area" localSheetId="30">假设开发法!$A$1:$K$32</definedName>
    <definedName name="_xlnm.Print_Area" localSheetId="27">结果表!$A$1:$I$127</definedName>
    <definedName name="_xlnm.Print_Area" localSheetId="45">'收益法 (元)'!$A$1:$F$43,'收益法 (元)'!$H$3:$M$29,'收益法 (元)'!$A$45:$F$71,'收益法 (元)'!$I$46:$N$65</definedName>
    <definedName name="_xlnm.Print_Area" localSheetId="38">'收益法（汇总）'!$A$1:$F$13</definedName>
    <definedName name="_xlnm.Print_Area" localSheetId="36">'收益法-办公'!$A$1:$F$43,'收益法-办公'!$H$3:$M$29,'收益法-办公'!$A$46:$F$71,'收益法-办公'!$I$46:$N$65</definedName>
    <definedName name="_xlnm.Print_Area" localSheetId="37">'收益法-公服'!$A$1:$F$43,'收益法-公服'!$H$3:$M$29,'收益法-公服'!$A$46:$F$71,'收益法-公服'!$I$46:$N$65</definedName>
    <definedName name="_xlnm.Print_Area" localSheetId="35">'收益法-商业'!$A$1:$F$43,'收益法-商业'!$H$3:$M$29,'收益法-商业'!$A$46:$F$71,'收益法-商业'!$I$46:$N$65</definedName>
    <definedName name="_xlnm.Print_Area" localSheetId="22">'数据-汇总表'!$A$1:$P$32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26">系统读取表!$A$1:$I$26</definedName>
    <definedName name="_xlnm.Print_Area" localSheetId="11">项目基本情况!$A$1:$I$38</definedName>
    <definedName name="Print_Area_MI">#REF!</definedName>
    <definedName name="ProdForm" hidden="1">#REF!</definedName>
    <definedName name="Product" hidden="1">#REF!</definedName>
    <definedName name="qwqw">#REF!</definedName>
    <definedName name="RCArea" hidden="1">#REF!</definedName>
    <definedName name="ROLLFWD" localSheetId="43" hidden="1">{"Mo Over Mo Rev Com",#N/A,FALSE,"Report"}</definedName>
    <definedName name="ROLLFWD" hidden="1">{"Mo Over Mo Rev Com",#N/A,FALSE,"Report"}</definedName>
    <definedName name="rydm">#REF!</definedName>
    <definedName name="she">#REF!</definedName>
    <definedName name="SpecialPrice" hidden="1">#REF!</definedName>
    <definedName name="tbl_ProdInfo" hidden="1">#REF!</definedName>
    <definedName name="UFPrn20030110094427">#REF!</definedName>
    <definedName name="wrn.Mo._.Over._.Mo._.Rev._.Com." localSheetId="43" hidden="1">{"Mo Over Mo Rev Com",#N/A,FALSE,"Report"}</definedName>
    <definedName name="wrn.Mo._.Over._.Mo._.Rev._.Com." hidden="1">{"Mo Over Mo Rev Com",#N/A,FALSE,"Report"}</definedName>
    <definedName name="wrn.Sch._.Sel._.Chg." localSheetId="43" hidden="1">{"Sch Sel Chg",#N/A,FALSE,"Report"}</definedName>
    <definedName name="wrn.Sch._.Sel._.Chg." hidden="1">{"Sch Sel Chg",#N/A,FALSE,"Report"}</definedName>
    <definedName name="wrn.Sch._.Sel._.Var." localSheetId="43" hidden="1">{"Sch Sel Var",#N/A,FALSE,"Report"}</definedName>
    <definedName name="wrn.Sch._.Sel._.Var." hidden="1">{"Sch Sel Var",#N/A,FALSE,"Report"}</definedName>
    <definedName name="yfm">#REF!</definedName>
    <definedName name="Z_0E1D33A0_9924_11D4_82A7_0050040E4062_.wvu.PrintArea" hidden="1">#REF!</definedName>
    <definedName name="Z_9381E880_9A07_11D4_8736_00E02986A5F5_.wvu.Cols" hidden="1">#REF!</definedName>
    <definedName name="Z_9381E880_9A07_11D4_8736_00E02986A5F5_.wvu.PrintArea" hidden="1">#REF!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调整分录汇总表_1997_1999.9.30">#REF!</definedName>
    <definedName name="对我">#REF!</definedName>
    <definedName name="二级">区片价!$J$1:$J$21</definedName>
    <definedName name="二级分类">修正!$C$19:$C$53</definedName>
    <definedName name="法定最高年限">定义!$G$1:$G$6</definedName>
    <definedName name="负债">#REF!</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及累计折旧明细帐">[3]工时统计!$A$1:$O$40</definedName>
    <definedName name="固定资产清单">[3]工时统计!$A$1:$Q$170</definedName>
    <definedName name="环境">定义!$S$1:$S$6</definedName>
    <definedName name="基础设施水平">定义!$R$1:$R$6</definedName>
    <definedName name="季度" localSheetId="32">'基准地价修正-办公'!$Q$19:$AD$19</definedName>
    <definedName name="季度" localSheetId="33">'基准地价修正-公服'!$Q$19:$AD$19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科目余额表">#REF!</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损益">#REF!</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6">'[6]数据-汇总表'!$C$17:$C$26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中关村">'[1]（27）实收资本'!#REF!</definedName>
    <definedName name="中关村１">'[1]（27）实收资本'!#REF!</definedName>
    <definedName name="中关村２">[4]科目代码!#REF!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#REF!</definedName>
    <definedName name="전">#REF!</definedName>
    <definedName name="주택사업본부">#REF!</definedName>
    <definedName name="철구사업본부">#REF!</definedName>
  </definedNames>
  <calcPr calcId="181029" iterate="1"/>
</workbook>
</file>

<file path=xl/calcChain.xml><?xml version="1.0" encoding="utf-8"?>
<calcChain xmlns="http://schemas.openxmlformats.org/spreadsheetml/2006/main">
  <c r="O5" i="92" l="1"/>
  <c r="B25" i="31"/>
  <c r="B26" i="31"/>
  <c r="B27" i="31"/>
  <c r="B28" i="31"/>
  <c r="B29" i="31"/>
  <c r="B24" i="31"/>
  <c r="A25" i="31"/>
  <c r="A26" i="31"/>
  <c r="A27" i="31"/>
  <c r="A28" i="31"/>
  <c r="A29" i="31"/>
  <c r="A24" i="31"/>
  <c r="C16" i="74"/>
  <c r="B16" i="74"/>
  <c r="U3" i="43"/>
  <c r="U2" i="43"/>
  <c r="M31" i="99"/>
  <c r="L31" i="99"/>
  <c r="A3" i="3"/>
  <c r="C31" i="99"/>
  <c r="J31" i="99"/>
  <c r="K14" i="3" s="1"/>
  <c r="I31" i="99"/>
  <c r="I13" i="3" s="1"/>
  <c r="N31" i="99"/>
  <c r="N41" i="99"/>
  <c r="N30" i="99"/>
  <c r="N29" i="99"/>
  <c r="N28" i="99"/>
  <c r="N27" i="99"/>
  <c r="N37" i="99"/>
  <c r="N26" i="99"/>
  <c r="N25" i="99"/>
  <c r="C9" i="99"/>
  <c r="O12" i="99"/>
  <c r="L37" i="99"/>
  <c r="M37" i="99" s="1"/>
  <c r="I37" i="99"/>
  <c r="J30" i="99"/>
  <c r="I30" i="99"/>
  <c r="L30" i="99" s="1"/>
  <c r="M30" i="99" s="1"/>
  <c r="J29" i="99"/>
  <c r="I29" i="99"/>
  <c r="L29" i="99" s="1"/>
  <c r="J28" i="99"/>
  <c r="I28" i="99"/>
  <c r="L28" i="99" s="1"/>
  <c r="L27" i="99"/>
  <c r="J27" i="99"/>
  <c r="I27" i="99"/>
  <c r="J26" i="99"/>
  <c r="I26" i="99"/>
  <c r="L26" i="99" s="1"/>
  <c r="J25" i="99"/>
  <c r="I25" i="99"/>
  <c r="L25" i="99" s="1"/>
  <c r="C17" i="99"/>
  <c r="D33" i="98"/>
  <c r="D1" i="98" s="1"/>
  <c r="G94" i="98"/>
  <c r="G95" i="98"/>
  <c r="K95" i="98" s="1"/>
  <c r="G96" i="98"/>
  <c r="K96" i="98" s="1"/>
  <c r="G97" i="98"/>
  <c r="K97" i="98" s="1"/>
  <c r="J97" i="98" s="1"/>
  <c r="G98" i="98"/>
  <c r="G99" i="98"/>
  <c r="G100" i="98"/>
  <c r="M100" i="98" s="1"/>
  <c r="N100" i="98" s="1"/>
  <c r="G101" i="98"/>
  <c r="K101" i="98" s="1"/>
  <c r="G93" i="98"/>
  <c r="M93" i="98" s="1"/>
  <c r="N93" i="98" s="1"/>
  <c r="F116" i="98"/>
  <c r="N111" i="98"/>
  <c r="N112" i="98" s="1"/>
  <c r="M111" i="98"/>
  <c r="M112" i="98" s="1"/>
  <c r="L111" i="98"/>
  <c r="L112" i="98" s="1"/>
  <c r="K111" i="98"/>
  <c r="K112" i="98" s="1"/>
  <c r="J111" i="98"/>
  <c r="J112" i="98" s="1"/>
  <c r="I111" i="98"/>
  <c r="I112" i="98" s="1"/>
  <c r="H111" i="98"/>
  <c r="H112" i="98" s="1"/>
  <c r="G111" i="98"/>
  <c r="G112" i="98" s="1"/>
  <c r="F111" i="98"/>
  <c r="F112" i="98" s="1"/>
  <c r="E111" i="98"/>
  <c r="E112" i="98" s="1"/>
  <c r="D111" i="98"/>
  <c r="D112" i="98" s="1"/>
  <c r="C111" i="98"/>
  <c r="C112" i="98" s="1"/>
  <c r="M101" i="98"/>
  <c r="N101" i="98" s="1"/>
  <c r="B101" i="98"/>
  <c r="K100" i="98"/>
  <c r="J100" i="98" s="1"/>
  <c r="D100" i="98"/>
  <c r="B100" i="98"/>
  <c r="M99" i="98"/>
  <c r="N99" i="98" s="1"/>
  <c r="K99" i="98"/>
  <c r="D99" i="98" s="1"/>
  <c r="J99" i="98"/>
  <c r="B99" i="98"/>
  <c r="M98" i="98"/>
  <c r="N98" i="98" s="1"/>
  <c r="K98" i="98"/>
  <c r="J98" i="98" s="1"/>
  <c r="D98" i="98"/>
  <c r="M97" i="98"/>
  <c r="N97" i="98" s="1"/>
  <c r="D97" i="98"/>
  <c r="B97" i="98"/>
  <c r="M96" i="98"/>
  <c r="N96" i="98" s="1"/>
  <c r="M95" i="98"/>
  <c r="N95" i="98" s="1"/>
  <c r="B95" i="98"/>
  <c r="M94" i="98"/>
  <c r="N94" i="98" s="1"/>
  <c r="K94" i="98"/>
  <c r="J94" i="98" s="1"/>
  <c r="D94" i="98"/>
  <c r="B94" i="98"/>
  <c r="K93" i="98"/>
  <c r="J93" i="98" s="1"/>
  <c r="D93" i="98"/>
  <c r="N90" i="98"/>
  <c r="M90" i="98"/>
  <c r="K90" i="98"/>
  <c r="J90" i="98" s="1"/>
  <c r="H90" i="98"/>
  <c r="D90" i="98"/>
  <c r="B90" i="98"/>
  <c r="M89" i="98"/>
  <c r="N89" i="98" s="1"/>
  <c r="K89" i="98"/>
  <c r="J89" i="98" s="1"/>
  <c r="D89" i="98"/>
  <c r="N88" i="98"/>
  <c r="M88" i="98"/>
  <c r="K88" i="98"/>
  <c r="J88" i="98"/>
  <c r="D88" i="98"/>
  <c r="B88" i="98"/>
  <c r="N87" i="98"/>
  <c r="M87" i="98"/>
  <c r="K87" i="98"/>
  <c r="J87" i="98" s="1"/>
  <c r="H87" i="98"/>
  <c r="D87" i="98"/>
  <c r="B87" i="98"/>
  <c r="M86" i="98"/>
  <c r="N86" i="98" s="1"/>
  <c r="K86" i="98"/>
  <c r="J86" i="98" s="1"/>
  <c r="D86" i="98"/>
  <c r="E83" i="98" s="1"/>
  <c r="B81" i="98" s="1"/>
  <c r="B86" i="98"/>
  <c r="N85" i="98"/>
  <c r="M85" i="98"/>
  <c r="K85" i="98"/>
  <c r="J85" i="98" s="1"/>
  <c r="D85" i="98"/>
  <c r="B85" i="98"/>
  <c r="N84" i="98"/>
  <c r="M84" i="98"/>
  <c r="K84" i="98"/>
  <c r="J84" i="98"/>
  <c r="D84" i="98"/>
  <c r="B84" i="98"/>
  <c r="N83" i="98"/>
  <c r="M83" i="98"/>
  <c r="K83" i="98"/>
  <c r="J83" i="98" s="1"/>
  <c r="H83" i="98"/>
  <c r="F83" i="98"/>
  <c r="H88" i="98" s="1"/>
  <c r="D83" i="98"/>
  <c r="B83" i="98"/>
  <c r="N80" i="98"/>
  <c r="M80" i="98"/>
  <c r="K80" i="98"/>
  <c r="J80" i="98" s="1"/>
  <c r="H80" i="98"/>
  <c r="D80" i="98"/>
  <c r="N79" i="98"/>
  <c r="M79" i="98"/>
  <c r="K79" i="98"/>
  <c r="J79" i="98" s="1"/>
  <c r="H79" i="98"/>
  <c r="D79" i="98"/>
  <c r="B79" i="98"/>
  <c r="M78" i="98"/>
  <c r="N78" i="98" s="1"/>
  <c r="K78" i="98"/>
  <c r="J78" i="98"/>
  <c r="D78" i="98"/>
  <c r="M77" i="98"/>
  <c r="N77" i="98" s="1"/>
  <c r="K77" i="98"/>
  <c r="J77" i="98"/>
  <c r="D77" i="98"/>
  <c r="B77" i="98"/>
  <c r="N76" i="98"/>
  <c r="M76" i="98"/>
  <c r="K76" i="98"/>
  <c r="J76" i="98" s="1"/>
  <c r="H76" i="98"/>
  <c r="D76" i="98"/>
  <c r="B76" i="98"/>
  <c r="M75" i="98"/>
  <c r="N75" i="98" s="1"/>
  <c r="K75" i="98"/>
  <c r="J75" i="98"/>
  <c r="D75" i="98"/>
  <c r="B75" i="98"/>
  <c r="N74" i="98"/>
  <c r="M74" i="98"/>
  <c r="K74" i="98"/>
  <c r="J74" i="98" s="1"/>
  <c r="D74" i="98"/>
  <c r="B74" i="98"/>
  <c r="M73" i="98"/>
  <c r="N73" i="98" s="1"/>
  <c r="K73" i="98"/>
  <c r="J73" i="98"/>
  <c r="D73" i="98"/>
  <c r="E72" i="98" s="1"/>
  <c r="B70" i="98" s="1"/>
  <c r="B73" i="98"/>
  <c r="N72" i="98"/>
  <c r="M72" i="98"/>
  <c r="K72" i="98"/>
  <c r="J72" i="98" s="1"/>
  <c r="H72" i="98"/>
  <c r="F72" i="98"/>
  <c r="H77" i="98" s="1"/>
  <c r="D72" i="98"/>
  <c r="B72" i="98"/>
  <c r="B69" i="98"/>
  <c r="B68" i="98"/>
  <c r="B67" i="98"/>
  <c r="D65" i="98"/>
  <c r="B65" i="98"/>
  <c r="B63" i="98"/>
  <c r="D62" i="98"/>
  <c r="B62" i="98"/>
  <c r="D61" i="98"/>
  <c r="B61" i="98"/>
  <c r="B58" i="98"/>
  <c r="B57" i="98"/>
  <c r="B56" i="98"/>
  <c r="D54" i="98"/>
  <c r="B54" i="98"/>
  <c r="B52" i="98"/>
  <c r="D51" i="98"/>
  <c r="B51" i="98"/>
  <c r="F50" i="98"/>
  <c r="H58" i="98" s="1"/>
  <c r="G58" i="98" s="1"/>
  <c r="D50" i="98"/>
  <c r="B50" i="98"/>
  <c r="H42" i="98"/>
  <c r="H41" i="98"/>
  <c r="H40" i="98"/>
  <c r="H39" i="98"/>
  <c r="H38" i="98"/>
  <c r="H37" i="98"/>
  <c r="O32" i="98"/>
  <c r="J24" i="98"/>
  <c r="I18" i="98" s="1"/>
  <c r="G24" i="98"/>
  <c r="E44" i="98" s="1"/>
  <c r="C44" i="98" s="1"/>
  <c r="E24" i="98"/>
  <c r="Q32" i="98" s="1"/>
  <c r="M23" i="98"/>
  <c r="I23" i="98"/>
  <c r="C22" i="98"/>
  <c r="C20" i="98"/>
  <c r="G17" i="98"/>
  <c r="C17" i="98"/>
  <c r="C13" i="98"/>
  <c r="AJ10" i="98"/>
  <c r="AF10" i="98"/>
  <c r="AB10" i="98"/>
  <c r="Y10" i="98"/>
  <c r="C10" i="98"/>
  <c r="C11" i="98" s="1"/>
  <c r="AJ9" i="98"/>
  <c r="AI9" i="98"/>
  <c r="AI10" i="98" s="1"/>
  <c r="AH9" i="98"/>
  <c r="AH10" i="98" s="1"/>
  <c r="AG9" i="98"/>
  <c r="AG10" i="98" s="1"/>
  <c r="AF9" i="98"/>
  <c r="AE9" i="98"/>
  <c r="AE10" i="98" s="1"/>
  <c r="AD9" i="98"/>
  <c r="AD10" i="98" s="1"/>
  <c r="AC9" i="98"/>
  <c r="AC10" i="98" s="1"/>
  <c r="AB9" i="98"/>
  <c r="AA9" i="98"/>
  <c r="AA10" i="98" s="1"/>
  <c r="Z9" i="98"/>
  <c r="Z10" i="98" s="1"/>
  <c r="C9" i="98"/>
  <c r="C7" i="98"/>
  <c r="U3" i="98"/>
  <c r="U2" i="98"/>
  <c r="I2" i="98"/>
  <c r="M12" i="98" s="1"/>
  <c r="G2" i="98"/>
  <c r="Q72" i="97"/>
  <c r="Q59" i="97"/>
  <c r="K59" i="97"/>
  <c r="P74" i="97" s="1"/>
  <c r="F59" i="97"/>
  <c r="Q58" i="97"/>
  <c r="Q51" i="97"/>
  <c r="J50" i="97"/>
  <c r="M47" i="97"/>
  <c r="D46" i="97"/>
  <c r="F34" i="97"/>
  <c r="F62" i="97" s="1"/>
  <c r="F33" i="97"/>
  <c r="F61" i="97" s="1"/>
  <c r="F32" i="97"/>
  <c r="F60" i="97" s="1"/>
  <c r="F31" i="97"/>
  <c r="F28" i="97"/>
  <c r="F23" i="97"/>
  <c r="D24" i="97" s="1"/>
  <c r="F21" i="97"/>
  <c r="M20" i="97"/>
  <c r="F20" i="97"/>
  <c r="M19" i="97"/>
  <c r="M18" i="97"/>
  <c r="F18" i="97"/>
  <c r="M17" i="97"/>
  <c r="F17" i="97"/>
  <c r="F15" i="97"/>
  <c r="O18" i="96"/>
  <c r="H18" i="96"/>
  <c r="P18" i="96"/>
  <c r="I23" i="86"/>
  <c r="I22" i="86"/>
  <c r="H23" i="86"/>
  <c r="H22" i="86"/>
  <c r="G23" i="86"/>
  <c r="G22" i="86"/>
  <c r="G24" i="86"/>
  <c r="Q72" i="94"/>
  <c r="Q59" i="94"/>
  <c r="K59" i="94"/>
  <c r="P74" i="94" s="1"/>
  <c r="F59" i="94"/>
  <c r="Q58" i="94"/>
  <c r="Q51" i="94"/>
  <c r="J50" i="94"/>
  <c r="M47" i="94"/>
  <c r="D46" i="94"/>
  <c r="F34" i="94"/>
  <c r="F62" i="94" s="1"/>
  <c r="F33" i="94"/>
  <c r="F61" i="94" s="1"/>
  <c r="F32" i="94"/>
  <c r="F60" i="94" s="1"/>
  <c r="F31" i="94"/>
  <c r="F28" i="94"/>
  <c r="F23" i="94"/>
  <c r="D24" i="94" s="1"/>
  <c r="D23" i="94"/>
  <c r="D22" i="94"/>
  <c r="F21" i="94"/>
  <c r="M20" i="94"/>
  <c r="F20" i="94"/>
  <c r="M19" i="94"/>
  <c r="M18" i="94"/>
  <c r="F18" i="94"/>
  <c r="M17" i="94"/>
  <c r="F17" i="94"/>
  <c r="F15" i="94"/>
  <c r="G1" i="94"/>
  <c r="Y7" i="1"/>
  <c r="Y6" i="1"/>
  <c r="G28" i="85"/>
  <c r="J26" i="85"/>
  <c r="I27" i="85"/>
  <c r="J27" i="85" s="1"/>
  <c r="G27" i="85"/>
  <c r="G26" i="85"/>
  <c r="G4" i="91"/>
  <c r="O4" i="91"/>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c r="D101" i="93"/>
  <c r="B101" i="93"/>
  <c r="N100" i="93"/>
  <c r="M100" i="93"/>
  <c r="K100" i="93"/>
  <c r="J100" i="93" s="1"/>
  <c r="D100" i="93"/>
  <c r="B100" i="93"/>
  <c r="M99" i="93"/>
  <c r="N99" i="93" s="1"/>
  <c r="K99" i="93"/>
  <c r="J99" i="93"/>
  <c r="D99" i="93"/>
  <c r="B99" i="93"/>
  <c r="N98" i="93"/>
  <c r="M98" i="93"/>
  <c r="K98" i="93"/>
  <c r="J98" i="93" s="1"/>
  <c r="D98" i="93"/>
  <c r="N97" i="93"/>
  <c r="M97" i="93"/>
  <c r="K97" i="93"/>
  <c r="J97" i="93" s="1"/>
  <c r="D97" i="93"/>
  <c r="B97" i="93"/>
  <c r="M96" i="93"/>
  <c r="N96" i="93" s="1"/>
  <c r="K96" i="93"/>
  <c r="J96" i="93" s="1"/>
  <c r="D96" i="93"/>
  <c r="N95" i="93"/>
  <c r="M95" i="93"/>
  <c r="K95" i="93"/>
  <c r="J95" i="93"/>
  <c r="D95" i="93"/>
  <c r="B95" i="93"/>
  <c r="N94" i="93"/>
  <c r="M94" i="93"/>
  <c r="K94" i="93"/>
  <c r="J94" i="93" s="1"/>
  <c r="D94" i="93"/>
  <c r="B94" i="93"/>
  <c r="M93" i="93"/>
  <c r="N93" i="93" s="1"/>
  <c r="K93" i="93"/>
  <c r="J93" i="93" s="1"/>
  <c r="F93" i="93"/>
  <c r="H101" i="93" s="1"/>
  <c r="D93" i="93"/>
  <c r="E93" i="93" s="1"/>
  <c r="B91" i="93" s="1"/>
  <c r="N90" i="93"/>
  <c r="M90" i="93"/>
  <c r="K90" i="93"/>
  <c r="J90" i="93" s="1"/>
  <c r="D90" i="93"/>
  <c r="B90" i="93"/>
  <c r="M89" i="93"/>
  <c r="N89" i="93" s="1"/>
  <c r="K89" i="93"/>
  <c r="J89" i="93" s="1"/>
  <c r="D89" i="93"/>
  <c r="N88" i="93"/>
  <c r="M88" i="93"/>
  <c r="K88" i="93"/>
  <c r="J88" i="93"/>
  <c r="D88" i="93"/>
  <c r="B88" i="93"/>
  <c r="N87" i="93"/>
  <c r="M87" i="93"/>
  <c r="K87" i="93"/>
  <c r="J87" i="93" s="1"/>
  <c r="D87" i="93"/>
  <c r="B87" i="93"/>
  <c r="M86" i="93"/>
  <c r="N86" i="93" s="1"/>
  <c r="K86" i="93"/>
  <c r="J86" i="93" s="1"/>
  <c r="D86" i="93"/>
  <c r="E83" i="93" s="1"/>
  <c r="B81" i="93" s="1"/>
  <c r="B86" i="93"/>
  <c r="N85" i="93"/>
  <c r="M85" i="93"/>
  <c r="K85" i="93"/>
  <c r="J85" i="93" s="1"/>
  <c r="D85" i="93"/>
  <c r="B85" i="93"/>
  <c r="N84" i="93"/>
  <c r="M84" i="93"/>
  <c r="K84" i="93"/>
  <c r="J84" i="93"/>
  <c r="D84" i="93"/>
  <c r="B84" i="93"/>
  <c r="N83" i="93"/>
  <c r="M83" i="93"/>
  <c r="K83" i="93"/>
  <c r="J83" i="93" s="1"/>
  <c r="F83" i="93"/>
  <c r="H88" i="93" s="1"/>
  <c r="D83" i="93"/>
  <c r="B83" i="93"/>
  <c r="N80" i="93"/>
  <c r="M80" i="93"/>
  <c r="K80" i="93"/>
  <c r="J80" i="93" s="1"/>
  <c r="D80" i="93"/>
  <c r="N79" i="93"/>
  <c r="M79" i="93"/>
  <c r="K79" i="93"/>
  <c r="J79" i="93" s="1"/>
  <c r="D79" i="93"/>
  <c r="B79" i="93"/>
  <c r="M78" i="93"/>
  <c r="N78" i="93" s="1"/>
  <c r="K78" i="93"/>
  <c r="J78" i="93" s="1"/>
  <c r="D78" i="93"/>
  <c r="N77" i="93"/>
  <c r="M77" i="93"/>
  <c r="K77" i="93"/>
  <c r="J77" i="93"/>
  <c r="D77" i="93"/>
  <c r="B77" i="93"/>
  <c r="N76" i="93"/>
  <c r="M76" i="93"/>
  <c r="K76" i="93"/>
  <c r="J76" i="93" s="1"/>
  <c r="D76" i="93"/>
  <c r="B76" i="93"/>
  <c r="M75" i="93"/>
  <c r="N75" i="93" s="1"/>
  <c r="K75" i="93"/>
  <c r="J75" i="93" s="1"/>
  <c r="D75" i="93"/>
  <c r="E72" i="93" s="1"/>
  <c r="B70" i="93" s="1"/>
  <c r="B75" i="93"/>
  <c r="N74" i="93"/>
  <c r="M74" i="93"/>
  <c r="K74" i="93"/>
  <c r="J74" i="93" s="1"/>
  <c r="D74" i="93"/>
  <c r="B74" i="93"/>
  <c r="N73" i="93"/>
  <c r="M73" i="93"/>
  <c r="K73" i="93"/>
  <c r="J73" i="93"/>
  <c r="D73" i="93"/>
  <c r="B73" i="93"/>
  <c r="N72" i="93"/>
  <c r="M72" i="93"/>
  <c r="K72" i="93"/>
  <c r="J72" i="93" s="1"/>
  <c r="F72" i="93"/>
  <c r="H77" i="93" s="1"/>
  <c r="D72" i="93"/>
  <c r="B72" i="93"/>
  <c r="B69" i="93"/>
  <c r="B68" i="93"/>
  <c r="B67" i="93"/>
  <c r="D65" i="93"/>
  <c r="B65" i="93"/>
  <c r="B63" i="93"/>
  <c r="D62" i="93"/>
  <c r="B62" i="93"/>
  <c r="D61" i="93"/>
  <c r="B61" i="93"/>
  <c r="B58" i="93"/>
  <c r="B57" i="93"/>
  <c r="B56" i="93"/>
  <c r="D54" i="93"/>
  <c r="B54" i="93"/>
  <c r="B52" i="93"/>
  <c r="D51" i="93"/>
  <c r="B51" i="93"/>
  <c r="D50" i="93"/>
  <c r="B50" i="93"/>
  <c r="H42" i="93"/>
  <c r="H41" i="93"/>
  <c r="H40" i="93"/>
  <c r="H39" i="93"/>
  <c r="H38" i="93"/>
  <c r="H37" i="93"/>
  <c r="N32" i="93"/>
  <c r="C27" i="93"/>
  <c r="J24" i="93"/>
  <c r="G24" i="93"/>
  <c r="E44" i="93" s="1"/>
  <c r="C44" i="93" s="1"/>
  <c r="E24" i="93"/>
  <c r="Q32" i="93" s="1"/>
  <c r="M23" i="93"/>
  <c r="I23" i="93"/>
  <c r="C22" i="93"/>
  <c r="K21" i="93"/>
  <c r="C20" i="93"/>
  <c r="I18" i="93"/>
  <c r="G18" i="93"/>
  <c r="G17" i="93"/>
  <c r="C17" i="93"/>
  <c r="C13" i="93"/>
  <c r="AI10" i="93"/>
  <c r="AH10" i="93"/>
  <c r="AE10" i="93"/>
  <c r="AD10" i="93"/>
  <c r="AA10" i="93"/>
  <c r="Z10" i="93"/>
  <c r="Y10" i="93"/>
  <c r="C10" i="93"/>
  <c r="C11" i="93" s="1"/>
  <c r="AJ9" i="93"/>
  <c r="AJ10" i="93" s="1"/>
  <c r="AI9" i="93"/>
  <c r="AH9" i="93"/>
  <c r="AG9" i="93"/>
  <c r="AG10" i="93" s="1"/>
  <c r="AF9" i="93"/>
  <c r="AF10" i="93" s="1"/>
  <c r="AE9" i="93"/>
  <c r="AD9" i="93"/>
  <c r="AC9" i="93"/>
  <c r="AC10" i="93" s="1"/>
  <c r="AB9" i="93"/>
  <c r="AB10" i="93" s="1"/>
  <c r="AA9" i="93"/>
  <c r="Z9" i="93"/>
  <c r="C9" i="93"/>
  <c r="X7" i="93"/>
  <c r="C7" i="93"/>
  <c r="S6" i="93"/>
  <c r="S5" i="93"/>
  <c r="U3" i="93"/>
  <c r="U2" i="93"/>
  <c r="I2" i="93"/>
  <c r="N10" i="93" s="1"/>
  <c r="G2" i="93"/>
  <c r="I21" i="93" s="1"/>
  <c r="G51" i="43"/>
  <c r="G52" i="43"/>
  <c r="G53" i="43"/>
  <c r="G54" i="43"/>
  <c r="G55" i="43"/>
  <c r="G56" i="43"/>
  <c r="G57" i="43"/>
  <c r="G58" i="43"/>
  <c r="G50" i="43"/>
  <c r="N7" i="1"/>
  <c r="N6" i="1"/>
  <c r="O74" i="83"/>
  <c r="O77" i="83" s="1"/>
  <c r="O70" i="83"/>
  <c r="O69" i="83"/>
  <c r="O68" i="83"/>
  <c r="O71" i="83"/>
  <c r="B20" i="85"/>
  <c r="B15" i="86"/>
  <c r="B5" i="87"/>
  <c r="H6" i="90"/>
  <c r="B6" i="90"/>
  <c r="B5" i="89"/>
  <c r="I5" i="89"/>
  <c r="H5" i="89"/>
  <c r="I5" i="87"/>
  <c r="H5" i="87"/>
  <c r="L16" i="85"/>
  <c r="K16" i="85"/>
  <c r="H19" i="85"/>
  <c r="H18" i="85"/>
  <c r="H16" i="85"/>
  <c r="H15" i="85"/>
  <c r="L20" i="85"/>
  <c r="K20" i="85"/>
  <c r="L15" i="86"/>
  <c r="K15" i="86"/>
  <c r="I15" i="86"/>
  <c r="H15" i="86"/>
  <c r="H20" i="85"/>
  <c r="M5" i="90"/>
  <c r="N5" i="90" s="1"/>
  <c r="K5" i="90"/>
  <c r="H5" i="90"/>
  <c r="M4" i="90"/>
  <c r="N4" i="90" s="1"/>
  <c r="K4" i="90"/>
  <c r="H4" i="90"/>
  <c r="M3" i="90"/>
  <c r="N3" i="90" s="1"/>
  <c r="K3" i="90"/>
  <c r="H3" i="90"/>
  <c r="M2" i="90"/>
  <c r="N2" i="90" s="1"/>
  <c r="K2" i="90"/>
  <c r="H2" i="90"/>
  <c r="M4" i="89"/>
  <c r="N4" i="89" s="1"/>
  <c r="K4" i="89"/>
  <c r="H4" i="89"/>
  <c r="M3" i="89"/>
  <c r="N3" i="89" s="1"/>
  <c r="K3" i="89"/>
  <c r="H3" i="89"/>
  <c r="M2" i="89"/>
  <c r="N2" i="89" s="1"/>
  <c r="K2" i="89"/>
  <c r="H2" i="89"/>
  <c r="M2" i="88"/>
  <c r="N2" i="88" s="1"/>
  <c r="K2" i="88"/>
  <c r="H2" i="88"/>
  <c r="M4" i="87"/>
  <c r="N4" i="87" s="1"/>
  <c r="K4" i="87"/>
  <c r="I4" i="87"/>
  <c r="H4" i="87"/>
  <c r="N3" i="87"/>
  <c r="M3" i="87"/>
  <c r="K3" i="87"/>
  <c r="H3" i="87"/>
  <c r="N2" i="87"/>
  <c r="M2" i="87"/>
  <c r="K2" i="87"/>
  <c r="H2" i="87"/>
  <c r="L13" i="86"/>
  <c r="K12" i="86"/>
  <c r="K13" i="86"/>
  <c r="I13" i="86"/>
  <c r="H13" i="86"/>
  <c r="I12" i="86"/>
  <c r="H12" i="86"/>
  <c r="I11" i="86"/>
  <c r="H11" i="86"/>
  <c r="K11" i="86" s="1"/>
  <c r="I10" i="86"/>
  <c r="H10" i="86"/>
  <c r="K10" i="86" s="1"/>
  <c r="M6" i="86"/>
  <c r="N6" i="86" s="1"/>
  <c r="K6" i="86"/>
  <c r="H6" i="86"/>
  <c r="M5" i="86"/>
  <c r="N5" i="86" s="1"/>
  <c r="K5" i="86"/>
  <c r="H5" i="86"/>
  <c r="M4" i="86"/>
  <c r="N4" i="86" s="1"/>
  <c r="K4" i="86"/>
  <c r="H4" i="86"/>
  <c r="M3" i="86"/>
  <c r="N3" i="86" s="1"/>
  <c r="K3" i="86"/>
  <c r="H3" i="86"/>
  <c r="M2" i="86"/>
  <c r="N2" i="86" s="1"/>
  <c r="K2" i="86"/>
  <c r="H2" i="86"/>
  <c r="L19" i="85"/>
  <c r="L18" i="85"/>
  <c r="L15" i="85"/>
  <c r="K19" i="85"/>
  <c r="K18" i="85"/>
  <c r="K15" i="85"/>
  <c r="K14" i="85"/>
  <c r="I17" i="85"/>
  <c r="H17" i="85"/>
  <c r="K17" i="85" s="1"/>
  <c r="I14" i="85"/>
  <c r="H14" i="85"/>
  <c r="I13" i="85"/>
  <c r="I20" i="85" s="1"/>
  <c r="H13" i="85"/>
  <c r="K13" i="85" s="1"/>
  <c r="M8" i="85"/>
  <c r="K8" i="85"/>
  <c r="H8" i="85"/>
  <c r="M7" i="85"/>
  <c r="K7" i="85"/>
  <c r="H7" i="85"/>
  <c r="M6" i="85"/>
  <c r="K6" i="85"/>
  <c r="H6" i="85"/>
  <c r="M5" i="85"/>
  <c r="K5" i="85"/>
  <c r="H5" i="85"/>
  <c r="M4" i="85"/>
  <c r="K4" i="85"/>
  <c r="H4" i="85"/>
  <c r="M3" i="85"/>
  <c r="K3" i="85"/>
  <c r="H3" i="85"/>
  <c r="M2" i="85"/>
  <c r="K2" i="85"/>
  <c r="H2" i="85"/>
  <c r="P69" i="84"/>
  <c r="P67" i="84"/>
  <c r="H66" i="84"/>
  <c r="H68" i="84" s="1"/>
  <c r="O65" i="84"/>
  <c r="O64" i="84"/>
  <c r="O63" i="84"/>
  <c r="O62" i="84"/>
  <c r="O61" i="84"/>
  <c r="O60" i="84"/>
  <c r="O59" i="84"/>
  <c r="O58" i="84"/>
  <c r="O57" i="84"/>
  <c r="O56" i="84"/>
  <c r="O55" i="84"/>
  <c r="O54" i="84"/>
  <c r="I54" i="84"/>
  <c r="O53" i="84"/>
  <c r="O52" i="84"/>
  <c r="O51" i="84"/>
  <c r="O50" i="84"/>
  <c r="O49" i="84"/>
  <c r="O48" i="84"/>
  <c r="O47" i="84"/>
  <c r="O46" i="84"/>
  <c r="O44" i="84"/>
  <c r="U43" i="84"/>
  <c r="O42" i="84"/>
  <c r="O41" i="84"/>
  <c r="O40" i="84"/>
  <c r="O39" i="84"/>
  <c r="O38" i="84"/>
  <c r="O37" i="84"/>
  <c r="O36" i="84"/>
  <c r="O35" i="84"/>
  <c r="O34" i="84"/>
  <c r="O32" i="84"/>
  <c r="O31" i="84"/>
  <c r="O30" i="84"/>
  <c r="O29" i="84"/>
  <c r="O28" i="84"/>
  <c r="O27" i="84"/>
  <c r="O26" i="84"/>
  <c r="O25" i="84"/>
  <c r="O24" i="84"/>
  <c r="O23" i="84"/>
  <c r="O22" i="84"/>
  <c r="O21" i="84"/>
  <c r="O20" i="84"/>
  <c r="O19" i="84"/>
  <c r="O18" i="84"/>
  <c r="O17" i="84"/>
  <c r="O16" i="84"/>
  <c r="O15" i="84"/>
  <c r="O14" i="84"/>
  <c r="O12" i="84"/>
  <c r="H12" i="84"/>
  <c r="O11" i="84"/>
  <c r="N10" i="84"/>
  <c r="O9" i="84"/>
  <c r="O8" i="84"/>
  <c r="P7" i="84"/>
  <c r="P66" i="84" s="1"/>
  <c r="O7" i="84"/>
  <c r="O6" i="84"/>
  <c r="P5" i="84"/>
  <c r="O5" i="84"/>
  <c r="O4" i="84"/>
  <c r="O3" i="84"/>
  <c r="O2" i="84"/>
  <c r="O76" i="83"/>
  <c r="N76" i="83"/>
  <c r="O75" i="83"/>
  <c r="N75" i="83"/>
  <c r="N74" i="83"/>
  <c r="G72" i="83"/>
  <c r="O78" i="83"/>
  <c r="G68" i="83"/>
  <c r="G73" i="83" s="1"/>
  <c r="G74" i="83" s="1"/>
  <c r="N67" i="83"/>
  <c r="N66" i="83"/>
  <c r="N65" i="83"/>
  <c r="N64" i="83"/>
  <c r="P63" i="83"/>
  <c r="N63" i="83"/>
  <c r="P62" i="83"/>
  <c r="M62" i="83"/>
  <c r="N62" i="83" s="1"/>
  <c r="P61" i="83"/>
  <c r="N61" i="83"/>
  <c r="P60" i="83"/>
  <c r="N60" i="83"/>
  <c r="P59" i="83"/>
  <c r="N59" i="83"/>
  <c r="P58" i="83"/>
  <c r="N58" i="83"/>
  <c r="P57" i="83"/>
  <c r="N57" i="83"/>
  <c r="P56" i="83"/>
  <c r="N56" i="83"/>
  <c r="P55" i="83"/>
  <c r="N55" i="83"/>
  <c r="P54" i="83"/>
  <c r="N54" i="83"/>
  <c r="P53" i="83"/>
  <c r="N53" i="83"/>
  <c r="P52" i="83"/>
  <c r="N52" i="83"/>
  <c r="P51" i="83"/>
  <c r="N51" i="83"/>
  <c r="P50" i="83"/>
  <c r="N50" i="83"/>
  <c r="P49" i="83"/>
  <c r="N49" i="83"/>
  <c r="P48" i="83"/>
  <c r="N48" i="83"/>
  <c r="P47" i="83"/>
  <c r="N47" i="83"/>
  <c r="P46" i="83"/>
  <c r="N46" i="83"/>
  <c r="P45" i="83"/>
  <c r="N45" i="83"/>
  <c r="P44" i="83"/>
  <c r="N44" i="83"/>
  <c r="P43" i="83"/>
  <c r="N43" i="83"/>
  <c r="P42" i="83"/>
  <c r="N42" i="83"/>
  <c r="P41" i="83"/>
  <c r="N41" i="83"/>
  <c r="P40" i="83"/>
  <c r="N40" i="83"/>
  <c r="P39" i="83"/>
  <c r="N39" i="83"/>
  <c r="P38" i="83"/>
  <c r="N38" i="83"/>
  <c r="P37" i="83"/>
  <c r="N37" i="83"/>
  <c r="P36" i="83"/>
  <c r="N36" i="83"/>
  <c r="P35" i="83"/>
  <c r="N35" i="83"/>
  <c r="P34" i="83"/>
  <c r="N34" i="83"/>
  <c r="P33" i="83"/>
  <c r="N33" i="83"/>
  <c r="P32" i="83"/>
  <c r="N32" i="83"/>
  <c r="P31" i="83"/>
  <c r="N31" i="83"/>
  <c r="P30" i="83"/>
  <c r="N30" i="83"/>
  <c r="P29" i="83"/>
  <c r="N29" i="83"/>
  <c r="P28" i="83"/>
  <c r="N28" i="83"/>
  <c r="P27" i="83"/>
  <c r="N27" i="83"/>
  <c r="P26" i="83"/>
  <c r="N26" i="83"/>
  <c r="P25" i="83"/>
  <c r="N25" i="83"/>
  <c r="P24" i="83"/>
  <c r="N24" i="83"/>
  <c r="P23" i="83"/>
  <c r="N23" i="83"/>
  <c r="P22" i="83"/>
  <c r="N22" i="83"/>
  <c r="P21" i="83"/>
  <c r="N21" i="83"/>
  <c r="P20" i="83"/>
  <c r="N20" i="83"/>
  <c r="P19" i="83"/>
  <c r="N19" i="83"/>
  <c r="P18" i="83"/>
  <c r="N18" i="83"/>
  <c r="P17" i="83"/>
  <c r="N17" i="83"/>
  <c r="P16" i="83"/>
  <c r="N16" i="83"/>
  <c r="P15" i="83"/>
  <c r="N15" i="83"/>
  <c r="P14" i="83"/>
  <c r="N14" i="83"/>
  <c r="P13" i="83"/>
  <c r="N13" i="83"/>
  <c r="P12" i="83"/>
  <c r="N12" i="83"/>
  <c r="P11" i="83"/>
  <c r="N11" i="83"/>
  <c r="P10" i="83"/>
  <c r="N10" i="83"/>
  <c r="P9" i="83"/>
  <c r="N9" i="83"/>
  <c r="P8" i="83"/>
  <c r="N8" i="83"/>
  <c r="P7" i="83"/>
  <c r="N7" i="83"/>
  <c r="P6" i="83"/>
  <c r="N6" i="83"/>
  <c r="P5" i="83"/>
  <c r="N5" i="83"/>
  <c r="P4" i="83"/>
  <c r="N4" i="83"/>
  <c r="P3" i="83"/>
  <c r="N3" i="83"/>
  <c r="P2" i="83"/>
  <c r="N2" i="83"/>
  <c r="N24" i="81"/>
  <c r="O24" i="81" s="1"/>
  <c r="N23" i="81"/>
  <c r="O23" i="81" s="1"/>
  <c r="N22" i="81"/>
  <c r="O22" i="81" s="1"/>
  <c r="N21" i="81"/>
  <c r="O21" i="81" s="1"/>
  <c r="N20" i="81"/>
  <c r="O20" i="81" s="1"/>
  <c r="N19" i="81"/>
  <c r="O19" i="81" s="1"/>
  <c r="N18" i="81"/>
  <c r="O18" i="81" s="1"/>
  <c r="N17" i="81"/>
  <c r="O17" i="81" s="1"/>
  <c r="N16" i="81"/>
  <c r="O16" i="81" s="1"/>
  <c r="N15" i="81"/>
  <c r="O15" i="81" s="1"/>
  <c r="N14" i="81"/>
  <c r="O14" i="81" s="1"/>
  <c r="N13" i="81"/>
  <c r="O13" i="81" s="1"/>
  <c r="N12" i="81"/>
  <c r="O12" i="81" s="1"/>
  <c r="N11" i="81"/>
  <c r="O11" i="81" s="1"/>
  <c r="N10" i="81"/>
  <c r="O10" i="81" s="1"/>
  <c r="N9" i="81"/>
  <c r="O9" i="81" s="1"/>
  <c r="N8" i="81"/>
  <c r="O8" i="81" s="1"/>
  <c r="N7" i="81"/>
  <c r="O7" i="81" s="1"/>
  <c r="N6" i="81"/>
  <c r="O6" i="81" s="1"/>
  <c r="N5" i="81"/>
  <c r="O5" i="81" s="1"/>
  <c r="N4" i="81"/>
  <c r="O4" i="81" s="1"/>
  <c r="N3" i="81"/>
  <c r="O3" i="81" s="1"/>
  <c r="N2" i="81"/>
  <c r="O2" i="81" s="1"/>
  <c r="L3" i="81"/>
  <c r="L4" i="81"/>
  <c r="L5" i="81"/>
  <c r="L6" i="81"/>
  <c r="L7" i="81"/>
  <c r="L8" i="81"/>
  <c r="L9" i="81"/>
  <c r="L10" i="81"/>
  <c r="L11" i="81"/>
  <c r="L12" i="81"/>
  <c r="L13" i="81"/>
  <c r="L14" i="81"/>
  <c r="L15" i="81"/>
  <c r="L16" i="81"/>
  <c r="L17" i="81"/>
  <c r="L18" i="81"/>
  <c r="L19" i="81"/>
  <c r="L20" i="81"/>
  <c r="L21" i="81"/>
  <c r="L22" i="81"/>
  <c r="L23" i="81"/>
  <c r="L24" i="81"/>
  <c r="L2" i="81"/>
  <c r="F40" i="94"/>
  <c r="M24" i="94"/>
  <c r="F6" i="94"/>
  <c r="F8" i="94"/>
  <c r="F37" i="94"/>
  <c r="J15" i="94"/>
  <c r="M9" i="94"/>
  <c r="C76" i="94"/>
  <c r="M23" i="94"/>
  <c r="F26" i="94"/>
  <c r="P68" i="84" l="1"/>
  <c r="P70" i="84"/>
  <c r="Q66" i="84"/>
  <c r="F19" i="6"/>
  <c r="C88" i="9" s="1"/>
  <c r="F20" i="6"/>
  <c r="D33" i="93" s="1"/>
  <c r="D1" i="93" s="1"/>
  <c r="O25" i="81"/>
  <c r="L25" i="81"/>
  <c r="J101" i="98"/>
  <c r="D101" i="98"/>
  <c r="J96" i="98"/>
  <c r="D96" i="98"/>
  <c r="J95" i="98"/>
  <c r="D95" i="98"/>
  <c r="E93" i="98" s="1"/>
  <c r="B91" i="98" s="1"/>
  <c r="N7" i="98"/>
  <c r="N11" i="98"/>
  <c r="H52" i="98"/>
  <c r="G52" i="98" s="1"/>
  <c r="K52" i="98" s="1"/>
  <c r="D52" i="98" s="1"/>
  <c r="E50" i="98" s="1"/>
  <c r="B48" i="98" s="1"/>
  <c r="N3" i="98"/>
  <c r="M9" i="98"/>
  <c r="N2" i="98"/>
  <c r="M1" i="98"/>
  <c r="M4" i="98"/>
  <c r="N12" i="98"/>
  <c r="G18" i="98"/>
  <c r="E17" i="98" s="1"/>
  <c r="H51" i="98"/>
  <c r="G51" i="98" s="1"/>
  <c r="H53" i="98"/>
  <c r="G53" i="98" s="1"/>
  <c r="H54" i="98"/>
  <c r="G54" i="98" s="1"/>
  <c r="M54" i="98" s="1"/>
  <c r="N54" i="98" s="1"/>
  <c r="H74" i="98"/>
  <c r="N5" i="98"/>
  <c r="H50" i="98"/>
  <c r="G50" i="98" s="1"/>
  <c r="K50" i="98" s="1"/>
  <c r="J50" i="98" s="1"/>
  <c r="E9" i="98"/>
  <c r="E11" i="98"/>
  <c r="E8" i="98"/>
  <c r="E10" i="98"/>
  <c r="K58" i="98"/>
  <c r="M58" i="98"/>
  <c r="N58" i="98" s="1"/>
  <c r="K51" i="98"/>
  <c r="J51" i="98" s="1"/>
  <c r="M51" i="98"/>
  <c r="N51" i="98" s="1"/>
  <c r="H116" i="98"/>
  <c r="F41" i="98"/>
  <c r="F39" i="98"/>
  <c r="J21" i="98"/>
  <c r="M52" i="98"/>
  <c r="N52" i="98" s="1"/>
  <c r="S2" i="98"/>
  <c r="S3" i="98"/>
  <c r="F37" i="98"/>
  <c r="F40" i="98"/>
  <c r="N4" i="98"/>
  <c r="S5" i="98"/>
  <c r="M6" i="98"/>
  <c r="C6" i="98" s="1"/>
  <c r="N9" i="98"/>
  <c r="M10" i="98"/>
  <c r="K21" i="98"/>
  <c r="O21" i="98"/>
  <c r="P32" i="98"/>
  <c r="E21" i="98"/>
  <c r="N21" i="98"/>
  <c r="N1" i="98"/>
  <c r="M2" i="98"/>
  <c r="M3" i="98"/>
  <c r="S4" i="98"/>
  <c r="N6" i="98"/>
  <c r="F61" i="98" s="1"/>
  <c r="M8" i="98"/>
  <c r="N10" i="98"/>
  <c r="C21" i="98"/>
  <c r="H21" i="98"/>
  <c r="L21" i="98"/>
  <c r="M32" i="98"/>
  <c r="F38" i="98"/>
  <c r="F42" i="98"/>
  <c r="M5" i="98"/>
  <c r="S6" i="98"/>
  <c r="M7" i="98"/>
  <c r="X7" i="98"/>
  <c r="N8" i="98"/>
  <c r="M11" i="98"/>
  <c r="D21" i="98"/>
  <c r="I21" i="98"/>
  <c r="M21" i="98"/>
  <c r="C27" i="98"/>
  <c r="N32" i="98"/>
  <c r="M50" i="98"/>
  <c r="N50" i="98" s="1"/>
  <c r="J52" i="98"/>
  <c r="H55" i="98"/>
  <c r="G55" i="98" s="1"/>
  <c r="H56" i="98"/>
  <c r="G56" i="98" s="1"/>
  <c r="H57" i="98"/>
  <c r="G57" i="98" s="1"/>
  <c r="H75" i="98"/>
  <c r="H78" i="98"/>
  <c r="H86" i="98"/>
  <c r="H89" i="98"/>
  <c r="H85" i="98"/>
  <c r="H73" i="98"/>
  <c r="H84" i="98"/>
  <c r="P61" i="97"/>
  <c r="D22" i="97"/>
  <c r="D23" i="97"/>
  <c r="J23" i="86"/>
  <c r="J22" i="86"/>
  <c r="J24" i="86" s="1"/>
  <c r="I24" i="86" s="1"/>
  <c r="Q71" i="94"/>
  <c r="F51" i="94"/>
  <c r="F68" i="94"/>
  <c r="F65" i="94"/>
  <c r="C27" i="94"/>
  <c r="P61" i="94"/>
  <c r="J28" i="85"/>
  <c r="I28" i="85" s="1"/>
  <c r="N4" i="91"/>
  <c r="N8" i="93"/>
  <c r="M21" i="93"/>
  <c r="H72" i="93"/>
  <c r="M1" i="93"/>
  <c r="S4" i="93"/>
  <c r="M11" i="93"/>
  <c r="D21" i="93"/>
  <c r="O21" i="93"/>
  <c r="H76" i="93"/>
  <c r="N3" i="93"/>
  <c r="N2" i="93"/>
  <c r="M5" i="93"/>
  <c r="M7" i="93"/>
  <c r="M12" i="93"/>
  <c r="E17" i="93"/>
  <c r="H83" i="93"/>
  <c r="E11" i="93"/>
  <c r="E8" i="93"/>
  <c r="E9" i="93"/>
  <c r="E10" i="93"/>
  <c r="H116" i="93"/>
  <c r="F50" i="93"/>
  <c r="F41" i="93"/>
  <c r="F39" i="93"/>
  <c r="S2" i="93"/>
  <c r="S3" i="93"/>
  <c r="M4" i="93"/>
  <c r="N5" i="93"/>
  <c r="N7" i="93"/>
  <c r="M9" i="93"/>
  <c r="N11" i="93"/>
  <c r="N12" i="93"/>
  <c r="E21" i="93"/>
  <c r="J21" i="93"/>
  <c r="N21" i="93"/>
  <c r="O32" i="93"/>
  <c r="F37" i="93"/>
  <c r="F40" i="93"/>
  <c r="N4" i="93"/>
  <c r="M6" i="93"/>
  <c r="C6" i="93" s="1"/>
  <c r="P32" i="93"/>
  <c r="N9" i="93"/>
  <c r="M10" i="93"/>
  <c r="N1" i="93"/>
  <c r="M2" i="93"/>
  <c r="M3" i="93"/>
  <c r="N6" i="93"/>
  <c r="F61" i="93" s="1"/>
  <c r="M8" i="93"/>
  <c r="C21" i="93"/>
  <c r="H21" i="93"/>
  <c r="L21" i="93"/>
  <c r="M32" i="93"/>
  <c r="F38" i="93"/>
  <c r="F42" i="93"/>
  <c r="H79" i="93"/>
  <c r="H87" i="93"/>
  <c r="H90" i="93"/>
  <c r="H94" i="93"/>
  <c r="H97" i="93"/>
  <c r="H100" i="93"/>
  <c r="H75" i="93"/>
  <c r="H78" i="93"/>
  <c r="H86" i="93"/>
  <c r="H89" i="93"/>
  <c r="H93" i="93"/>
  <c r="H96" i="93"/>
  <c r="H99" i="93"/>
  <c r="H74" i="93"/>
  <c r="H80" i="93"/>
  <c r="H85" i="93"/>
  <c r="H98" i="93"/>
  <c r="H73" i="93"/>
  <c r="H84" i="93"/>
  <c r="H95" i="93"/>
  <c r="O79" i="83"/>
  <c r="G70" i="83"/>
  <c r="O72" i="83"/>
  <c r="F13" i="94"/>
  <c r="F16" i="94"/>
  <c r="M8" i="94"/>
  <c r="F42" i="94"/>
  <c r="F36" i="94"/>
  <c r="M26" i="94"/>
  <c r="M28" i="94"/>
  <c r="M6" i="94"/>
  <c r="F9" i="94"/>
  <c r="M22" i="94"/>
  <c r="F38" i="94"/>
  <c r="D33" i="43" l="1"/>
  <c r="M53" i="98"/>
  <c r="N53" i="98" s="1"/>
  <c r="K53" i="98"/>
  <c r="F93" i="98"/>
  <c r="K54" i="98"/>
  <c r="J54" i="98" s="1"/>
  <c r="D5" i="98"/>
  <c r="C5" i="98"/>
  <c r="H65" i="98"/>
  <c r="G65" i="98" s="1"/>
  <c r="H64" i="98"/>
  <c r="G64" i="98" s="1"/>
  <c r="H69" i="98"/>
  <c r="G69" i="98" s="1"/>
  <c r="H62" i="98"/>
  <c r="G62" i="98" s="1"/>
  <c r="H68" i="98"/>
  <c r="G68" i="98" s="1"/>
  <c r="H61" i="98"/>
  <c r="G61" i="98" s="1"/>
  <c r="H67" i="98"/>
  <c r="G67" i="98" s="1"/>
  <c r="H66" i="98"/>
  <c r="G66" i="98" s="1"/>
  <c r="H63" i="98"/>
  <c r="G63" i="98" s="1"/>
  <c r="K57" i="98"/>
  <c r="J57" i="98" s="1"/>
  <c r="D57" i="98" s="1"/>
  <c r="M57" i="98"/>
  <c r="N57" i="98" s="1"/>
  <c r="K56" i="98"/>
  <c r="M56" i="98"/>
  <c r="N56" i="98" s="1"/>
  <c r="M55" i="98"/>
  <c r="N55" i="98" s="1"/>
  <c r="K55" i="98"/>
  <c r="G21" i="98"/>
  <c r="D58" i="98"/>
  <c r="J58" i="98"/>
  <c r="F66" i="94"/>
  <c r="F64" i="94"/>
  <c r="H65" i="93"/>
  <c r="G65" i="93" s="1"/>
  <c r="H61" i="93"/>
  <c r="G61" i="93" s="1"/>
  <c r="H62" i="93"/>
  <c r="G62" i="93" s="1"/>
  <c r="H63" i="93"/>
  <c r="G63" i="93" s="1"/>
  <c r="H66" i="93"/>
  <c r="G66" i="93" s="1"/>
  <c r="H64" i="93"/>
  <c r="G64" i="93" s="1"/>
  <c r="H68" i="93"/>
  <c r="G68" i="93" s="1"/>
  <c r="H69" i="93"/>
  <c r="G69" i="93" s="1"/>
  <c r="K69" i="93" s="1"/>
  <c r="H67" i="93"/>
  <c r="G67" i="93" s="1"/>
  <c r="G21" i="93"/>
  <c r="D5" i="93"/>
  <c r="C5" i="93"/>
  <c r="H58" i="93"/>
  <c r="G58" i="93" s="1"/>
  <c r="H57" i="93"/>
  <c r="G57" i="93" s="1"/>
  <c r="H56" i="93"/>
  <c r="G56" i="93" s="1"/>
  <c r="H55" i="93"/>
  <c r="G55" i="93" s="1"/>
  <c r="H53" i="93"/>
  <c r="G53" i="93" s="1"/>
  <c r="H52" i="93"/>
  <c r="G52" i="93" s="1"/>
  <c r="H54" i="93"/>
  <c r="G54" i="93" s="1"/>
  <c r="H50" i="93"/>
  <c r="G50" i="93" s="1"/>
  <c r="H51" i="93"/>
  <c r="G51" i="93" s="1"/>
  <c r="M67" i="93"/>
  <c r="N67" i="93" s="1"/>
  <c r="K67" i="93"/>
  <c r="M64" i="93"/>
  <c r="N64" i="93" s="1"/>
  <c r="K64" i="93"/>
  <c r="M66" i="93"/>
  <c r="N66" i="93" s="1"/>
  <c r="K66" i="93"/>
  <c r="M68" i="93"/>
  <c r="N68" i="93" s="1"/>
  <c r="K68" i="93"/>
  <c r="J68" i="93" s="1"/>
  <c r="D68" i="93" s="1"/>
  <c r="M69" i="93"/>
  <c r="N69" i="93" s="1"/>
  <c r="I24" i="81"/>
  <c r="I23" i="81"/>
  <c r="I22" i="81"/>
  <c r="I21" i="81"/>
  <c r="I20" i="81"/>
  <c r="I19" i="81"/>
  <c r="I18" i="81"/>
  <c r="I17" i="81"/>
  <c r="I3" i="81"/>
  <c r="I4" i="81"/>
  <c r="I5" i="81"/>
  <c r="I6" i="81"/>
  <c r="I7" i="81"/>
  <c r="I8" i="81"/>
  <c r="I9" i="81"/>
  <c r="I10" i="81"/>
  <c r="I11" i="81"/>
  <c r="I12" i="81"/>
  <c r="I13" i="81"/>
  <c r="I14" i="81"/>
  <c r="I15" i="81"/>
  <c r="I2" i="81"/>
  <c r="J16" i="81"/>
  <c r="J25" i="81" s="1"/>
  <c r="I16" i="81"/>
  <c r="C25" i="81"/>
  <c r="E27" i="45"/>
  <c r="I25" i="81" l="1"/>
  <c r="H94" i="98"/>
  <c r="H99" i="98"/>
  <c r="H98" i="98"/>
  <c r="H97" i="98"/>
  <c r="H101" i="98"/>
  <c r="H96" i="98"/>
  <c r="H100" i="98"/>
  <c r="H95" i="98"/>
  <c r="H93" i="98"/>
  <c r="D53" i="98"/>
  <c r="J53" i="98"/>
  <c r="M61" i="98"/>
  <c r="N61" i="98" s="1"/>
  <c r="K61" i="98"/>
  <c r="J61" i="98" s="1"/>
  <c r="K64" i="98"/>
  <c r="M64" i="98"/>
  <c r="N64" i="98" s="1"/>
  <c r="J55" i="98"/>
  <c r="D55" i="98"/>
  <c r="M63" i="98"/>
  <c r="N63" i="98" s="1"/>
  <c r="K63" i="98"/>
  <c r="M68" i="98"/>
  <c r="N68" i="98" s="1"/>
  <c r="K68" i="98"/>
  <c r="J68" i="98" s="1"/>
  <c r="D68" i="98" s="1"/>
  <c r="K65" i="98"/>
  <c r="J65" i="98" s="1"/>
  <c r="M65" i="98"/>
  <c r="N65" i="98" s="1"/>
  <c r="D56" i="98"/>
  <c r="J56" i="98"/>
  <c r="M66" i="98"/>
  <c r="N66" i="98" s="1"/>
  <c r="K66" i="98"/>
  <c r="M62" i="98"/>
  <c r="N62" i="98" s="1"/>
  <c r="K62" i="98"/>
  <c r="J62" i="98" s="1"/>
  <c r="M67" i="98"/>
  <c r="N67" i="98" s="1"/>
  <c r="K67" i="98"/>
  <c r="M69" i="98"/>
  <c r="N69" i="98" s="1"/>
  <c r="K69" i="98"/>
  <c r="M63" i="93"/>
  <c r="N63" i="93" s="1"/>
  <c r="K63" i="93"/>
  <c r="K62" i="93"/>
  <c r="J62" i="93" s="1"/>
  <c r="M62" i="93"/>
  <c r="N62" i="93" s="1"/>
  <c r="M61" i="93"/>
  <c r="N61" i="93" s="1"/>
  <c r="K61" i="93"/>
  <c r="J61" i="93" s="1"/>
  <c r="K65" i="93"/>
  <c r="J65" i="93" s="1"/>
  <c r="M65" i="93"/>
  <c r="N65" i="93" s="1"/>
  <c r="D64" i="93"/>
  <c r="J64" i="93"/>
  <c r="K51" i="93"/>
  <c r="J51" i="93" s="1"/>
  <c r="M51" i="93"/>
  <c r="N51" i="93" s="1"/>
  <c r="M53" i="93"/>
  <c r="N53" i="93" s="1"/>
  <c r="K53" i="93"/>
  <c r="K58" i="93"/>
  <c r="M58" i="93"/>
  <c r="N58" i="93" s="1"/>
  <c r="K50" i="93"/>
  <c r="J50" i="93" s="1"/>
  <c r="M50" i="93"/>
  <c r="N50" i="93" s="1"/>
  <c r="M55" i="93"/>
  <c r="N55" i="93" s="1"/>
  <c r="K55" i="93"/>
  <c r="K52" i="93"/>
  <c r="M52" i="93"/>
  <c r="N52" i="93" s="1"/>
  <c r="K57" i="93"/>
  <c r="J57" i="93" s="1"/>
  <c r="D57" i="93" s="1"/>
  <c r="M57" i="93"/>
  <c r="N57" i="93" s="1"/>
  <c r="J69" i="93"/>
  <c r="D69" i="93"/>
  <c r="J66" i="93"/>
  <c r="D66" i="93"/>
  <c r="J67" i="93"/>
  <c r="D67" i="93"/>
  <c r="M54" i="93"/>
  <c r="N54" i="93" s="1"/>
  <c r="K54" i="93"/>
  <c r="J54" i="93" s="1"/>
  <c r="K56" i="93"/>
  <c r="M56" i="93"/>
  <c r="N56" i="93" s="1"/>
  <c r="N25" i="81"/>
  <c r="K25" i="81"/>
  <c r="G14" i="73"/>
  <c r="F14" i="73"/>
  <c r="E14" i="73"/>
  <c r="J67" i="98" l="1"/>
  <c r="D67" i="98"/>
  <c r="J66" i="98"/>
  <c r="D66" i="98"/>
  <c r="J63" i="98"/>
  <c r="D63" i="98"/>
  <c r="D64" i="98"/>
  <c r="J64" i="98"/>
  <c r="J69" i="98"/>
  <c r="D69" i="98"/>
  <c r="D63" i="93"/>
  <c r="E61" i="93" s="1"/>
  <c r="B59" i="93" s="1"/>
  <c r="J63" i="93"/>
  <c r="J55" i="93"/>
  <c r="D55" i="93"/>
  <c r="D58" i="93"/>
  <c r="J58" i="93"/>
  <c r="D53" i="93"/>
  <c r="J53" i="93"/>
  <c r="J56" i="93"/>
  <c r="D56" i="93"/>
  <c r="D52" i="93"/>
  <c r="E50" i="93" s="1"/>
  <c r="B48" i="93" s="1"/>
  <c r="C28" i="93" s="1"/>
  <c r="J52" i="93"/>
  <c r="I12" i="79"/>
  <c r="E61" i="98" l="1"/>
  <c r="B59" i="98" s="1"/>
  <c r="C28" i="98"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94"/>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AD38" i="79"/>
  <c r="AD34" i="79"/>
  <c r="AD37" i="79"/>
  <c r="AD36" i="79"/>
  <c r="AD35"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T22" i="79"/>
  <c r="AR18" i="79"/>
  <c r="AR19" i="79" s="1"/>
  <c r="AR20" i="79" s="1"/>
  <c r="AR21" i="79" s="1"/>
  <c r="AR22" i="79" s="1"/>
  <c r="AR23" i="79" s="1"/>
  <c r="AR24" i="79" s="1"/>
  <c r="T34" i="79"/>
  <c r="T35"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2" i="79" l="1"/>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AH33" i="79"/>
  <c r="W33" i="79"/>
  <c r="AK33" i="79" s="1"/>
  <c r="W22" i="79"/>
  <c r="AK22" i="79" s="1"/>
  <c r="AH22"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B36" i="71" s="1"/>
  <c r="S36" i="71" s="1"/>
  <c r="Q34" i="71"/>
  <c r="P34" i="71"/>
  <c r="O34" i="71"/>
  <c r="N34" i="71"/>
  <c r="Q33" i="71"/>
  <c r="F34" i="71" s="1"/>
  <c r="F35" i="71" s="1"/>
  <c r="F36" i="71" s="1"/>
  <c r="V36" i="71" s="1"/>
  <c r="P33" i="71"/>
  <c r="E34" i="71" s="1"/>
  <c r="E35" i="71" s="1"/>
  <c r="E36" i="71" s="1"/>
  <c r="U36" i="71" s="1"/>
  <c r="O33" i="71"/>
  <c r="N33" i="7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B34" i="71"/>
  <c r="B35"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C59" i="71"/>
  <c r="D59" i="71" s="1"/>
  <c r="N67" i="71"/>
  <c r="B66" i="71"/>
  <c r="T68" i="71"/>
  <c r="O68" i="71"/>
  <c r="D68" i="71"/>
  <c r="C67" i="71"/>
  <c r="D67" i="71" s="1"/>
  <c r="Q68" i="71"/>
  <c r="C71" i="71"/>
  <c r="C70" i="71" s="1"/>
  <c r="D70"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K1" i="12"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R32" i="31"/>
  <c r="R33" i="31"/>
  <c r="S33" i="31" s="1"/>
  <c r="R34" i="31"/>
  <c r="S34" i="31" s="1"/>
  <c r="R35" i="31"/>
  <c r="R36" i="31"/>
  <c r="R37" i="31"/>
  <c r="S37" i="31" s="1"/>
  <c r="R38" i="31"/>
  <c r="S38" i="31" s="1"/>
  <c r="R39" i="31"/>
  <c r="R40" i="31"/>
  <c r="R41" i="3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S162" i="31" s="1"/>
  <c r="R163" i="31"/>
  <c r="R164" i="31"/>
  <c r="R165" i="31"/>
  <c r="S165" i="31" s="1"/>
  <c r="R166" i="31"/>
  <c r="S166" i="31" s="1"/>
  <c r="R167" i="31"/>
  <c r="R168" i="31"/>
  <c r="R169" i="3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R431" i="31"/>
  <c r="R432" i="31"/>
  <c r="S432" i="31" s="1"/>
  <c r="R433" i="31"/>
  <c r="S433" i="31" s="1"/>
  <c r="R434" i="31"/>
  <c r="S434" i="31" s="1"/>
  <c r="R435" i="31"/>
  <c r="R436" i="31"/>
  <c r="S436" i="31" s="1"/>
  <c r="R437" i="31"/>
  <c r="S437" i="31" s="1"/>
  <c r="R438" i="3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R468" i="31"/>
  <c r="S468" i="31" s="1"/>
  <c r="R469" i="31"/>
  <c r="S469" i="31" s="1"/>
  <c r="R470" i="3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R483" i="31"/>
  <c r="R484" i="31"/>
  <c r="S484" i="31" s="1"/>
  <c r="R485" i="31"/>
  <c r="S485" i="31" s="1"/>
  <c r="R486" i="31"/>
  <c r="S486" i="31" s="1"/>
  <c r="R487" i="31"/>
  <c r="R488" i="31"/>
  <c r="S488" i="31" s="1"/>
  <c r="R489" i="31"/>
  <c r="S489" i="31" s="1"/>
  <c r="R490" i="3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R516" i="31"/>
  <c r="S516" i="31" s="1"/>
  <c r="R517" i="31"/>
  <c r="S517" i="31" s="1"/>
  <c r="R518" i="3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19" i="6"/>
  <c r="K6" i="1" s="1"/>
  <c r="AP6" i="1" s="1"/>
  <c r="E20" i="6"/>
  <c r="K7" i="1" s="1"/>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54" i="31"/>
  <c r="S352" i="31"/>
  <c r="S342" i="31"/>
  <c r="S326" i="31"/>
  <c r="S320" i="31"/>
  <c r="S314" i="31"/>
  <c r="S298" i="31"/>
  <c r="S288" i="31"/>
  <c r="S286" i="31"/>
  <c r="S284" i="31"/>
  <c r="S280" i="31"/>
  <c r="S276" i="31"/>
  <c r="S272" i="31"/>
  <c r="S268" i="31"/>
  <c r="S264" i="31"/>
  <c r="S260" i="31"/>
  <c r="S256" i="31"/>
  <c r="S252" i="31"/>
  <c r="S251" i="31"/>
  <c r="S248" i="31"/>
  <c r="S247" i="31"/>
  <c r="S244" i="31"/>
  <c r="S243" i="31"/>
  <c r="S240" i="31"/>
  <c r="S239" i="31"/>
  <c r="S236" i="31"/>
  <c r="S235" i="31"/>
  <c r="S232" i="31"/>
  <c r="S231" i="31"/>
  <c r="S228" i="31"/>
  <c r="S227" i="31"/>
  <c r="S224" i="31"/>
  <c r="S223" i="31"/>
  <c r="S427"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9" i="31"/>
  <c r="S168" i="31"/>
  <c r="S167" i="31"/>
  <c r="S164" i="31"/>
  <c r="S163" i="31"/>
  <c r="S160" i="31"/>
  <c r="S159" i="31"/>
  <c r="S156" i="31"/>
  <c r="S155" i="31"/>
  <c r="S152" i="31"/>
  <c r="S151" i="31"/>
  <c r="S148" i="31"/>
  <c r="S147" i="31"/>
  <c r="S144" i="31"/>
  <c r="S143" i="31"/>
  <c r="S140" i="31"/>
  <c r="S139" i="31"/>
  <c r="S137" i="31"/>
  <c r="S136" i="31"/>
  <c r="S135" i="31"/>
  <c r="S132" i="31"/>
  <c r="S131" i="31"/>
  <c r="S128" i="31"/>
  <c r="S127" i="31"/>
  <c r="S124" i="31"/>
  <c r="S123" i="31"/>
  <c r="S495" i="31"/>
  <c r="S491" i="31"/>
  <c r="S490" i="31"/>
  <c r="S487" i="31"/>
  <c r="S483" i="31"/>
  <c r="S482" i="31"/>
  <c r="S475" i="31"/>
  <c r="S470" i="31"/>
  <c r="S443" i="31"/>
  <c r="S439" i="31"/>
  <c r="S438" i="31"/>
  <c r="S435" i="31"/>
  <c r="S431" i="31"/>
  <c r="S430" i="31"/>
  <c r="S120" i="31"/>
  <c r="S119" i="31"/>
  <c r="S116" i="31"/>
  <c r="S115" i="31"/>
  <c r="S112" i="31"/>
  <c r="S498" i="31"/>
  <c r="S467" i="31"/>
  <c r="S459" i="31"/>
  <c r="S455" i="31"/>
  <c r="S451" i="31"/>
  <c r="S52" i="31"/>
  <c r="S51" i="31"/>
  <c r="S48" i="31"/>
  <c r="S47" i="31"/>
  <c r="S44" i="31"/>
  <c r="S43" i="31"/>
  <c r="S41" i="31"/>
  <c r="S40" i="31"/>
  <c r="S39" i="31"/>
  <c r="S36" i="31"/>
  <c r="S35" i="31"/>
  <c r="S32" i="31"/>
  <c r="S76" i="31"/>
  <c r="S75" i="31"/>
  <c r="S72" i="31"/>
  <c r="S71" i="31"/>
  <c r="S68" i="31"/>
  <c r="S67" i="31"/>
  <c r="S64" i="31"/>
  <c r="S63" i="31"/>
  <c r="S60" i="31"/>
  <c r="S59" i="31"/>
  <c r="S56" i="31"/>
  <c r="S55" i="31"/>
  <c r="S96" i="31"/>
  <c r="S95" i="31"/>
  <c r="S92" i="31"/>
  <c r="S91" i="31"/>
  <c r="S88" i="31"/>
  <c r="S87" i="31"/>
  <c r="S84" i="31"/>
  <c r="S83" i="31"/>
  <c r="S80" i="31"/>
  <c r="S79" i="31"/>
  <c r="S31" i="31"/>
  <c r="S99" i="31"/>
  <c r="S100" i="31"/>
  <c r="S103" i="31"/>
  <c r="S104" i="31"/>
  <c r="S107" i="31"/>
  <c r="S108" i="31"/>
  <c r="S111" i="31"/>
  <c r="S507"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N516" i="3"/>
  <c r="BO516" i="3"/>
  <c r="BP516" i="3"/>
  <c r="BQ516" i="3"/>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8" i="3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J23" i="35" s="1"/>
  <c r="AC23" i="35" s="1"/>
  <c r="H23" i="35"/>
  <c r="U23" i="35" s="1"/>
  <c r="B57" i="35"/>
  <c r="B61" i="35"/>
  <c r="B59" i="35"/>
  <c r="F12" i="35" s="1"/>
  <c r="B131" i="34"/>
  <c r="B129" i="34"/>
  <c r="B127" i="34"/>
  <c r="B99" i="34"/>
  <c r="H32" i="34" s="1"/>
  <c r="B97" i="34"/>
  <c r="J31" i="34" s="1"/>
  <c r="AC31" i="34" s="1"/>
  <c r="B95" i="34"/>
  <c r="B93" i="34"/>
  <c r="B75" i="34"/>
  <c r="J14" i="34" s="1"/>
  <c r="W14" i="34" s="1"/>
  <c r="B73" i="34"/>
  <c r="B71" i="34"/>
  <c r="J12" i="34" s="1"/>
  <c r="W12" i="34" s="1"/>
  <c r="B130" i="33"/>
  <c r="B128" i="33"/>
  <c r="J45" i="33" s="1"/>
  <c r="B126" i="33"/>
  <c r="J44" i="33" s="1"/>
  <c r="AC44" i="33" s="1"/>
  <c r="B98" i="33"/>
  <c r="B96" i="33"/>
  <c r="B94" i="33"/>
  <c r="H29" i="33" s="1"/>
  <c r="U29" i="33" s="1"/>
  <c r="B74" i="33"/>
  <c r="F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Q38" i="33"/>
  <c r="Z38" i="33" s="1"/>
  <c r="J38" i="33"/>
  <c r="AC38" i="33" s="1"/>
  <c r="H38" i="33"/>
  <c r="AB38" i="33" s="1"/>
  <c r="F38" i="33"/>
  <c r="AA38" i="33" s="1"/>
  <c r="Q37" i="33"/>
  <c r="Z37" i="33"/>
  <c r="Q36" i="33"/>
  <c r="Z36" i="33" s="1"/>
  <c r="Q35" i="33"/>
  <c r="Z35" i="33"/>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H46" i="21" s="1"/>
  <c r="U46" i="21" s="1"/>
  <c r="B128" i="21"/>
  <c r="B126" i="21"/>
  <c r="B98" i="21"/>
  <c r="J31" i="21" s="1"/>
  <c r="AC31" i="21" s="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W9" i="34"/>
  <c r="U34" i="34"/>
  <c r="H39" i="33"/>
  <c r="AB39" i="33" s="1"/>
  <c r="F26" i="33"/>
  <c r="AA26" i="33"/>
  <c r="U33" i="33"/>
  <c r="S40" i="33"/>
  <c r="W33" i="33"/>
  <c r="H39" i="37"/>
  <c r="AB39" i="37"/>
  <c r="S27" i="35"/>
  <c r="F11" i="40"/>
  <c r="AA11" i="40" s="1"/>
  <c r="H11" i="40"/>
  <c r="AB11" i="40" s="1"/>
  <c r="W8" i="40"/>
  <c r="AA9" i="40"/>
  <c r="U9" i="40"/>
  <c r="S34" i="40"/>
  <c r="W31" i="40"/>
  <c r="U34" i="40"/>
  <c r="S38" i="40"/>
  <c r="F42" i="39"/>
  <c r="AA42" i="39" s="1"/>
  <c r="F41" i="39"/>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W15" i="34" s="1"/>
  <c r="H15" i="34"/>
  <c r="AB15" i="34" s="1"/>
  <c r="W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c r="H15" i="33"/>
  <c r="AB15" i="33" s="1"/>
  <c r="H11" i="33"/>
  <c r="AB11" i="33" s="1"/>
  <c r="F28" i="40"/>
  <c r="AA28" i="40"/>
  <c r="S42" i="34"/>
  <c r="AC38" i="34"/>
  <c r="AA38" i="34"/>
  <c r="J37" i="34"/>
  <c r="AC37" i="34" s="1"/>
  <c r="J11" i="33"/>
  <c r="W11" i="33" s="1"/>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AC30" i="21"/>
  <c r="J44" i="21"/>
  <c r="AC44" i="21" s="1"/>
  <c r="H44" i="21"/>
  <c r="U44" i="21"/>
  <c r="F44" i="21"/>
  <c r="AA44" i="21" s="1"/>
  <c r="J46" i="21"/>
  <c r="F46" i="21"/>
  <c r="AA46" i="21" s="1"/>
  <c r="H26" i="33"/>
  <c r="AB26" i="33" s="1"/>
  <c r="U26" i="33"/>
  <c r="F28" i="33"/>
  <c r="AA28" i="33" s="1"/>
  <c r="F33" i="35"/>
  <c r="S33" i="35"/>
  <c r="J33" i="35"/>
  <c r="AC33" i="35" s="1"/>
  <c r="F30" i="35"/>
  <c r="S30" i="35" s="1"/>
  <c r="H10" i="36"/>
  <c r="AB10" i="36" s="1"/>
  <c r="J14" i="36"/>
  <c r="AC14" i="36" s="1"/>
  <c r="H14" i="36"/>
  <c r="U14" i="36" s="1"/>
  <c r="F28" i="36"/>
  <c r="AA28" i="36" s="1"/>
  <c r="J13" i="21"/>
  <c r="AC13" i="21" s="1"/>
  <c r="H27" i="21"/>
  <c r="AB27" i="21" s="1"/>
  <c r="F27" i="21"/>
  <c r="AA27" i="21" s="1"/>
  <c r="H29" i="21"/>
  <c r="U29" i="21" s="1"/>
  <c r="F31" i="21"/>
  <c r="S31" i="21" s="1"/>
  <c r="AA27" i="33"/>
  <c r="J13" i="33"/>
  <c r="H13" i="33"/>
  <c r="U13" i="33" s="1"/>
  <c r="F13" i="33"/>
  <c r="S13" i="33"/>
  <c r="J29" i="33"/>
  <c r="F29" i="33"/>
  <c r="S29" i="33" s="1"/>
  <c r="J31" i="33"/>
  <c r="W31" i="33" s="1"/>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F13" i="36"/>
  <c r="S13" i="36" s="1"/>
  <c r="E89" i="37"/>
  <c r="F89" i="37" s="1"/>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H30" i="33"/>
  <c r="AB30" i="33" s="1"/>
  <c r="F30" i="33"/>
  <c r="J30" i="33"/>
  <c r="H44" i="33"/>
  <c r="F44" i="33"/>
  <c r="S44" i="33" s="1"/>
  <c r="J46" i="33"/>
  <c r="AC46" i="33" s="1"/>
  <c r="F46" i="33"/>
  <c r="AA46" i="33" s="1"/>
  <c r="H46" i="33"/>
  <c r="AB46" i="33"/>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U13" i="40"/>
  <c r="J13" i="40"/>
  <c r="W13" i="40" s="1"/>
  <c r="F14" i="37"/>
  <c r="S14" i="37" s="1"/>
  <c r="F27" i="37"/>
  <c r="AA27" i="37"/>
  <c r="F13" i="39"/>
  <c r="J13" i="39"/>
  <c r="W13" i="39" s="1"/>
  <c r="H14" i="40"/>
  <c r="U14" i="40" s="1"/>
  <c r="AB14" i="40"/>
  <c r="J14" i="40"/>
  <c r="W14" i="40" s="1"/>
  <c r="F14" i="40"/>
  <c r="AA14" i="40"/>
  <c r="J14" i="37"/>
  <c r="J27" i="37"/>
  <c r="AC27" i="37" s="1"/>
  <c r="U46" i="33"/>
  <c r="J36" i="37"/>
  <c r="AC36" i="37"/>
  <c r="J10" i="36"/>
  <c r="AC10" i="36" s="1"/>
  <c r="W31" i="34"/>
  <c r="S45" i="33"/>
  <c r="S44" i="34"/>
  <c r="BA586" i="3"/>
  <c r="F17" i="21"/>
  <c r="AA17" i="21" s="1"/>
  <c r="H17" i="21"/>
  <c r="AB17" i="21" s="1"/>
  <c r="F15" i="21"/>
  <c r="S15" i="21" s="1"/>
  <c r="J41" i="39"/>
  <c r="W41" i="39" s="1"/>
  <c r="U36" i="39"/>
  <c r="S35" i="39"/>
  <c r="G544" i="3"/>
  <c r="G536" i="3"/>
  <c r="G535" i="3"/>
  <c r="G532" i="3"/>
  <c r="G528" i="3"/>
  <c r="G527" i="3"/>
  <c r="G523" i="3"/>
  <c r="G514" i="3"/>
  <c r="G510" i="3"/>
  <c r="G508"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AZ502" i="3" s="1"/>
  <c r="BL498" i="3"/>
  <c r="BL494" i="3"/>
  <c r="BL582" i="3"/>
  <c r="BL578" i="3"/>
  <c r="BL574" i="3"/>
  <c r="BL566" i="3"/>
  <c r="BL562" i="3"/>
  <c r="BL556" i="3"/>
  <c r="BL552" i="3"/>
  <c r="BL544" i="3"/>
  <c r="BL540" i="3"/>
  <c r="AZ540" i="3" s="1"/>
  <c r="BL536" i="3"/>
  <c r="BL532" i="3"/>
  <c r="G529" i="3"/>
  <c r="BL528" i="3"/>
  <c r="BL524" i="3"/>
  <c r="BL518" i="3"/>
  <c r="BL514" i="3"/>
  <c r="BL504" i="3"/>
  <c r="AZ504" i="3" s="1"/>
  <c r="BL500" i="3"/>
  <c r="AZ500" i="3" s="1"/>
  <c r="BL496" i="3"/>
  <c r="G493" i="3"/>
  <c r="BA584" i="3"/>
  <c r="AZ584" i="3" s="1"/>
  <c r="BA582" i="3"/>
  <c r="AZ582" i="3" s="1"/>
  <c r="BA580" i="3"/>
  <c r="BA576" i="3"/>
  <c r="BA574" i="3"/>
  <c r="AZ574" i="3" s="1"/>
  <c r="BA572" i="3"/>
  <c r="AZ572" i="3" s="1"/>
  <c r="BA568" i="3"/>
  <c r="AZ568" i="3" s="1"/>
  <c r="BA566" i="3"/>
  <c r="AZ566" i="3" s="1"/>
  <c r="BA564" i="3"/>
  <c r="BA562" i="3"/>
  <c r="BA560" i="3"/>
  <c r="BA558" i="3"/>
  <c r="BA556" i="3"/>
  <c r="AZ556" i="3"/>
  <c r="BA554" i="3"/>
  <c r="AZ554" i="3" s="1"/>
  <c r="BA552" i="3"/>
  <c r="AZ552" i="3"/>
  <c r="BA548" i="3"/>
  <c r="BA546" i="3"/>
  <c r="AZ544" i="3"/>
  <c r="BA542" i="3"/>
  <c r="AZ542" i="3" s="1"/>
  <c r="BA538" i="3"/>
  <c r="AZ538" i="3" s="1"/>
  <c r="BA536" i="3"/>
  <c r="AZ536" i="3" s="1"/>
  <c r="BA534" i="3"/>
  <c r="AZ534" i="3"/>
  <c r="BA532" i="3"/>
  <c r="AZ532" i="3" s="1"/>
  <c r="BA530" i="3"/>
  <c r="AZ530" i="3" s="1"/>
  <c r="BA528" i="3"/>
  <c r="AZ528" i="3" s="1"/>
  <c r="BA526" i="3"/>
  <c r="BA522" i="3"/>
  <c r="BA520" i="3"/>
  <c r="BA518" i="3"/>
  <c r="BA514" i="3"/>
  <c r="AZ514" i="3" s="1"/>
  <c r="BA512" i="3"/>
  <c r="AZ512" i="3" s="1"/>
  <c r="AZ510" i="3"/>
  <c r="BA508" i="3"/>
  <c r="BA506" i="3"/>
  <c r="BA502" i="3"/>
  <c r="BA500" i="3"/>
  <c r="AZ498" i="3"/>
  <c r="BA496" i="3"/>
  <c r="BA494" i="3"/>
  <c r="BA583" i="3"/>
  <c r="BA581" i="3"/>
  <c r="BA577" i="3"/>
  <c r="BA575" i="3"/>
  <c r="AZ575" i="3" s="1"/>
  <c r="BA573" i="3"/>
  <c r="BA569" i="3"/>
  <c r="BA567" i="3"/>
  <c r="BA565" i="3"/>
  <c r="AZ565" i="3" s="1"/>
  <c r="BA563" i="3"/>
  <c r="BA561" i="3"/>
  <c r="BA559" i="3"/>
  <c r="BA555" i="3"/>
  <c r="BA553"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Q573" i="3"/>
  <c r="BL573" i="3" s="1"/>
  <c r="AZ573" i="3" s="1"/>
  <c r="BQ571" i="3"/>
  <c r="BL571" i="3" s="1"/>
  <c r="BQ569" i="3"/>
  <c r="BQ567" i="3"/>
  <c r="BL567" i="3"/>
  <c r="BQ565" i="3"/>
  <c r="BL565" i="3" s="1"/>
  <c r="BQ563" i="3"/>
  <c r="BL563" i="3"/>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Q545" i="3"/>
  <c r="BL545" i="3" s="1"/>
  <c r="BQ543" i="3"/>
  <c r="BL543" i="3" s="1"/>
  <c r="BQ541" i="3"/>
  <c r="BL541" i="3"/>
  <c r="AZ541" i="3" s="1"/>
  <c r="BQ539" i="3"/>
  <c r="BL539" i="3" s="1"/>
  <c r="BQ537" i="3"/>
  <c r="BL537" i="3"/>
  <c r="BQ535" i="3"/>
  <c r="BL535" i="3" s="1"/>
  <c r="AZ535" i="3" s="1"/>
  <c r="BQ533" i="3"/>
  <c r="BQ531" i="3"/>
  <c r="BL531" i="3" s="1"/>
  <c r="BQ529" i="3"/>
  <c r="BL529" i="3" s="1"/>
  <c r="BQ527" i="3"/>
  <c r="BQ525" i="3"/>
  <c r="BL525" i="3" s="1"/>
  <c r="AZ525" i="3" s="1"/>
  <c r="BQ523" i="3"/>
  <c r="BA521" i="3"/>
  <c r="AC521" i="3"/>
  <c r="G521" i="3" s="1"/>
  <c r="BQ521" i="3"/>
  <c r="BL521" i="3"/>
  <c r="BL520" i="3"/>
  <c r="G517" i="3"/>
  <c r="G515" i="3"/>
  <c r="G513" i="3"/>
  <c r="BQ519" i="3"/>
  <c r="BL519" i="3" s="1"/>
  <c r="AZ519" i="3" s="1"/>
  <c r="BQ517" i="3"/>
  <c r="BL517" i="3" s="1"/>
  <c r="BQ515" i="3"/>
  <c r="BQ513" i="3"/>
  <c r="BL513" i="3"/>
  <c r="BQ511" i="3"/>
  <c r="BL511" i="3" s="1"/>
  <c r="AZ511" i="3" s="1"/>
  <c r="AC509" i="3"/>
  <c r="BQ509" i="3"/>
  <c r="BL509" i="3" s="1"/>
  <c r="AZ508" i="3"/>
  <c r="G507" i="3"/>
  <c r="G505" i="3"/>
  <c r="G501" i="3"/>
  <c r="G499" i="3"/>
  <c r="G497" i="3"/>
  <c r="G495" i="3"/>
  <c r="BQ507" i="3"/>
  <c r="BQ505" i="3"/>
  <c r="BL505" i="3" s="1"/>
  <c r="AZ505" i="3" s="1"/>
  <c r="BQ503" i="3"/>
  <c r="BQ501" i="3"/>
  <c r="BL501" i="3" s="1"/>
  <c r="BQ499" i="3"/>
  <c r="BL499" i="3"/>
  <c r="BQ497" i="3"/>
  <c r="BL497" i="3" s="1"/>
  <c r="BQ495" i="3"/>
  <c r="BL495" i="3"/>
  <c r="BQ493" i="3"/>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F123" i="33"/>
  <c r="G123" i="33" s="1"/>
  <c r="H123" i="33" s="1"/>
  <c r="I123" i="33" s="1"/>
  <c r="J123" i="33" s="1"/>
  <c r="K123" i="33" s="1"/>
  <c r="L123" i="33" s="1"/>
  <c r="M123" i="33" s="1"/>
  <c r="H42" i="33"/>
  <c r="AB42" i="33" s="1"/>
  <c r="J43" i="33"/>
  <c r="AC43" i="33" s="1"/>
  <c r="W23" i="35"/>
  <c r="U39" i="37"/>
  <c r="U26" i="37"/>
  <c r="AC36" i="34"/>
  <c r="AA13" i="33"/>
  <c r="AC31" i="33"/>
  <c r="W44" i="33"/>
  <c r="U11" i="33"/>
  <c r="U19"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97"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BO5" i="3"/>
  <c r="BH5" i="3"/>
  <c r="BF5" i="3"/>
  <c r="AZ341" i="3"/>
  <c r="AC5" i="3"/>
  <c r="AZ506" i="3"/>
  <c r="AZ496" i="3"/>
  <c r="G548" i="3"/>
  <c r="G538" i="3"/>
  <c r="G520" i="3"/>
  <c r="G502" i="3"/>
  <c r="BN5" i="3"/>
  <c r="G17" i="3"/>
  <c r="BA17" i="3"/>
  <c r="BT5" i="3"/>
  <c r="AZ350" i="3"/>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AC26" i="33"/>
  <c r="W26" i="33"/>
  <c r="AB34" i="36"/>
  <c r="U34" i="36"/>
  <c r="AB33" i="36"/>
  <c r="U33" i="36"/>
  <c r="AC12" i="39"/>
  <c r="W12" i="39"/>
  <c r="AC39" i="40"/>
  <c r="W39" i="40"/>
  <c r="AZ465" i="3"/>
  <c r="AZ586" i="3"/>
  <c r="W12" i="33"/>
  <c r="AC12" i="33"/>
  <c r="AA32" i="36"/>
  <c r="S32" i="36"/>
  <c r="U30" i="33"/>
  <c r="AA47" i="34"/>
  <c r="W28" i="37"/>
  <c r="S19" i="39"/>
  <c r="F12" i="33"/>
  <c r="H12" i="39"/>
  <c r="U12" i="39" s="1"/>
  <c r="AB12" i="39"/>
  <c r="F39" i="40"/>
  <c r="AZ254" i="3"/>
  <c r="AZ286" i="3"/>
  <c r="AZ173" i="3"/>
  <c r="AZ181" i="3"/>
  <c r="B12" i="1"/>
  <c r="E12" i="1" s="1"/>
  <c r="B10" i="1"/>
  <c r="E10" i="1" s="1"/>
  <c r="K12" i="1"/>
  <c r="M12" i="1" s="1"/>
  <c r="S13" i="1"/>
  <c r="AR13" i="1" s="1"/>
  <c r="R13" i="1"/>
  <c r="J51" i="67"/>
  <c r="C42" i="1"/>
  <c r="AC34" i="33"/>
  <c r="AA34" i="33"/>
  <c r="AB37" i="40"/>
  <c r="S35" i="40"/>
  <c r="U35" i="40"/>
  <c r="AC36" i="40"/>
  <c r="W38" i="40"/>
  <c r="AA32" i="40"/>
  <c r="S17" i="40"/>
  <c r="S23" i="40"/>
  <c r="AC17" i="40"/>
  <c r="AC15" i="40"/>
  <c r="AA19" i="40"/>
  <c r="S28"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34" i="36"/>
  <c r="AC26" i="36"/>
  <c r="AA22" i="36"/>
  <c r="W14" i="36"/>
  <c r="AB14" i="36"/>
  <c r="U22" i="36"/>
  <c r="S16" i="36"/>
  <c r="AA25" i="36"/>
  <c r="S24" i="36"/>
  <c r="U23" i="36"/>
  <c r="AB20" i="36"/>
  <c r="U16" i="36"/>
  <c r="S14" i="36"/>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J56" i="9"/>
  <c r="J57" i="9" s="1"/>
  <c r="J59" i="9" s="1"/>
  <c r="J61" i="9" s="1"/>
  <c r="A24" i="51"/>
  <c r="B18" i="72" s="1"/>
  <c r="U29" i="34"/>
  <c r="E5" i="6"/>
  <c r="E32" i="6"/>
  <c r="G1" i="68"/>
  <c r="E19" i="69"/>
  <c r="E19" i="68"/>
  <c r="E19" i="11"/>
  <c r="G22"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W23" i="40"/>
  <c r="AB31" i="40"/>
  <c r="S37" i="40"/>
  <c r="AB28" i="40"/>
  <c r="W28" i="40"/>
  <c r="W34" i="40"/>
  <c r="W27" i="40"/>
  <c r="S36" i="40"/>
  <c r="W37" i="40"/>
  <c r="AC14"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U25" i="34"/>
  <c r="AB36" i="34"/>
  <c r="AC14" i="34"/>
  <c r="AC32"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S32" i="39"/>
  <c r="AA21" i="39"/>
  <c r="S21" i="39"/>
  <c r="AC17" i="37"/>
  <c r="J19" i="37"/>
  <c r="W19" i="37" s="1"/>
  <c r="G75"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D6" i="52"/>
  <c r="AP7" i="1"/>
  <c r="AB45" i="21"/>
  <c r="AB9" i="21"/>
  <c r="AA32" i="21"/>
  <c r="S32" i="21"/>
  <c r="AB32" i="21"/>
  <c r="U32" i="21"/>
  <c r="U32" i="39"/>
  <c r="AC32" i="39"/>
  <c r="W32" i="39"/>
  <c r="J11" i="37"/>
  <c r="AC11" i="37" s="1"/>
  <c r="J11" i="34"/>
  <c r="W11" i="34" s="1"/>
  <c r="AB36" i="33"/>
  <c r="W25" i="33"/>
  <c r="AC25" i="33"/>
  <c r="AB19"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3" i="15"/>
  <c r="B12" i="76"/>
  <c r="F7" i="73"/>
  <c r="F43" i="94"/>
  <c r="F20" i="31"/>
  <c r="C76" i="15"/>
  <c r="E11" i="76"/>
  <c r="B11" i="76"/>
  <c r="AO13" i="1"/>
  <c r="M24" i="15"/>
  <c r="E10" i="76"/>
  <c r="M8" i="15"/>
  <c r="L48" i="94"/>
  <c r="F6" i="73"/>
  <c r="F43" i="15"/>
  <c r="F7" i="15"/>
  <c r="E9" i="76"/>
  <c r="B9" i="76"/>
  <c r="F38" i="15"/>
  <c r="F7" i="94"/>
  <c r="F4" i="73"/>
  <c r="F42" i="15"/>
  <c r="M6" i="15"/>
  <c r="F5" i="73"/>
  <c r="F16" i="15"/>
  <c r="F8" i="15"/>
  <c r="E13" i="76"/>
  <c r="E2" i="69"/>
  <c r="B13" i="76"/>
  <c r="M29" i="94"/>
  <c r="M28" i="15"/>
  <c r="F3" i="73"/>
  <c r="M26" i="15"/>
  <c r="F36" i="15"/>
  <c r="J15" i="15"/>
  <c r="D6" i="73"/>
  <c r="L47" i="15"/>
  <c r="E2" i="68"/>
  <c r="M9" i="15"/>
  <c r="F40" i="15"/>
  <c r="F6" i="15"/>
  <c r="B10" i="76"/>
  <c r="M22" i="15"/>
  <c r="F13" i="15"/>
  <c r="E12" i="76"/>
  <c r="G1" i="67" l="1"/>
  <c r="G1" i="69"/>
  <c r="BA15" i="3"/>
  <c r="B8" i="1"/>
  <c r="E8" i="1" s="1"/>
  <c r="G1" i="97"/>
  <c r="BD5" i="3"/>
  <c r="C24" i="12"/>
  <c r="C28" i="94"/>
  <c r="C28" i="97"/>
  <c r="G23" i="98"/>
  <c r="J51" i="94"/>
  <c r="J57" i="94" s="1"/>
  <c r="J55" i="94" s="1"/>
  <c r="J58" i="94" s="1"/>
  <c r="Q50" i="94" s="1"/>
  <c r="G23" i="93"/>
  <c r="J51" i="97"/>
  <c r="M8" i="1"/>
  <c r="L57" i="94"/>
  <c r="J53" i="94"/>
  <c r="L60" i="94"/>
  <c r="L58" i="94"/>
  <c r="G7" i="1"/>
  <c r="I24" i="93"/>
  <c r="C24" i="93" s="1"/>
  <c r="F71" i="94"/>
  <c r="C6" i="94"/>
  <c r="F50" i="94"/>
  <c r="C49" i="94" s="1"/>
  <c r="C61" i="94" s="1"/>
  <c r="M7" i="94"/>
  <c r="J6" i="94" s="1"/>
  <c r="BI5" i="3"/>
  <c r="BE5" i="3"/>
  <c r="BK5" i="3"/>
  <c r="BG5" i="3"/>
  <c r="BC5" i="3"/>
  <c r="BP5" i="3"/>
  <c r="BS5" i="3"/>
  <c r="M7" i="1"/>
  <c r="BJ5" i="3"/>
  <c r="BB5" i="3"/>
  <c r="BM5" i="3"/>
  <c r="D53" i="43"/>
  <c r="D52" i="43"/>
  <c r="D56" i="43"/>
  <c r="F29" i="6"/>
  <c r="BA14" i="3"/>
  <c r="AZ14" i="3" s="1"/>
  <c r="G29" i="6"/>
  <c r="E29" i="6" s="1"/>
  <c r="K15" i="1" s="1"/>
  <c r="BA13" i="3"/>
  <c r="AZ13" i="3" s="1"/>
  <c r="BL13" i="3"/>
  <c r="B41" i="1"/>
  <c r="D93" i="9"/>
  <c r="G22" i="11"/>
  <c r="E1" i="73"/>
  <c r="G26" i="12"/>
  <c r="G22" i="68"/>
  <c r="C15" i="40"/>
  <c r="B79" i="43"/>
  <c r="U23" i="21"/>
  <c r="S11" i="39"/>
  <c r="AA11" i="39"/>
  <c r="U45" i="33"/>
  <c r="AB45" i="33"/>
  <c r="U30" i="21"/>
  <c r="AB30" i="21"/>
  <c r="AC39" i="33"/>
  <c r="W39" i="33"/>
  <c r="J27" i="34"/>
  <c r="H27" i="34"/>
  <c r="AA25" i="33"/>
  <c r="S43" i="33"/>
  <c r="AB19" i="40"/>
  <c r="AZ313" i="3"/>
  <c r="AZ394" i="3"/>
  <c r="AZ521" i="3"/>
  <c r="W28" i="21"/>
  <c r="AC28" i="21"/>
  <c r="AA41" i="33"/>
  <c r="S41" i="33"/>
  <c r="G585" i="3"/>
  <c r="H5" i="3"/>
  <c r="BL587" i="3"/>
  <c r="BA587" i="3"/>
  <c r="BA585" i="3"/>
  <c r="J45" i="21"/>
  <c r="F45" i="21"/>
  <c r="F28" i="34"/>
  <c r="J28" i="34"/>
  <c r="H28" i="34"/>
  <c r="AA14" i="33"/>
  <c r="S14" i="33"/>
  <c r="H13" i="34"/>
  <c r="U13" i="34" s="1"/>
  <c r="J13" i="34"/>
  <c r="J47" i="34"/>
  <c r="H47" i="34"/>
  <c r="F25" i="35"/>
  <c r="H25" i="35"/>
  <c r="AC22" i="35"/>
  <c r="W22" i="35"/>
  <c r="AZ533" i="3"/>
  <c r="AZ524" i="3"/>
  <c r="AA17" i="33"/>
  <c r="AC27" i="33"/>
  <c r="AC23" i="37"/>
  <c r="AC9" i="21"/>
  <c r="S36" i="33"/>
  <c r="S17" i="37"/>
  <c r="U21" i="39"/>
  <c r="W33" i="34"/>
  <c r="AB33" i="34"/>
  <c r="S23" i="39"/>
  <c r="AC11" i="33"/>
  <c r="S43" i="34"/>
  <c r="AA26" i="36"/>
  <c r="U21" i="40"/>
  <c r="AZ345" i="3"/>
  <c r="AZ334" i="3"/>
  <c r="AZ372" i="3"/>
  <c r="AZ347" i="3"/>
  <c r="AZ337" i="3"/>
  <c r="AZ378" i="3"/>
  <c r="W12" i="37"/>
  <c r="AC12" i="37"/>
  <c r="AZ531" i="3"/>
  <c r="AZ583" i="3"/>
  <c r="AZ513" i="3"/>
  <c r="AZ520" i="3"/>
  <c r="AZ558" i="3"/>
  <c r="AZ576" i="3"/>
  <c r="AA14" i="37"/>
  <c r="AA11" i="36"/>
  <c r="S11" i="36"/>
  <c r="U46" i="34"/>
  <c r="AB46" i="34"/>
  <c r="S29" i="35"/>
  <c r="AA29" i="35"/>
  <c r="U23" i="34"/>
  <c r="AB23" i="34"/>
  <c r="S41" i="39"/>
  <c r="AA41" i="39"/>
  <c r="AB35" i="33"/>
  <c r="U35" i="33"/>
  <c r="W45" i="33"/>
  <c r="AC45" i="33"/>
  <c r="AZ579" i="3"/>
  <c r="AZ571" i="3"/>
  <c r="AZ570" i="3"/>
  <c r="S13" i="21"/>
  <c r="AB35" i="37"/>
  <c r="W19" i="40"/>
  <c r="AA35" i="33"/>
  <c r="S20" i="35"/>
  <c r="AA12" i="40"/>
  <c r="AZ390" i="3"/>
  <c r="AZ351" i="3"/>
  <c r="AZ305" i="3"/>
  <c r="AZ306" i="3"/>
  <c r="AZ560" i="3"/>
  <c r="AA44" i="33"/>
  <c r="U17" i="34"/>
  <c r="AB17" i="34"/>
  <c r="AC27" i="35"/>
  <c r="H9" i="33"/>
  <c r="J9" i="33"/>
  <c r="H28" i="33"/>
  <c r="J28" i="33"/>
  <c r="AA35" i="34"/>
  <c r="S35" i="34"/>
  <c r="U12" i="36"/>
  <c r="AB12" i="36"/>
  <c r="W31" i="35"/>
  <c r="AC31" i="35"/>
  <c r="G552" i="3"/>
  <c r="J24" i="36"/>
  <c r="H24" i="36"/>
  <c r="BA551" i="3"/>
  <c r="AZ551" i="3" s="1"/>
  <c r="BA550" i="3"/>
  <c r="BL548" i="3"/>
  <c r="AZ548" i="3" s="1"/>
  <c r="AZ376" i="3"/>
  <c r="AZ309" i="3"/>
  <c r="AZ549" i="3"/>
  <c r="W44" i="21"/>
  <c r="H32" i="40"/>
  <c r="BL503" i="3"/>
  <c r="AZ503" i="3" s="1"/>
  <c r="BL515" i="3"/>
  <c r="AZ515" i="3" s="1"/>
  <c r="BL523" i="3"/>
  <c r="AZ523" i="3" s="1"/>
  <c r="BL527" i="3"/>
  <c r="AZ527" i="3" s="1"/>
  <c r="BL547" i="3"/>
  <c r="AZ547" i="3" s="1"/>
  <c r="BL569" i="3"/>
  <c r="AZ569" i="3" s="1"/>
  <c r="F13" i="40"/>
  <c r="AC11" i="35"/>
  <c r="F32" i="34"/>
  <c r="F14" i="34"/>
  <c r="J34" i="36"/>
  <c r="W34" i="36" s="1"/>
  <c r="S40" i="39"/>
  <c r="U38" i="40"/>
  <c r="AB39" i="40"/>
  <c r="W28" i="36"/>
  <c r="AB41" i="21"/>
  <c r="G587" i="3"/>
  <c r="J12" i="35"/>
  <c r="G582" i="3"/>
  <c r="AZ539" i="3"/>
  <c r="AZ529" i="3"/>
  <c r="AZ537" i="3"/>
  <c r="AZ518" i="3"/>
  <c r="AZ526" i="3"/>
  <c r="AZ546" i="3"/>
  <c r="AZ564" i="3"/>
  <c r="AZ580" i="3"/>
  <c r="AB12" i="35"/>
  <c r="G586" i="3"/>
  <c r="B97" i="43"/>
  <c r="B75" i="43"/>
  <c r="BL550" i="3"/>
  <c r="AZ419" i="3"/>
  <c r="AZ469" i="3"/>
  <c r="BL585"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BA368" i="3"/>
  <c r="AZ368" i="3" s="1"/>
  <c r="BL368" i="3"/>
  <c r="BA374" i="3"/>
  <c r="AZ374" i="3" s="1"/>
  <c r="BA392" i="3"/>
  <c r="AZ392" i="3" s="1"/>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BA384" i="3"/>
  <c r="AZ384" i="3" s="1"/>
  <c r="BA397" i="3"/>
  <c r="BL397" i="3"/>
  <c r="BA212" i="3"/>
  <c r="G574" i="3"/>
  <c r="BL16" i="3"/>
  <c r="AZ16"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AZ367" i="3" s="1"/>
  <c r="BA370" i="3"/>
  <c r="AZ370" i="3" s="1"/>
  <c r="AZ228" i="3"/>
  <c r="AZ458" i="3"/>
  <c r="AZ462" i="3"/>
  <c r="BA366" i="3"/>
  <c r="AZ366" i="3" s="1"/>
  <c r="BL375" i="3"/>
  <c r="AZ375" i="3" s="1"/>
  <c r="BL385" i="3"/>
  <c r="BL219"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BL113" i="3"/>
  <c r="BA117" i="3"/>
  <c r="BA124" i="3"/>
  <c r="AZ124" i="3" s="1"/>
  <c r="BL127" i="3"/>
  <c r="AZ127" i="3" s="1"/>
  <c r="BA130" i="3"/>
  <c r="BL130" i="3"/>
  <c r="BL137" i="3"/>
  <c r="BA146" i="3"/>
  <c r="AZ146" i="3" s="1"/>
  <c r="AZ270" i="3"/>
  <c r="BA284" i="3"/>
  <c r="AZ284" i="3" s="1"/>
  <c r="BL290" i="3"/>
  <c r="BL291" i="3"/>
  <c r="AZ291" i="3" s="1"/>
  <c r="BL293" i="3"/>
  <c r="BL294" i="3"/>
  <c r="BA297" i="3"/>
  <c r="BL297" i="3"/>
  <c r="BL300" i="3"/>
  <c r="BA302" i="3"/>
  <c r="G115" i="3"/>
  <c r="BA116" i="3"/>
  <c r="AZ116" i="3" s="1"/>
  <c r="BA121" i="3"/>
  <c r="BL121" i="3"/>
  <c r="BL123" i="3"/>
  <c r="AZ123" i="3" s="1"/>
  <c r="G127" i="3"/>
  <c r="BA129" i="3"/>
  <c r="BL133" i="3"/>
  <c r="AZ133" i="3" s="1"/>
  <c r="BL134" i="3"/>
  <c r="BA388" i="3"/>
  <c r="AZ388" i="3" s="1"/>
  <c r="BA396" i="3"/>
  <c r="BA209" i="3"/>
  <c r="BL217" i="3"/>
  <c r="AZ217" i="3" s="1"/>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BA296" i="3"/>
  <c r="G136" i="3"/>
  <c r="BA137" i="3"/>
  <c r="AZ137" i="3" s="1"/>
  <c r="BL138" i="3"/>
  <c r="BA140" i="3"/>
  <c r="AZ140" i="3" s="1"/>
  <c r="BA142"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BL292" i="3"/>
  <c r="BA294" i="3"/>
  <c r="AZ294" i="3" s="1"/>
  <c r="BL295" i="3"/>
  <c r="BA298" i="3"/>
  <c r="AZ298" i="3" s="1"/>
  <c r="BL301" i="3"/>
  <c r="AZ301" i="3" s="1"/>
  <c r="BL302" i="3"/>
  <c r="BA114" i="3"/>
  <c r="BA126" i="3"/>
  <c r="BA148" i="3"/>
  <c r="AZ148"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52" i="3"/>
  <c r="G103" i="3"/>
  <c r="BA103" i="3"/>
  <c r="AZ103" i="3" s="1"/>
  <c r="G106" i="3"/>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AZ38" i="3" s="1"/>
  <c r="BA41" i="3"/>
  <c r="BA42" i="3"/>
  <c r="G46" i="3"/>
  <c r="G47" i="3"/>
  <c r="BL48" i="3"/>
  <c r="BL54" i="3"/>
  <c r="BL55" i="3"/>
  <c r="AZ55" i="3" s="1"/>
  <c r="G58" i="3"/>
  <c r="BA59" i="3"/>
  <c r="BL61" i="3"/>
  <c r="G64" i="3"/>
  <c r="BA64" i="3"/>
  <c r="BA68" i="3"/>
  <c r="BA80" i="3"/>
  <c r="BL84" i="3"/>
  <c r="B27" i="71"/>
  <c r="B26" i="71" s="1"/>
  <c r="S28" i="71"/>
  <c r="C55" i="71"/>
  <c r="D54" i="71"/>
  <c r="C64" i="71"/>
  <c r="D63" i="71"/>
  <c r="BL149" i="3"/>
  <c r="AZ149" i="3" s="1"/>
  <c r="BL150" i="3"/>
  <c r="AZ150" i="3" s="1"/>
  <c r="BA152" i="3"/>
  <c r="AZ152" i="3" s="1"/>
  <c r="BA154" i="3"/>
  <c r="AZ154" i="3" s="1"/>
  <c r="BA27" i="3"/>
  <c r="BL40" i="3"/>
  <c r="BL41" i="3"/>
  <c r="BL45" i="3"/>
  <c r="BA48" i="3"/>
  <c r="BA49" i="3"/>
  <c r="AZ49" i="3" s="1"/>
  <c r="BA51" i="3"/>
  <c r="G54"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13" i="1"/>
  <c r="E13" i="1" s="1"/>
  <c r="K13" i="1"/>
  <c r="M13" i="1" s="1"/>
  <c r="O13" i="1" s="1"/>
  <c r="P13" i="1" s="1"/>
  <c r="P65" i="71"/>
  <c r="P66" i="71"/>
  <c r="T40" i="71"/>
  <c r="D40" i="71"/>
  <c r="D31" i="71"/>
  <c r="C32" i="71"/>
  <c r="G154"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G21" i="3"/>
  <c r="BL21" i="3"/>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BA60" i="3"/>
  <c r="BL64" i="3"/>
  <c r="G65" i="3"/>
  <c r="BL65" i="3"/>
  <c r="AZ65" i="3" s="1"/>
  <c r="BL66" i="3"/>
  <c r="BL67" i="3"/>
  <c r="AZ67" i="3" s="1"/>
  <c r="G69" i="3"/>
  <c r="BL73" i="3"/>
  <c r="BA74" i="3"/>
  <c r="AZ74" i="3" s="1"/>
  <c r="BL79" i="3"/>
  <c r="BL81" i="3"/>
  <c r="BA82" i="3"/>
  <c r="AZ82" i="3" s="1"/>
  <c r="BL83" i="3"/>
  <c r="G86" i="3"/>
  <c r="BA87" i="3"/>
  <c r="BA89" i="3"/>
  <c r="BL93" i="3"/>
  <c r="BL94" i="3"/>
  <c r="AZ94" i="3" s="1"/>
  <c r="BL101" i="3"/>
  <c r="C47" i="71"/>
  <c r="D47" i="71" s="1"/>
  <c r="D46" i="71"/>
  <c r="D50" i="71"/>
  <c r="C51" i="71"/>
  <c r="V24" i="71"/>
  <c r="E23" i="71"/>
  <c r="E22" i="71" s="1"/>
  <c r="E21" i="71" s="1"/>
  <c r="E20" i="71" s="1"/>
  <c r="BL106" i="3"/>
  <c r="BA108" i="3"/>
  <c r="AZ108" i="3" s="1"/>
  <c r="BA110" i="3"/>
  <c r="AZ110" i="3" s="1"/>
  <c r="F3" i="35"/>
  <c r="S21" i="33"/>
  <c r="S21" i="37"/>
  <c r="B77" i="43"/>
  <c r="AA18" i="35"/>
  <c r="T60" i="71"/>
  <c r="O66" i="71"/>
  <c r="D71" i="71"/>
  <c r="AA28" i="71"/>
  <c r="AB27" i="71"/>
  <c r="C87" i="71"/>
  <c r="AB25" i="71"/>
  <c r="C43" i="71"/>
  <c r="Y25" i="71"/>
  <c r="Z25" i="71" s="1"/>
  <c r="C35" i="71"/>
  <c r="Y29" i="71"/>
  <c r="Z29" i="71" s="1"/>
  <c r="AB32" i="71"/>
  <c r="X33" i="71"/>
  <c r="AB37" i="71"/>
  <c r="S72" i="71"/>
  <c r="V80" i="71"/>
  <c r="X28" i="7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4" i="71"/>
  <c r="X31" i="71"/>
  <c r="AA34" i="71"/>
  <c r="AB35" i="71"/>
  <c r="B51" i="71"/>
  <c r="B52" i="71" s="1"/>
  <c r="S52" i="71" s="1"/>
  <c r="BA100" i="3"/>
  <c r="AZ100" i="3" s="1"/>
  <c r="BA102" i="3"/>
  <c r="AZ102" i="3" s="1"/>
  <c r="BL105" i="3"/>
  <c r="AZ105" i="3" s="1"/>
  <c r="BL107" i="3"/>
  <c r="BA111" i="3"/>
  <c r="AZ111" i="3" s="1"/>
  <c r="AC21" i="37"/>
  <c r="D66" i="71"/>
  <c r="D28" i="71"/>
  <c r="U28" i="71" s="1"/>
  <c r="Q67" i="71"/>
  <c r="X36" i="71"/>
  <c r="AB33" i="71"/>
  <c r="AA30" i="71"/>
  <c r="B32" i="71"/>
  <c r="S32" i="71" s="1"/>
  <c r="AB34" i="7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98"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E13"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J6" i="15" s="1"/>
  <c r="F50" i="15"/>
  <c r="F51" i="15"/>
  <c r="F71" i="15"/>
  <c r="L59" i="15"/>
  <c r="N59" i="15"/>
  <c r="M59" i="15"/>
  <c r="F66" i="15"/>
  <c r="F64" i="15"/>
  <c r="B13" i="70"/>
  <c r="F68" i="15"/>
  <c r="D9" i="69"/>
  <c r="C36" i="69"/>
  <c r="C36" i="68"/>
  <c r="D9" i="68"/>
  <c r="F16" i="97"/>
  <c r="C16" i="94"/>
  <c r="M22" i="67"/>
  <c r="F6" i="67"/>
  <c r="L48" i="15"/>
  <c r="M27" i="97"/>
  <c r="J15" i="97"/>
  <c r="M6" i="97"/>
  <c r="F36" i="67"/>
  <c r="F6" i="97"/>
  <c r="M8" i="67"/>
  <c r="F8" i="97"/>
  <c r="F13" i="97"/>
  <c r="F43" i="97"/>
  <c r="C76" i="67"/>
  <c r="M28" i="67"/>
  <c r="F38" i="67"/>
  <c r="F36" i="97"/>
  <c r="L48" i="97"/>
  <c r="M29" i="97"/>
  <c r="M28" i="97"/>
  <c r="M8" i="97"/>
  <c r="L48" i="67"/>
  <c r="F7" i="97"/>
  <c r="F26" i="15"/>
  <c r="M26" i="67"/>
  <c r="F9" i="67"/>
  <c r="F9" i="97"/>
  <c r="F40" i="97"/>
  <c r="C16" i="15"/>
  <c r="F8" i="67"/>
  <c r="L47" i="97"/>
  <c r="F37" i="15"/>
  <c r="M22" i="97"/>
  <c r="L47" i="67"/>
  <c r="F9" i="15"/>
  <c r="F7" i="67"/>
  <c r="F42" i="97"/>
  <c r="M23" i="67"/>
  <c r="F26" i="97"/>
  <c r="M23" i="97"/>
  <c r="M26" i="97"/>
  <c r="F26" i="67"/>
  <c r="M9" i="67"/>
  <c r="F13" i="67"/>
  <c r="F37" i="97"/>
  <c r="F37" i="67"/>
  <c r="C76" i="97"/>
  <c r="M29" i="15"/>
  <c r="M6" i="67"/>
  <c r="F43" i="67"/>
  <c r="F16" i="67"/>
  <c r="D7" i="73"/>
  <c r="M9" i="97"/>
  <c r="F42" i="67"/>
  <c r="F40" i="67"/>
  <c r="D4" i="73"/>
  <c r="F38" i="97"/>
  <c r="D5" i="73"/>
  <c r="J15" i="67"/>
  <c r="M29" i="67"/>
  <c r="D3" i="73"/>
  <c r="M24" i="97"/>
  <c r="M24" i="67"/>
  <c r="C27" i="67" l="1"/>
  <c r="F50" i="67"/>
  <c r="M7" i="67"/>
  <c r="J6" i="67" s="1"/>
  <c r="C6" i="67"/>
  <c r="F51" i="67"/>
  <c r="Q71" i="67"/>
  <c r="F65" i="67"/>
  <c r="F71" i="67"/>
  <c r="F68" i="67"/>
  <c r="F64" i="67"/>
  <c r="L59" i="67"/>
  <c r="Q61" i="67" s="1"/>
  <c r="N59" i="67"/>
  <c r="M59" i="67"/>
  <c r="F66" i="67"/>
  <c r="G30" i="6"/>
  <c r="G31" i="6" s="1"/>
  <c r="E12" i="6"/>
  <c r="E57" i="40" s="1"/>
  <c r="E59" i="40"/>
  <c r="E11" i="6"/>
  <c r="E60" i="39" s="1"/>
  <c r="E15" i="6"/>
  <c r="E64" i="39" s="1"/>
  <c r="Q71" i="97"/>
  <c r="F65" i="97"/>
  <c r="C27" i="97"/>
  <c r="C6" i="97"/>
  <c r="C33" i="97" s="1"/>
  <c r="F66" i="97"/>
  <c r="F64" i="97"/>
  <c r="F51" i="97"/>
  <c r="F68" i="97"/>
  <c r="M7" i="97"/>
  <c r="J6" i="97" s="1"/>
  <c r="J18" i="97" s="1"/>
  <c r="F50" i="97"/>
  <c r="F71" i="97"/>
  <c r="B116" i="98"/>
  <c r="H26" i="98"/>
  <c r="Z7" i="98"/>
  <c r="E26" i="98"/>
  <c r="G26" i="98"/>
  <c r="F26" i="98"/>
  <c r="J26" i="98"/>
  <c r="L58" i="97"/>
  <c r="L57" i="97"/>
  <c r="L56" i="97"/>
  <c r="L60" i="97"/>
  <c r="I24" i="98"/>
  <c r="C24" i="98" s="1"/>
  <c r="L56" i="94"/>
  <c r="N59" i="97"/>
  <c r="J57" i="97"/>
  <c r="J55" i="97" s="1"/>
  <c r="J58" i="97" s="1"/>
  <c r="Q50" i="97" s="1"/>
  <c r="I54" i="97"/>
  <c r="M59" i="97"/>
  <c r="J53" i="97"/>
  <c r="L59" i="97"/>
  <c r="P29" i="98"/>
  <c r="C23" i="98"/>
  <c r="P27" i="98"/>
  <c r="M24" i="98"/>
  <c r="O23" i="98"/>
  <c r="P26" i="98"/>
  <c r="P25" i="98"/>
  <c r="P28" i="98"/>
  <c r="I54" i="94"/>
  <c r="P28" i="93"/>
  <c r="P29" i="93"/>
  <c r="P25" i="93"/>
  <c r="M24" i="93"/>
  <c r="O23" i="93"/>
  <c r="C23" i="93"/>
  <c r="P27" i="93"/>
  <c r="P26" i="93"/>
  <c r="N59" i="94"/>
  <c r="L59" i="94"/>
  <c r="M59" i="94"/>
  <c r="F11" i="97"/>
  <c r="M11" i="97"/>
  <c r="J10" i="97" s="1"/>
  <c r="F1" i="94"/>
  <c r="Q52" i="94"/>
  <c r="Q73" i="94"/>
  <c r="Q60" i="94"/>
  <c r="T16" i="93"/>
  <c r="V16" i="93" s="1"/>
  <c r="C38" i="93"/>
  <c r="T15" i="93"/>
  <c r="V15" i="93" s="1"/>
  <c r="T10" i="93"/>
  <c r="V10" i="93" s="1"/>
  <c r="T12" i="93"/>
  <c r="V12" i="93" s="1"/>
  <c r="T11" i="93"/>
  <c r="V11" i="93" s="1"/>
  <c r="T3" i="93"/>
  <c r="V3" i="93" s="1"/>
  <c r="T4" i="93"/>
  <c r="V4" i="93" s="1"/>
  <c r="C39" i="93"/>
  <c r="T13" i="93"/>
  <c r="V13" i="93" s="1"/>
  <c r="Q57" i="94"/>
  <c r="Q66" i="94"/>
  <c r="O7" i="1"/>
  <c r="P7" i="1" s="1"/>
  <c r="J18" i="94"/>
  <c r="J19" i="94"/>
  <c r="G3" i="43"/>
  <c r="G26" i="43" s="1"/>
  <c r="G3" i="93"/>
  <c r="C32" i="94"/>
  <c r="C33" i="94"/>
  <c r="F11" i="94"/>
  <c r="M11" i="94"/>
  <c r="J10" i="94" s="1"/>
  <c r="J5" i="94" s="1"/>
  <c r="H16" i="1"/>
  <c r="E28" i="6"/>
  <c r="K14" i="1" s="1"/>
  <c r="K16" i="1" s="1"/>
  <c r="J53" i="15"/>
  <c r="L56" i="15" s="1"/>
  <c r="J57" i="15"/>
  <c r="J55" i="15" s="1"/>
  <c r="J58" i="15" s="1"/>
  <c r="Q50" i="15" s="1"/>
  <c r="I54" i="15"/>
  <c r="L58" i="15"/>
  <c r="Q73" i="15" s="1"/>
  <c r="J53" i="67"/>
  <c r="Q52" i="67" s="1"/>
  <c r="J57" i="67"/>
  <c r="J55" i="67" s="1"/>
  <c r="J58" i="67" s="1"/>
  <c r="Q50" i="67" s="1"/>
  <c r="L56" i="67"/>
  <c r="I54" i="67"/>
  <c r="L58" i="67"/>
  <c r="Q73" i="67" s="1"/>
  <c r="G8" i="1"/>
  <c r="G16" i="1" s="1"/>
  <c r="J10" i="39" s="1"/>
  <c r="W10" i="39" s="1"/>
  <c r="Q16" i="1"/>
  <c r="F27" i="69" s="1"/>
  <c r="C47" i="69" s="1"/>
  <c r="D45" i="69" s="1"/>
  <c r="F48" i="9"/>
  <c r="O52" i="9" s="1"/>
  <c r="F30" i="68"/>
  <c r="F31" i="12"/>
  <c r="C31" i="12" s="1"/>
  <c r="F30" i="69"/>
  <c r="D68" i="9"/>
  <c r="F32" i="15"/>
  <c r="F60" i="15" s="1"/>
  <c r="F30" i="11"/>
  <c r="M18" i="67"/>
  <c r="M18" i="15"/>
  <c r="F28" i="67"/>
  <c r="C28" i="67" s="1"/>
  <c r="F32" i="67"/>
  <c r="F60" i="67" s="1"/>
  <c r="F28" i="15"/>
  <c r="C28" i="15" s="1"/>
  <c r="F52" i="9"/>
  <c r="F54" i="9"/>
  <c r="J7" i="36"/>
  <c r="W7" i="36" s="1"/>
  <c r="C6" i="15"/>
  <c r="C32" i="15" s="1"/>
  <c r="F65" i="15"/>
  <c r="C27" i="15"/>
  <c r="C26" i="71"/>
  <c r="D26" i="71" s="1"/>
  <c r="D27" i="71"/>
  <c r="C44" i="71"/>
  <c r="D43" i="71"/>
  <c r="AZ59" i="3"/>
  <c r="AZ41" i="3"/>
  <c r="AZ20" i="3"/>
  <c r="AZ25" i="3"/>
  <c r="AZ274" i="3"/>
  <c r="AZ251" i="3"/>
  <c r="AZ247" i="3"/>
  <c r="AZ332" i="3"/>
  <c r="S32" i="34"/>
  <c r="AA32" i="34"/>
  <c r="AC24" i="36"/>
  <c r="W24" i="36"/>
  <c r="AB9" i="33"/>
  <c r="U9" i="33"/>
  <c r="AB47" i="34"/>
  <c r="U47" i="34"/>
  <c r="AA28" i="34"/>
  <c r="S28" i="34"/>
  <c r="AZ587" i="3"/>
  <c r="AZ58" i="3"/>
  <c r="AZ51" i="3"/>
  <c r="AZ64" i="3"/>
  <c r="AZ28" i="3"/>
  <c r="AZ29" i="3"/>
  <c r="AZ21" i="3"/>
  <c r="AZ243" i="3"/>
  <c r="AZ297" i="3"/>
  <c r="AZ229" i="3"/>
  <c r="AZ218" i="3"/>
  <c r="AZ464" i="3"/>
  <c r="AZ397" i="3"/>
  <c r="AZ415" i="3"/>
  <c r="AZ398" i="3"/>
  <c r="AZ353" i="3"/>
  <c r="U32" i="40"/>
  <c r="AB32" i="40"/>
  <c r="AZ550" i="3"/>
  <c r="W28" i="33"/>
  <c r="AC28" i="33"/>
  <c r="AC47" i="34"/>
  <c r="W47" i="34"/>
  <c r="AA45" i="21"/>
  <c r="S45" i="21"/>
  <c r="AB27" i="34"/>
  <c r="U27" i="34"/>
  <c r="G5" i="3"/>
  <c r="B3" i="3" s="1"/>
  <c r="E420" i="3" s="1"/>
  <c r="C36" i="71"/>
  <c r="D35" i="71"/>
  <c r="C86" i="71"/>
  <c r="D86" i="71" s="1"/>
  <c r="D87" i="71"/>
  <c r="C52" i="71"/>
  <c r="D51" i="71"/>
  <c r="AZ302" i="3"/>
  <c r="S13" i="40"/>
  <c r="AA13" i="40"/>
  <c r="U28" i="33"/>
  <c r="AB28" i="33"/>
  <c r="U25" i="35"/>
  <c r="AB25" i="35"/>
  <c r="AC13" i="34"/>
  <c r="W13" i="34"/>
  <c r="AB28" i="34"/>
  <c r="U28" i="34"/>
  <c r="W45" i="21"/>
  <c r="AC45" i="21"/>
  <c r="AC27" i="34"/>
  <c r="W27" i="34"/>
  <c r="T32" i="71"/>
  <c r="D32" i="71"/>
  <c r="C56" i="71"/>
  <c r="D55" i="71"/>
  <c r="AZ126" i="3"/>
  <c r="AZ121" i="3"/>
  <c r="AZ130" i="3"/>
  <c r="AZ403" i="3"/>
  <c r="AZ461" i="3"/>
  <c r="W12" i="35"/>
  <c r="AC12" i="35"/>
  <c r="S14" i="34"/>
  <c r="AA14" i="34"/>
  <c r="AB24" i="36"/>
  <c r="U24" i="36"/>
  <c r="AC9" i="33"/>
  <c r="W9" i="33"/>
  <c r="S25" i="35"/>
  <c r="AA25" i="35"/>
  <c r="W28" i="34"/>
  <c r="AC28" i="34"/>
  <c r="AZ585" i="3"/>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D5" i="43"/>
  <c r="C7" i="43"/>
  <c r="C5" i="43" s="1"/>
  <c r="D10" i="52"/>
  <c r="D125" i="9"/>
  <c r="D11" i="52" s="1"/>
  <c r="B7" i="74"/>
  <c r="C7" i="74" s="1"/>
  <c r="F59" i="67"/>
  <c r="H7" i="37"/>
  <c r="AB7" i="37" s="1"/>
  <c r="T42" i="37" s="1"/>
  <c r="G42" i="37" s="1"/>
  <c r="H7" i="33"/>
  <c r="J7" i="33"/>
  <c r="D65" i="40"/>
  <c r="E63" i="40"/>
  <c r="F48" i="35"/>
  <c r="AC7" i="37"/>
  <c r="W7" i="37"/>
  <c r="AB7" i="36"/>
  <c r="T36" i="36" s="1"/>
  <c r="G36" i="36" s="1"/>
  <c r="F7" i="33"/>
  <c r="E58" i="21"/>
  <c r="AC7" i="36"/>
  <c r="V36" i="36" s="1"/>
  <c r="I36" i="36" s="1"/>
  <c r="F7" i="37"/>
  <c r="M17" i="67"/>
  <c r="M17" i="15"/>
  <c r="F59" i="15"/>
  <c r="P28" i="43"/>
  <c r="B66" i="40" s="1"/>
  <c r="P25" i="43"/>
  <c r="P29" i="43"/>
  <c r="P27" i="43"/>
  <c r="B70" i="39" s="1"/>
  <c r="C49" i="15"/>
  <c r="J18" i="15"/>
  <c r="M11" i="67"/>
  <c r="J10" i="67" s="1"/>
  <c r="F11" i="15"/>
  <c r="M11" i="15"/>
  <c r="J10" i="15" s="1"/>
  <c r="J5" i="15" s="1"/>
  <c r="J24" i="15" s="1"/>
  <c r="F11" i="67"/>
  <c r="Q74" i="15"/>
  <c r="Q61" i="15"/>
  <c r="AE11" i="1"/>
  <c r="AE9" i="1"/>
  <c r="AE12" i="1"/>
  <c r="AE10" i="1"/>
  <c r="G1" i="73"/>
  <c r="C16" i="67"/>
  <c r="AE7" i="1"/>
  <c r="C16" i="97"/>
  <c r="C49" i="67" l="1"/>
  <c r="Q74" i="67"/>
  <c r="J5" i="67"/>
  <c r="J24" i="67" s="1"/>
  <c r="J18" i="67"/>
  <c r="E16" i="6"/>
  <c r="E56" i="40"/>
  <c r="M14" i="1"/>
  <c r="J5" i="97"/>
  <c r="J24" i="97" s="1"/>
  <c r="J19" i="97"/>
  <c r="C32" i="97"/>
  <c r="C49" i="97"/>
  <c r="C61" i="97" s="1"/>
  <c r="D26" i="98"/>
  <c r="C25" i="98" s="1"/>
  <c r="C33" i="98" s="1"/>
  <c r="I119" i="98"/>
  <c r="J119" i="98" s="1"/>
  <c r="K119" i="98" s="1"/>
  <c r="L119" i="98" s="1"/>
  <c r="M119" i="98" s="1"/>
  <c r="D120" i="98"/>
  <c r="E120" i="98" s="1"/>
  <c r="F120" i="98" s="1"/>
  <c r="G120" i="98" s="1"/>
  <c r="H120" i="98" s="1"/>
  <c r="B120" i="98"/>
  <c r="C120" i="98" s="1"/>
  <c r="B119" i="98"/>
  <c r="C119" i="98" s="1"/>
  <c r="I121" i="98"/>
  <c r="J121" i="98" s="1"/>
  <c r="K121" i="98" s="1"/>
  <c r="L121" i="98" s="1"/>
  <c r="M121" i="98" s="1"/>
  <c r="D122" i="98"/>
  <c r="E122" i="98" s="1"/>
  <c r="F122" i="98" s="1"/>
  <c r="G122" i="98" s="1"/>
  <c r="H122" i="98" s="1"/>
  <c r="D118" i="98"/>
  <c r="E118" i="98" s="1"/>
  <c r="F118" i="98" s="1"/>
  <c r="G118" i="98" s="1"/>
  <c r="H118" i="98" s="1"/>
  <c r="B122" i="98"/>
  <c r="C122" i="98" s="1"/>
  <c r="D121" i="98"/>
  <c r="E121" i="98" s="1"/>
  <c r="F121" i="98" s="1"/>
  <c r="B118" i="98"/>
  <c r="I122" i="98"/>
  <c r="J122" i="98" s="1"/>
  <c r="K122" i="98" s="1"/>
  <c r="L122" i="98" s="1"/>
  <c r="M122" i="98" s="1"/>
  <c r="I118" i="98"/>
  <c r="J118" i="98" s="1"/>
  <c r="K118" i="98" s="1"/>
  <c r="L118" i="98" s="1"/>
  <c r="M118" i="98" s="1"/>
  <c r="D119" i="98"/>
  <c r="E119" i="98" s="1"/>
  <c r="F119" i="98" s="1"/>
  <c r="G119" i="98" s="1"/>
  <c r="H119" i="98" s="1"/>
  <c r="B121" i="98"/>
  <c r="C121" i="98" s="1"/>
  <c r="I120" i="98"/>
  <c r="J120" i="98" s="1"/>
  <c r="K120" i="98" s="1"/>
  <c r="L120" i="98" s="1"/>
  <c r="M120" i="98" s="1"/>
  <c r="G121" i="98"/>
  <c r="H121" i="98" s="1"/>
  <c r="Q61" i="97"/>
  <c r="Q74" i="97"/>
  <c r="Q66" i="97"/>
  <c r="Q57" i="97"/>
  <c r="Q74" i="94"/>
  <c r="Q61" i="94"/>
  <c r="C41" i="93"/>
  <c r="C42" i="93"/>
  <c r="F1" i="97"/>
  <c r="Q52" i="97"/>
  <c r="T9" i="93"/>
  <c r="V9" i="93" s="1"/>
  <c r="C37" i="93"/>
  <c r="T2" i="93"/>
  <c r="V2" i="93" s="1"/>
  <c r="C40" i="93"/>
  <c r="G40" i="93" s="1"/>
  <c r="I40" i="93" s="1"/>
  <c r="C38" i="98"/>
  <c r="T3" i="98"/>
  <c r="V3" i="98" s="1"/>
  <c r="T12" i="98"/>
  <c r="V12" i="98" s="1"/>
  <c r="T4" i="98"/>
  <c r="V4" i="98" s="1"/>
  <c r="C40" i="98"/>
  <c r="T16" i="98"/>
  <c r="V16" i="98" s="1"/>
  <c r="T11" i="98"/>
  <c r="V11" i="98" s="1"/>
  <c r="T5" i="98"/>
  <c r="V5" i="98" s="1"/>
  <c r="T8" i="98"/>
  <c r="V8" i="98" s="1"/>
  <c r="C37" i="98"/>
  <c r="T2" i="98"/>
  <c r="V2" i="98" s="1"/>
  <c r="T9" i="98"/>
  <c r="V9" i="98" s="1"/>
  <c r="C41" i="98"/>
  <c r="T10" i="98"/>
  <c r="V10" i="98" s="1"/>
  <c r="T13" i="98"/>
  <c r="V13" i="98" s="1"/>
  <c r="T6" i="98"/>
  <c r="V6" i="98" s="1"/>
  <c r="T14" i="98"/>
  <c r="V14" i="98" s="1"/>
  <c r="C39" i="98"/>
  <c r="T15" i="98"/>
  <c r="V15" i="98" s="1"/>
  <c r="T7" i="98"/>
  <c r="V7" i="98" s="1"/>
  <c r="C42" i="98"/>
  <c r="S7" i="36"/>
  <c r="F67" i="39"/>
  <c r="T7" i="93"/>
  <c r="V7" i="93" s="1"/>
  <c r="T5" i="93"/>
  <c r="V5" i="93" s="1"/>
  <c r="T14" i="93"/>
  <c r="V14" i="93" s="1"/>
  <c r="T8" i="93"/>
  <c r="V8" i="93" s="1"/>
  <c r="T6" i="93"/>
  <c r="V6" i="93" s="1"/>
  <c r="Q73" i="97"/>
  <c r="Q60" i="97"/>
  <c r="C53" i="97"/>
  <c r="C10" i="97"/>
  <c r="C5" i="97" s="1"/>
  <c r="G37" i="93"/>
  <c r="I37" i="93" s="1"/>
  <c r="E37" i="93"/>
  <c r="G38" i="93"/>
  <c r="I38" i="93" s="1"/>
  <c r="E38" i="93"/>
  <c r="G39" i="93"/>
  <c r="I39" i="93" s="1"/>
  <c r="E39" i="93"/>
  <c r="Z7" i="43"/>
  <c r="N370" i="46"/>
  <c r="B116" i="43"/>
  <c r="D119" i="43" s="1"/>
  <c r="E119" i="43" s="1"/>
  <c r="F119" i="43" s="1"/>
  <c r="G119" i="43" s="1"/>
  <c r="H119" i="43" s="1"/>
  <c r="J26" i="43"/>
  <c r="F26" i="43"/>
  <c r="E26" i="43"/>
  <c r="N94" i="46"/>
  <c r="H26" i="43"/>
  <c r="B116" i="93"/>
  <c r="G26" i="93"/>
  <c r="Z7" i="93"/>
  <c r="H26" i="93"/>
  <c r="J26" i="93"/>
  <c r="E26" i="93"/>
  <c r="F26" i="93"/>
  <c r="J26" i="94"/>
  <c r="J24" i="94"/>
  <c r="C53" i="94"/>
  <c r="C48" i="94" s="1"/>
  <c r="C10" i="94"/>
  <c r="C5" i="94" s="1"/>
  <c r="Q60" i="67"/>
  <c r="F1" i="67"/>
  <c r="Q52" i="15"/>
  <c r="Q60" i="15"/>
  <c r="F1" i="15"/>
  <c r="F27" i="11"/>
  <c r="C29" i="11" s="1"/>
  <c r="D27" i="11" s="1"/>
  <c r="E139" i="3"/>
  <c r="E483" i="3"/>
  <c r="H10" i="40"/>
  <c r="AB10" i="40" s="1"/>
  <c r="E369" i="3"/>
  <c r="E311" i="3"/>
  <c r="E350" i="3"/>
  <c r="E527" i="3"/>
  <c r="E164" i="3"/>
  <c r="E307" i="3"/>
  <c r="E119" i="3"/>
  <c r="E74" i="3"/>
  <c r="E384" i="3"/>
  <c r="V6" i="3"/>
  <c r="E338" i="3"/>
  <c r="E309" i="3"/>
  <c r="E142" i="3"/>
  <c r="E240" i="3"/>
  <c r="E182" i="3"/>
  <c r="E561" i="3"/>
  <c r="E578" i="3"/>
  <c r="E424" i="3"/>
  <c r="E340" i="3"/>
  <c r="AY6" i="3"/>
  <c r="AY360" i="3" s="1"/>
  <c r="E135" i="3"/>
  <c r="E472" i="3"/>
  <c r="E271" i="3"/>
  <c r="E30" i="3"/>
  <c r="U6" i="3"/>
  <c r="E131" i="3"/>
  <c r="E275" i="3"/>
  <c r="E246" i="3"/>
  <c r="E189" i="3"/>
  <c r="E268" i="3"/>
  <c r="E485" i="3"/>
  <c r="E146" i="3"/>
  <c r="E181" i="3"/>
  <c r="E528" i="3"/>
  <c r="E388" i="3"/>
  <c r="AS6" i="3"/>
  <c r="E150" i="3"/>
  <c r="E314" i="3"/>
  <c r="E395" i="3"/>
  <c r="E516" i="3"/>
  <c r="E444" i="3"/>
  <c r="E256" i="3"/>
  <c r="E353" i="3"/>
  <c r="E53" i="3"/>
  <c r="W6" i="3"/>
  <c r="E297" i="3"/>
  <c r="E49" i="3"/>
  <c r="E378" i="3"/>
  <c r="E248" i="3"/>
  <c r="E94" i="3"/>
  <c r="E219" i="3"/>
  <c r="E132" i="3"/>
  <c r="E263" i="3"/>
  <c r="M6" i="3"/>
  <c r="E377" i="3"/>
  <c r="E89" i="3"/>
  <c r="E468" i="3"/>
  <c r="E347" i="3"/>
  <c r="E216" i="3"/>
  <c r="E343" i="3"/>
  <c r="E414" i="3"/>
  <c r="E433" i="3"/>
  <c r="E253" i="3"/>
  <c r="E130" i="3"/>
  <c r="E282" i="3"/>
  <c r="E443" i="3"/>
  <c r="E55" i="3"/>
  <c r="E302" i="3"/>
  <c r="E92" i="3"/>
  <c r="E224" i="3"/>
  <c r="E446" i="3"/>
  <c r="F10" i="39"/>
  <c r="S10" i="39" s="1"/>
  <c r="J10" i="40"/>
  <c r="AC10" i="40" s="1"/>
  <c r="E235" i="3"/>
  <c r="E543" i="3"/>
  <c r="E460" i="3"/>
  <c r="E584" i="3"/>
  <c r="E127" i="3"/>
  <c r="E537" i="3"/>
  <c r="E411" i="3"/>
  <c r="E319" i="3"/>
  <c r="E321" i="3"/>
  <c r="E280"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E423" i="3"/>
  <c r="E100" i="3"/>
  <c r="E296" i="3"/>
  <c r="E487" i="3"/>
  <c r="E118" i="3"/>
  <c r="E442" i="3"/>
  <c r="E173" i="3"/>
  <c r="E108" i="3"/>
  <c r="E500" i="3"/>
  <c r="AD6" i="3"/>
  <c r="E157" i="3"/>
  <c r="E357" i="3"/>
  <c r="E71" i="3"/>
  <c r="E359" i="3"/>
  <c r="E17" i="3"/>
  <c r="E120" i="3"/>
  <c r="E496" i="3"/>
  <c r="E32" i="3"/>
  <c r="P6" i="3"/>
  <c r="E166" i="3"/>
  <c r="E553" i="3"/>
  <c r="E151" i="3"/>
  <c r="E230" i="3"/>
  <c r="E290" i="3"/>
  <c r="E583" i="3"/>
  <c r="E193" i="3"/>
  <c r="E450" i="3"/>
  <c r="E31" i="3"/>
  <c r="E478" i="3"/>
  <c r="E162" i="3"/>
  <c r="E530" i="3"/>
  <c r="E143" i="3"/>
  <c r="E231" i="3"/>
  <c r="E180" i="3"/>
  <c r="E399" i="3"/>
  <c r="E277" i="3"/>
  <c r="E577" i="3"/>
  <c r="AO6" i="3"/>
  <c r="E70" i="3"/>
  <c r="E526" i="3"/>
  <c r="E201" i="3"/>
  <c r="E215" i="3"/>
  <c r="E161" i="3"/>
  <c r="AI6" i="3"/>
  <c r="E148" i="3"/>
  <c r="E242" i="3"/>
  <c r="X6" i="3"/>
  <c r="E563" i="3"/>
  <c r="E509" i="3"/>
  <c r="E557" i="3"/>
  <c r="E362" i="3"/>
  <c r="E133" i="3"/>
  <c r="E91" i="3"/>
  <c r="E270" i="3"/>
  <c r="E186" i="3"/>
  <c r="E567" i="3"/>
  <c r="E519" i="3"/>
  <c r="E61" i="3"/>
  <c r="E358" i="3"/>
  <c r="E295" i="3"/>
  <c r="I6" i="3"/>
  <c r="E177" i="3"/>
  <c r="E285" i="3"/>
  <c r="E14" i="3"/>
  <c r="E87" i="3"/>
  <c r="E38" i="3"/>
  <c r="E310" i="3"/>
  <c r="E389" i="3"/>
  <c r="E67" i="3"/>
  <c r="E198" i="3"/>
  <c r="E34" i="3"/>
  <c r="E405" i="3"/>
  <c r="E115" i="3"/>
  <c r="E158" i="3"/>
  <c r="E422" i="3"/>
  <c r="E276" i="3"/>
  <c r="E234" i="3"/>
  <c r="E62" i="3"/>
  <c r="E58" i="3"/>
  <c r="E484" i="3"/>
  <c r="E233" i="3"/>
  <c r="AL6" i="3"/>
  <c r="E102" i="3"/>
  <c r="E408" i="3"/>
  <c r="E428" i="3"/>
  <c r="E16" i="3"/>
  <c r="AH6" i="3"/>
  <c r="L6" i="3"/>
  <c r="E392" i="3"/>
  <c r="E365" i="3"/>
  <c r="E24" i="3"/>
  <c r="E48" i="3"/>
  <c r="E374" i="3"/>
  <c r="E413" i="3"/>
  <c r="E461" i="3"/>
  <c r="E529" i="3"/>
  <c r="E54" i="3"/>
  <c r="E196" i="3"/>
  <c r="E367" i="3"/>
  <c r="E291" i="3"/>
  <c r="E426" i="3"/>
  <c r="S6" i="3"/>
  <c r="E237" i="3"/>
  <c r="E159" i="3"/>
  <c r="E238"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536" i="3"/>
  <c r="E160" i="3"/>
  <c r="E63" i="3"/>
  <c r="E18" i="3"/>
  <c r="E22" i="3"/>
  <c r="E497" i="3"/>
  <c r="E220" i="3"/>
  <c r="E105" i="3"/>
  <c r="E401" i="3"/>
  <c r="E473" i="3"/>
  <c r="E112" i="3"/>
  <c r="E141" i="3"/>
  <c r="E244" i="3"/>
  <c r="E149" i="3"/>
  <c r="E163" i="3"/>
  <c r="E187" i="3"/>
  <c r="E136" i="3"/>
  <c r="E474" i="3"/>
  <c r="E168" i="3"/>
  <c r="E207" i="3"/>
  <c r="E547" i="3"/>
  <c r="E317" i="3"/>
  <c r="E328" i="3"/>
  <c r="E523" i="3"/>
  <c r="E304" i="3"/>
  <c r="E303" i="3"/>
  <c r="E434"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F10" i="40"/>
  <c r="S10" i="40" s="1"/>
  <c r="H10" i="39"/>
  <c r="U10" i="39" s="1"/>
  <c r="F28" i="12"/>
  <c r="C29" i="12" s="1"/>
  <c r="D28" i="12" s="1"/>
  <c r="F45" i="69"/>
  <c r="C29" i="69"/>
  <c r="D27" i="69" s="1"/>
  <c r="E3" i="6"/>
  <c r="E212" i="3"/>
  <c r="E286" i="3"/>
  <c r="E430" i="3"/>
  <c r="E491" i="3"/>
  <c r="E258" i="3"/>
  <c r="E544" i="3"/>
  <c r="E467" i="3"/>
  <c r="E267"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539" i="3"/>
  <c r="E502" i="3"/>
  <c r="AP6" i="3"/>
  <c r="E37" i="3"/>
  <c r="E349" i="3"/>
  <c r="E409" i="3"/>
  <c r="E46"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95" i="3"/>
  <c r="E554" i="3"/>
  <c r="C48" i="11"/>
  <c r="C30" i="11"/>
  <c r="C32" i="67"/>
  <c r="F48" i="68"/>
  <c r="C30" i="68"/>
  <c r="C48" i="68"/>
  <c r="F48" i="69"/>
  <c r="C48" i="69"/>
  <c r="C30" i="69"/>
  <c r="R36" i="36"/>
  <c r="E300" i="3"/>
  <c r="E103" i="3"/>
  <c r="E425" i="3"/>
  <c r="E76" i="3"/>
  <c r="E363" i="3"/>
  <c r="E192" i="3"/>
  <c r="E56" i="3"/>
  <c r="E435" i="3"/>
  <c r="I3" i="6"/>
  <c r="E541" i="3"/>
  <c r="R6" i="3"/>
  <c r="E199" i="3"/>
  <c r="E510" i="3"/>
  <c r="E292" i="3"/>
  <c r="E152" i="3"/>
  <c r="E479" i="3"/>
  <c r="E517" i="3"/>
  <c r="E255" i="3"/>
  <c r="E466" i="3"/>
  <c r="E499" i="3"/>
  <c r="T52" i="71"/>
  <c r="D52" i="71"/>
  <c r="D36" i="71"/>
  <c r="T36" i="71"/>
  <c r="D44" i="71"/>
  <c r="T44" i="71"/>
  <c r="D56" i="71"/>
  <c r="T56" i="71"/>
  <c r="B40" i="1"/>
  <c r="L36" i="98"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E6" i="6"/>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8" i="1"/>
  <c r="F27" i="68"/>
  <c r="AE6" i="1"/>
  <c r="M27" i="15"/>
  <c r="C17" i="97"/>
  <c r="M27" i="94"/>
  <c r="M27" i="67"/>
  <c r="C48" i="67" l="1"/>
  <c r="C66" i="67" s="1"/>
  <c r="D37" i="11"/>
  <c r="B14" i="74"/>
  <c r="I119" i="43"/>
  <c r="J119" i="43" s="1"/>
  <c r="K119" i="43" s="1"/>
  <c r="L119" i="43" s="1"/>
  <c r="M119" i="43" s="1"/>
  <c r="I122" i="43"/>
  <c r="J122" i="43" s="1"/>
  <c r="K122" i="43" s="1"/>
  <c r="L122" i="43" s="1"/>
  <c r="M122" i="43" s="1"/>
  <c r="J26" i="97"/>
  <c r="C48" i="97"/>
  <c r="C60" i="97" s="1"/>
  <c r="AA10" i="39"/>
  <c r="C47" i="68"/>
  <c r="D45" i="68" s="1"/>
  <c r="E40" i="93"/>
  <c r="D3" i="21"/>
  <c r="D118" i="43"/>
  <c r="E118" i="43" s="1"/>
  <c r="F118" i="43" s="1"/>
  <c r="G118" i="43" s="1"/>
  <c r="H118" i="43" s="1"/>
  <c r="I120" i="43"/>
  <c r="J120" i="43" s="1"/>
  <c r="K120" i="43" s="1"/>
  <c r="L120" i="43" s="1"/>
  <c r="M120" i="43" s="1"/>
  <c r="D122" i="43"/>
  <c r="E122" i="43" s="1"/>
  <c r="F122" i="43" s="1"/>
  <c r="G122" i="43" s="1"/>
  <c r="H122" i="43" s="1"/>
  <c r="G121" i="43"/>
  <c r="H121" i="43" s="1"/>
  <c r="I118" i="43"/>
  <c r="J118" i="43" s="1"/>
  <c r="K118" i="43" s="1"/>
  <c r="L118" i="43" s="1"/>
  <c r="M118" i="43" s="1"/>
  <c r="I121" i="43"/>
  <c r="J121" i="43" s="1"/>
  <c r="K121" i="43" s="1"/>
  <c r="L121" i="43" s="1"/>
  <c r="M121" i="43" s="1"/>
  <c r="AY337" i="3"/>
  <c r="C118" i="98"/>
  <c r="D116" i="98" s="1"/>
  <c r="G42" i="98"/>
  <c r="I42" i="98" s="1"/>
  <c r="E42" i="98"/>
  <c r="G41" i="98"/>
  <c r="I41" i="98" s="1"/>
  <c r="E41" i="98"/>
  <c r="E40" i="98"/>
  <c r="G40" i="98"/>
  <c r="I40" i="98" s="1"/>
  <c r="G38" i="98"/>
  <c r="I38" i="98" s="1"/>
  <c r="E38" i="98"/>
  <c r="E42" i="93"/>
  <c r="G42" i="93"/>
  <c r="I42" i="93" s="1"/>
  <c r="C34" i="98"/>
  <c r="E34" i="98" s="1"/>
  <c r="E33" i="98"/>
  <c r="G41" i="93"/>
  <c r="I41" i="93" s="1"/>
  <c r="E41" i="93"/>
  <c r="E39" i="98"/>
  <c r="G39" i="98"/>
  <c r="I39" i="98" s="1"/>
  <c r="G37" i="98"/>
  <c r="I37" i="98" s="1"/>
  <c r="E37" i="98"/>
  <c r="B122" i="43"/>
  <c r="C122" i="43" s="1"/>
  <c r="B121" i="43"/>
  <c r="C121" i="43" s="1"/>
  <c r="B120" i="43"/>
  <c r="C120" i="43" s="1"/>
  <c r="B119" i="43"/>
  <c r="C119" i="43" s="1"/>
  <c r="E8" i="70"/>
  <c r="B118" i="43"/>
  <c r="C118" i="43" s="1"/>
  <c r="D121" i="43"/>
  <c r="E121" i="43" s="1"/>
  <c r="F121" i="43" s="1"/>
  <c r="D120" i="43"/>
  <c r="E120" i="43" s="1"/>
  <c r="F120" i="43" s="1"/>
  <c r="G120" i="43" s="1"/>
  <c r="H120" i="43" s="1"/>
  <c r="N36" i="98"/>
  <c r="M36" i="98"/>
  <c r="Q36" i="98"/>
  <c r="P36" i="98"/>
  <c r="L37" i="98"/>
  <c r="O36" i="98"/>
  <c r="C38" i="97"/>
  <c r="F24" i="94"/>
  <c r="C24" i="94" s="1"/>
  <c r="F24" i="97"/>
  <c r="AY364" i="3"/>
  <c r="BN6" i="3"/>
  <c r="AY218" i="3"/>
  <c r="AY322" i="3"/>
  <c r="AY400" i="3"/>
  <c r="AY448" i="3"/>
  <c r="D26" i="43"/>
  <c r="C25" i="43" s="1"/>
  <c r="C33" i="43" s="1"/>
  <c r="E33" i="43" s="1"/>
  <c r="W10" i="40"/>
  <c r="AY547" i="3"/>
  <c r="AY440" i="3"/>
  <c r="AY558" i="3"/>
  <c r="C47" i="11"/>
  <c r="D45" i="11" s="1"/>
  <c r="AA10" i="40"/>
  <c r="AY493" i="3"/>
  <c r="AY530" i="3"/>
  <c r="AY578" i="3"/>
  <c r="D3" i="33"/>
  <c r="C17" i="4"/>
  <c r="B4" i="52" s="1"/>
  <c r="B43" i="72" s="1"/>
  <c r="D26" i="93"/>
  <c r="C25" i="93" s="1"/>
  <c r="D3" i="34"/>
  <c r="M18" i="9"/>
  <c r="B118" i="9" s="1"/>
  <c r="I122" i="93"/>
  <c r="J122" i="93" s="1"/>
  <c r="K122" i="93" s="1"/>
  <c r="L122" i="93" s="1"/>
  <c r="M122" i="93" s="1"/>
  <c r="I118" i="93"/>
  <c r="J118" i="93" s="1"/>
  <c r="K118" i="93" s="1"/>
  <c r="L118" i="93" s="1"/>
  <c r="M118" i="93" s="1"/>
  <c r="D119" i="93"/>
  <c r="E119" i="93" s="1"/>
  <c r="F119" i="93" s="1"/>
  <c r="G119" i="93" s="1"/>
  <c r="H119" i="93" s="1"/>
  <c r="B121" i="93"/>
  <c r="C121" i="93" s="1"/>
  <c r="I119" i="93"/>
  <c r="J119" i="93" s="1"/>
  <c r="K119" i="93" s="1"/>
  <c r="L119" i="93" s="1"/>
  <c r="M119" i="93" s="1"/>
  <c r="D120" i="93"/>
  <c r="E120" i="93" s="1"/>
  <c r="F120" i="93" s="1"/>
  <c r="G120" i="93" s="1"/>
  <c r="H120" i="93" s="1"/>
  <c r="B118" i="93"/>
  <c r="I121" i="93"/>
  <c r="J121" i="93" s="1"/>
  <c r="K121" i="93" s="1"/>
  <c r="L121" i="93" s="1"/>
  <c r="M121" i="93" s="1"/>
  <c r="D122" i="93"/>
  <c r="E122" i="93" s="1"/>
  <c r="F122" i="93" s="1"/>
  <c r="G122" i="93" s="1"/>
  <c r="H122" i="93" s="1"/>
  <c r="D118" i="93"/>
  <c r="E118" i="93" s="1"/>
  <c r="F118" i="93" s="1"/>
  <c r="G118" i="93" s="1"/>
  <c r="H118" i="93" s="1"/>
  <c r="B120" i="93"/>
  <c r="C120" i="93" s="1"/>
  <c r="D121" i="93"/>
  <c r="E121" i="93" s="1"/>
  <c r="F121" i="93" s="1"/>
  <c r="G121" i="93"/>
  <c r="H121" i="93" s="1"/>
  <c r="B119" i="93"/>
  <c r="C119" i="93" s="1"/>
  <c r="B122" i="93"/>
  <c r="C122" i="93" s="1"/>
  <c r="I120" i="93"/>
  <c r="J120" i="93" s="1"/>
  <c r="K120" i="93" s="1"/>
  <c r="L120" i="93" s="1"/>
  <c r="M120" i="93" s="1"/>
  <c r="C66" i="94"/>
  <c r="C60" i="94"/>
  <c r="C38" i="94"/>
  <c r="L36" i="43"/>
  <c r="L37" i="43" s="1"/>
  <c r="O37" i="43" s="1"/>
  <c r="L36" i="93"/>
  <c r="L18" i="9"/>
  <c r="D14" i="12"/>
  <c r="D17" i="12" s="1"/>
  <c r="C17" i="12" s="1"/>
  <c r="AB10" i="39"/>
  <c r="D3" i="37"/>
  <c r="D19" i="11"/>
  <c r="C19" i="11" s="1"/>
  <c r="C20" i="11" s="1"/>
  <c r="C28" i="11" s="1"/>
  <c r="C27" i="11" s="1"/>
  <c r="AY408" i="3"/>
  <c r="AY396" i="3"/>
  <c r="AY330" i="3"/>
  <c r="AY298" i="3"/>
  <c r="AY524" i="3"/>
  <c r="AY387" i="3"/>
  <c r="AY415" i="3"/>
  <c r="AY120" i="3"/>
  <c r="AY450" i="3"/>
  <c r="AY128" i="3"/>
  <c r="AY249" i="3"/>
  <c r="AY439" i="3"/>
  <c r="AY65" i="3"/>
  <c r="AY188" i="3"/>
  <c r="AY549" i="3"/>
  <c r="AY295" i="3"/>
  <c r="AY562" i="3"/>
  <c r="AY31" i="3"/>
  <c r="AY419"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335" i="3"/>
  <c r="AY475" i="3"/>
  <c r="AY302" i="3"/>
  <c r="AY478" i="3"/>
  <c r="AY543" i="3"/>
  <c r="AY158" i="3"/>
  <c r="AY234" i="3"/>
  <c r="AY344" i="3"/>
  <c r="AY458" i="3"/>
  <c r="AY506" i="3"/>
  <c r="AY63" i="3"/>
  <c r="AY135" i="3"/>
  <c r="AY378" i="3"/>
  <c r="AY456" i="3"/>
  <c r="BL6" i="3"/>
  <c r="AY184" i="3"/>
  <c r="AY338" i="3"/>
  <c r="BD6" i="3"/>
  <c r="AY142" i="3"/>
  <c r="AY336" i="3"/>
  <c r="AY17" i="3"/>
  <c r="AY383" i="3"/>
  <c r="AY576" i="3"/>
  <c r="AY272" i="3"/>
  <c r="AY15" i="3"/>
  <c r="AY267" i="3"/>
  <c r="AY515" i="3"/>
  <c r="AY172" i="3"/>
  <c r="AY485" i="3"/>
  <c r="AY54" i="3"/>
  <c r="AY351" i="3"/>
  <c r="AY209" i="3"/>
  <c r="AY283" i="3"/>
  <c r="AY534" i="3"/>
  <c r="AY279" i="3"/>
  <c r="AY173" i="3"/>
  <c r="AY582" i="3"/>
  <c r="AY137" i="3"/>
  <c r="AY380" i="3"/>
  <c r="AY312" i="3"/>
  <c r="AY14" i="3"/>
  <c r="AY570" i="3"/>
  <c r="AY46" i="3"/>
  <c r="AY285" i="3"/>
  <c r="AY362" i="3"/>
  <c r="AY91" i="3"/>
  <c r="AY148" i="3"/>
  <c r="AY224" i="3"/>
  <c r="AY44" i="3"/>
  <c r="AY542" i="3"/>
  <c r="AY241" i="3"/>
  <c r="AY47" i="3"/>
  <c r="AY476" i="3"/>
  <c r="AY426" i="3"/>
  <c r="AY437" i="3"/>
  <c r="AY490" i="3"/>
  <c r="AY477" i="3"/>
  <c r="AY545" i="3"/>
  <c r="AY375" i="3"/>
  <c r="AY575" i="3"/>
  <c r="AY391" i="3"/>
  <c r="AY346" i="3"/>
  <c r="AY287" i="3"/>
  <c r="AY293" i="3"/>
  <c r="AY248" i="3"/>
  <c r="AY21" i="3"/>
  <c r="AY195" i="3"/>
  <c r="AY586" i="3"/>
  <c r="AY164" i="3"/>
  <c r="AY301" i="3"/>
  <c r="AY434" i="3"/>
  <c r="AY567" i="3"/>
  <c r="AY39" i="3"/>
  <c r="AY203" i="3"/>
  <c r="AY492" i="3"/>
  <c r="AY511" i="3"/>
  <c r="AY55" i="3"/>
  <c r="AY192" i="3"/>
  <c r="AY471" i="3"/>
  <c r="AY29" i="3"/>
  <c r="AY260"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80" i="3"/>
  <c r="AY507" i="3"/>
  <c r="AY20" i="3"/>
  <c r="AY212" i="3"/>
  <c r="AY49" i="3"/>
  <c r="AY435" i="3"/>
  <c r="AY40" i="3"/>
  <c r="AY146" i="3"/>
  <c r="AY481" i="3"/>
  <c r="AY90" i="3"/>
  <c r="BQ6" i="3"/>
  <c r="AY348" i="3"/>
  <c r="AY166" i="3"/>
  <c r="AY397" i="3"/>
  <c r="AY133" i="3"/>
  <c r="AY61" i="3"/>
  <c r="AY420" i="3"/>
  <c r="AY26" i="3"/>
  <c r="AY261" i="3"/>
  <c r="AY225" i="3"/>
  <c r="AY115" i="3"/>
  <c r="AY48" i="3"/>
  <c r="AY101" i="3"/>
  <c r="AY494" i="3"/>
  <c r="AY520" i="3"/>
  <c r="AY341" i="3"/>
  <c r="AY227" i="3"/>
  <c r="AY100" i="3"/>
  <c r="AY497" i="3"/>
  <c r="AY577" i="3"/>
  <c r="AY467" i="3"/>
  <c r="BS6" i="3"/>
  <c r="AY36" i="3"/>
  <c r="AY244" i="3"/>
  <c r="AY501" i="3"/>
  <c r="AY398" i="3"/>
  <c r="AY353" i="3"/>
  <c r="AY56" i="3"/>
  <c r="AY230" i="3"/>
  <c r="AY154" i="3"/>
  <c r="AY97" i="3"/>
  <c r="AY310" i="3"/>
  <c r="AY441" i="3"/>
  <c r="AY289" i="3"/>
  <c r="AY2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275" i="3"/>
  <c r="AY286" i="3"/>
  <c r="AY573" i="3"/>
  <c r="AY350" i="3"/>
  <c r="AY508" i="3"/>
  <c r="AY356" i="3"/>
  <c r="AY222" i="3"/>
  <c r="AY89" i="3"/>
  <c r="AY425" i="3"/>
  <c r="AY495" i="3"/>
  <c r="AY462" i="3"/>
  <c r="AY242" i="3"/>
  <c r="AY109" i="3"/>
  <c r="AY247" i="3"/>
  <c r="AY190" i="3"/>
  <c r="AY533" i="3"/>
  <c r="AY372" i="3"/>
  <c r="AY473" i="3"/>
  <c r="AY50" i="3"/>
  <c r="AY276" i="3"/>
  <c r="AY66" i="3"/>
  <c r="F45" i="68"/>
  <c r="U10" i="40"/>
  <c r="F25" i="12"/>
  <c r="C26" i="12" s="1"/>
  <c r="D25" i="12" s="1"/>
  <c r="C29" i="68"/>
  <c r="D27" i="68" s="1"/>
  <c r="AC6" i="3"/>
  <c r="H6" i="3"/>
  <c r="F22" i="68"/>
  <c r="C44" i="68" s="1"/>
  <c r="D41" i="68" s="1"/>
  <c r="F22" i="11"/>
  <c r="C23" i="11" s="1"/>
  <c r="F24" i="67"/>
  <c r="C24" i="67" s="1"/>
  <c r="F24" i="15"/>
  <c r="C24" i="15" s="1"/>
  <c r="F22" i="69"/>
  <c r="F41" i="69" s="1"/>
  <c r="E49" i="34"/>
  <c r="C17" i="71"/>
  <c r="D18" i="71"/>
  <c r="M21" i="6"/>
  <c r="I21" i="6" s="1"/>
  <c r="S21" i="6" s="1"/>
  <c r="E6" i="70"/>
  <c r="C34" i="43"/>
  <c r="E34" i="43"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67"/>
  <c r="F41" i="94"/>
  <c r="C17" i="94"/>
  <c r="F41" i="97"/>
  <c r="C14" i="97"/>
  <c r="C17" i="67"/>
  <c r="F41" i="15"/>
  <c r="C14" i="67"/>
  <c r="C17" i="15"/>
  <c r="C60" i="67" l="1"/>
  <c r="D22" i="6"/>
  <c r="C14" i="74"/>
  <c r="C66" i="97"/>
  <c r="F69" i="15"/>
  <c r="F69" i="67"/>
  <c r="C31" i="98"/>
  <c r="C30" i="98"/>
  <c r="C18" i="97"/>
  <c r="C15" i="97"/>
  <c r="D116" i="43"/>
  <c r="J29" i="97"/>
  <c r="F69" i="97"/>
  <c r="N37" i="98"/>
  <c r="P37" i="98"/>
  <c r="O37" i="98"/>
  <c r="M37" i="98"/>
  <c r="Q37" i="98"/>
  <c r="C24" i="97"/>
  <c r="D20" i="6"/>
  <c r="D11" i="6"/>
  <c r="L19" i="9"/>
  <c r="E7" i="70"/>
  <c r="C118" i="93"/>
  <c r="D116" i="93" s="1"/>
  <c r="C33" i="93"/>
  <c r="F69" i="94"/>
  <c r="J29" i="94"/>
  <c r="P36" i="43"/>
  <c r="M37" i="43"/>
  <c r="P37" i="43"/>
  <c r="M36" i="43"/>
  <c r="O36" i="43"/>
  <c r="N37" i="43"/>
  <c r="Q37" i="43"/>
  <c r="Q36" i="43"/>
  <c r="N36" i="43"/>
  <c r="N36" i="93"/>
  <c r="Q36" i="93"/>
  <c r="P36" i="93"/>
  <c r="L37" i="93"/>
  <c r="O36" i="93"/>
  <c r="M36" i="93"/>
  <c r="C18" i="4"/>
  <c r="A7" i="51" s="1"/>
  <c r="B7" i="72" s="1"/>
  <c r="D15" i="6"/>
  <c r="H26" i="6"/>
  <c r="D14" i="6"/>
  <c r="D19" i="6"/>
  <c r="D25" i="6"/>
  <c r="D28" i="6"/>
  <c r="D5" i="6"/>
  <c r="H21" i="6"/>
  <c r="D9" i="6"/>
  <c r="D26" i="6"/>
  <c r="D21" i="6"/>
  <c r="E61" i="40"/>
  <c r="D12" i="6"/>
  <c r="D10" i="6"/>
  <c r="D8" i="6"/>
  <c r="D24" i="6"/>
  <c r="D13" i="6"/>
  <c r="D23" i="6"/>
  <c r="D29" i="6"/>
  <c r="D6" i="6"/>
  <c r="M19" i="9"/>
  <c r="C118" i="9" s="1"/>
  <c r="E6" i="3"/>
  <c r="H24" i="6"/>
  <c r="H22" i="6"/>
  <c r="R22" i="6" s="1"/>
  <c r="R9" i="1" s="1"/>
  <c r="C44" i="11"/>
  <c r="D41" i="11" s="1"/>
  <c r="H25" i="6"/>
  <c r="C26" i="11"/>
  <c r="D22" i="11" s="1"/>
  <c r="C26" i="68"/>
  <c r="D22" i="68" s="1"/>
  <c r="F41"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C10" i="69"/>
  <c r="C8" i="69" s="1"/>
  <c r="C5" i="69" s="1"/>
  <c r="D19" i="69"/>
  <c r="F50" i="69"/>
  <c r="F50" i="11"/>
  <c r="F50" i="68"/>
  <c r="A10" i="51"/>
  <c r="B9"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E8" i="76"/>
  <c r="C14" i="15"/>
  <c r="B6" i="76"/>
  <c r="C14" i="94"/>
  <c r="C4" i="52" l="1"/>
  <c r="B45" i="72" s="1"/>
  <c r="B2" i="98"/>
  <c r="C19" i="97"/>
  <c r="C20" i="97" s="1"/>
  <c r="D16" i="6"/>
  <c r="R25" i="6"/>
  <c r="R12" i="1" s="1"/>
  <c r="C18" i="94"/>
  <c r="C15" i="94"/>
  <c r="E33" i="93"/>
  <c r="C30" i="93" s="1"/>
  <c r="C34" i="93"/>
  <c r="E34" i="93" s="1"/>
  <c r="C31" i="93" s="1"/>
  <c r="R24" i="6"/>
  <c r="R11" i="1" s="1"/>
  <c r="R21" i="6"/>
  <c r="R8" i="1" s="1"/>
  <c r="N37" i="93"/>
  <c r="O37" i="93"/>
  <c r="M37" i="93"/>
  <c r="Q37" i="93"/>
  <c r="P37" i="93"/>
  <c r="D30" i="6"/>
  <c r="D27" i="6"/>
  <c r="R23" i="6"/>
  <c r="R10" i="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E7" i="76"/>
  <c r="B8" i="76"/>
  <c r="B3" i="98" l="1"/>
  <c r="C26" i="97"/>
  <c r="C23" i="97"/>
  <c r="C19" i="94"/>
  <c r="C20" i="94" s="1"/>
  <c r="C26" i="94" s="1"/>
  <c r="D31" i="6"/>
  <c r="I5" i="6" s="1"/>
  <c r="E2" i="76"/>
  <c r="B2" i="93"/>
  <c r="C14" i="7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7" i="76"/>
  <c r="C29" i="97" l="1"/>
  <c r="C57" i="97" s="1"/>
  <c r="C64" i="97" s="1"/>
  <c r="I6" i="6"/>
  <c r="C23" i="94"/>
  <c r="C29" i="94" s="1"/>
  <c r="J14" i="94" s="1"/>
  <c r="B2" i="76"/>
  <c r="B3" i="93"/>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94"/>
  <c r="F35" i="97"/>
  <c r="M21" i="94"/>
  <c r="M21" i="97"/>
  <c r="M21" i="15"/>
  <c r="M21" i="67"/>
  <c r="F35" i="67"/>
  <c r="F35" i="15"/>
  <c r="C13" i="97" l="1"/>
  <c r="Q70" i="97" s="1"/>
  <c r="J59" i="97"/>
  <c r="J60" i="97" s="1"/>
  <c r="L46" i="97" s="1"/>
  <c r="J14" i="97"/>
  <c r="J22" i="97" s="1"/>
  <c r="Q49" i="97"/>
  <c r="C36" i="97"/>
  <c r="C75" i="97"/>
  <c r="J20" i="97"/>
  <c r="J17" i="97" s="1"/>
  <c r="C34" i="97"/>
  <c r="C31" i="97" s="1"/>
  <c r="F63" i="97"/>
  <c r="C62" i="97" s="1"/>
  <c r="C59" i="97" s="1"/>
  <c r="J59" i="94"/>
  <c r="J60" i="94" s="1"/>
  <c r="Q48" i="94" s="1"/>
  <c r="C36" i="94"/>
  <c r="C13" i="94"/>
  <c r="C56" i="94" s="1"/>
  <c r="C65" i="94" s="1"/>
  <c r="Q49" i="94"/>
  <c r="C43" i="68"/>
  <c r="C41" i="68" s="1"/>
  <c r="C49" i="68" s="1"/>
  <c r="C51" i="68" s="1"/>
  <c r="C57" i="94"/>
  <c r="C64" i="94" s="1"/>
  <c r="J13" i="94"/>
  <c r="J23" i="94" s="1"/>
  <c r="J22" i="94"/>
  <c r="C6" i="68"/>
  <c r="C7" i="68" s="1"/>
  <c r="C5" i="68" s="1"/>
  <c r="B3" i="76"/>
  <c r="C94" i="9"/>
  <c r="C92" i="9"/>
  <c r="J20" i="94"/>
  <c r="J17" i="94" s="1"/>
  <c r="C34" i="94"/>
  <c r="C31" i="94" s="1"/>
  <c r="F63" i="94"/>
  <c r="C62" i="94" s="1"/>
  <c r="C59" i="94"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7" i="97" l="1"/>
  <c r="C56" i="97"/>
  <c r="C65" i="97" s="1"/>
  <c r="C58" i="97" s="1"/>
  <c r="C67" i="97" s="1"/>
  <c r="C68" i="97" s="1"/>
  <c r="C71" i="97" s="1"/>
  <c r="J13" i="97"/>
  <c r="J23" i="97" s="1"/>
  <c r="J16" i="97" s="1"/>
  <c r="J25" i="97" s="1"/>
  <c r="Q48" i="97"/>
  <c r="C37" i="94"/>
  <c r="C30" i="94" s="1"/>
  <c r="C39" i="94" s="1"/>
  <c r="C40" i="94" s="1"/>
  <c r="C30" i="97"/>
  <c r="C39" i="97" s="1"/>
  <c r="C80" i="97" s="1"/>
  <c r="C79" i="97" s="1"/>
  <c r="L46" i="94"/>
  <c r="Q70" i="94"/>
  <c r="C75" i="94"/>
  <c r="C58" i="94"/>
  <c r="C67" i="94" s="1"/>
  <c r="C68" i="94" s="1"/>
  <c r="C71" i="94" s="1"/>
  <c r="J16" i="94"/>
  <c r="J25" i="94" s="1"/>
  <c r="C23" i="68"/>
  <c r="C20"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7"/>
  <c r="D2" i="21"/>
  <c r="L51" i="94"/>
  <c r="Q69" i="97" l="1"/>
  <c r="Q68" i="97" s="1"/>
  <c r="C40" i="97"/>
  <c r="C43" i="97" s="1"/>
  <c r="Q67" i="97"/>
  <c r="C80" i="94"/>
  <c r="C79" i="94" s="1"/>
  <c r="Q69" i="94"/>
  <c r="Q68" i="94" s="1"/>
  <c r="C28" i="68"/>
  <c r="C27" i="68" s="1"/>
  <c r="C25" i="68"/>
  <c r="C22" i="68" s="1"/>
  <c r="Q67" i="94"/>
  <c r="Q47" i="94"/>
  <c r="Q53" i="94" s="1"/>
  <c r="B2" i="94"/>
  <c r="B3" i="94" s="1"/>
  <c r="Q56" i="94"/>
  <c r="Q62" i="94" s="1"/>
  <c r="C43" i="94"/>
  <c r="Q65" i="94"/>
  <c r="Q75" i="94" s="1"/>
  <c r="C83" i="94"/>
  <c r="C82" i="94" s="1"/>
  <c r="C46" i="94"/>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5" i="97" l="1"/>
  <c r="Q75" i="97" s="1"/>
  <c r="B2" i="97"/>
  <c r="B3" i="97" s="1"/>
  <c r="Q56" i="97"/>
  <c r="Q62" i="97" s="1"/>
  <c r="C83" i="97"/>
  <c r="C82" i="97" s="1"/>
  <c r="Q47" i="97"/>
  <c r="Q53" i="97" s="1"/>
  <c r="C46" i="97"/>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C19" i="9"/>
  <c r="D2" i="34"/>
  <c r="D2" i="36"/>
  <c r="C57" i="68" l="1"/>
  <c r="C56" i="68" s="1"/>
  <c r="C21" i="9"/>
  <c r="C10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B3" i="68"/>
  <c r="C20" i="9"/>
  <c r="AO9" i="1"/>
  <c r="AO8" i="1"/>
  <c r="D34" i="9"/>
  <c r="D35" i="9"/>
  <c r="AO10" i="1"/>
  <c r="AO7" i="1"/>
  <c r="AO11" i="1"/>
  <c r="AO12"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P23" i="99" s="1"/>
  <c r="B3" i="70"/>
  <c r="D6" i="71"/>
  <c r="C5" i="71"/>
  <c r="D5" i="71" s="1"/>
  <c r="M24" i="43" s="1"/>
  <c r="C42" i="40"/>
  <c r="C43" i="40"/>
  <c r="E47" i="40"/>
  <c r="F47" i="40" s="1"/>
  <c r="E46" i="40"/>
  <c r="F46" i="40" s="1"/>
  <c r="I47" i="40"/>
  <c r="J47" i="40" s="1"/>
  <c r="D20" i="9"/>
  <c r="P25" i="99" l="1"/>
  <c r="P26" i="99"/>
  <c r="O26" i="99" s="1"/>
  <c r="P30" i="99"/>
  <c r="O30" i="99" s="1"/>
  <c r="P27" i="99"/>
  <c r="O27" i="99" s="1"/>
  <c r="P28" i="99"/>
  <c r="O28" i="99" s="1"/>
  <c r="P29" i="99"/>
  <c r="O29" i="99" s="1"/>
  <c r="G21" i="9"/>
  <c r="D14" i="74"/>
  <c r="G14" i="74" s="1"/>
  <c r="D103" i="9"/>
  <c r="G20" i="9"/>
  <c r="R24" i="31" s="1"/>
  <c r="B58" i="40"/>
  <c r="F58" i="40" s="1"/>
  <c r="B54" i="40"/>
  <c r="F54" i="40" s="1"/>
  <c r="B53" i="40"/>
  <c r="F53" i="40" s="1"/>
  <c r="B59" i="40"/>
  <c r="F59" i="40" s="1"/>
  <c r="B52" i="40"/>
  <c r="F52" i="40" s="1"/>
  <c r="B56" i="40"/>
  <c r="F56" i="40" s="1"/>
  <c r="B60" i="40"/>
  <c r="F60" i="40" s="1"/>
  <c r="B57" i="40"/>
  <c r="F57" i="40" s="1"/>
  <c r="B51" i="40"/>
  <c r="F51" i="40" s="1"/>
  <c r="F61" i="40"/>
  <c r="B2" i="40" s="1"/>
  <c r="B3" i="40" s="1"/>
  <c r="O25" i="99" l="1"/>
  <c r="P31" i="99"/>
  <c r="C32" i="9"/>
  <c r="C35" i="9" s="1"/>
  <c r="C34" i="9" s="1"/>
  <c r="E14" i="74"/>
  <c r="F14" i="74"/>
  <c r="D118" i="9" l="1"/>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S24" i="31" l="1"/>
  <c r="R28" i="31"/>
  <c r="S28" i="31" s="1"/>
  <c r="R27" i="31"/>
  <c r="S27" i="31" s="1"/>
  <c r="R25" i="31"/>
  <c r="S25" i="31" s="1"/>
  <c r="R29" i="31"/>
  <c r="S29" i="31" s="1"/>
  <c r="R26" i="31"/>
  <c r="S26" i="31" s="1"/>
  <c r="D7" i="53"/>
  <c r="B21" i="72" s="1"/>
  <c r="D122" i="9"/>
  <c r="H108" i="9"/>
  <c r="D13" i="53"/>
  <c r="M49" i="9"/>
  <c r="D6" i="53"/>
  <c r="B22" i="72" s="1"/>
  <c r="B20" i="72"/>
  <c r="D52" i="9"/>
  <c r="C78" i="9"/>
  <c r="C73" i="9" s="1"/>
  <c r="C93" i="9"/>
  <c r="C86" i="9" s="1"/>
  <c r="D53" i="9"/>
  <c r="D48" i="9" s="1"/>
  <c r="M52" i="9" s="1"/>
  <c r="D55" i="9"/>
  <c r="M53" i="9" s="1"/>
  <c r="C64" i="9"/>
  <c r="C63" i="9" s="1"/>
  <c r="C67" i="9" s="1"/>
  <c r="C72" i="9"/>
  <c r="C85" i="9"/>
  <c r="S22" i="31" l="1"/>
  <c r="C79" i="9"/>
  <c r="C80" i="9" s="1"/>
  <c r="E80" i="9" s="1"/>
  <c r="E81" i="9" s="1"/>
  <c r="C95" i="9"/>
  <c r="C96" i="9" s="1"/>
  <c r="E96" i="9" s="1"/>
  <c r="E97" i="9" s="1"/>
  <c r="D8" i="52"/>
  <c r="D123" i="9"/>
  <c r="D9" i="52" s="1"/>
  <c r="D15" i="53"/>
  <c r="B31" i="72" s="1"/>
  <c r="D59" i="9"/>
  <c r="M55" i="9" s="1"/>
  <c r="C68" i="9"/>
  <c r="D54" i="9" s="1"/>
  <c r="L64" i="9"/>
  <c r="M64" i="9" s="1"/>
  <c r="L66" i="9"/>
  <c r="M66" i="9" s="1"/>
  <c r="L63" i="9"/>
  <c r="M63" i="9" s="1"/>
  <c r="L65" i="9"/>
  <c r="M65" i="9" s="1"/>
  <c r="L68" i="9"/>
  <c r="M68" i="9" s="1"/>
  <c r="L67" i="9"/>
  <c r="M67" i="9" s="1"/>
  <c r="D14" i="53"/>
  <c r="B32" i="72" s="1"/>
  <c r="B30" i="72"/>
  <c r="R22" i="31" l="1"/>
  <c r="B20" i="31"/>
  <c r="B21" i="31" s="1"/>
  <c r="C81" i="9"/>
  <c r="C97" i="9"/>
  <c r="D58" i="9" s="1"/>
  <c r="D56" i="9" s="1"/>
  <c r="M54" i="9" s="1"/>
  <c r="N57" i="9" s="1"/>
  <c r="M69" i="9"/>
  <c r="N69" i="9" s="1"/>
  <c r="P57" i="9" l="1"/>
  <c r="N58" i="9"/>
  <c r="N59" i="9"/>
  <c r="I14" i="74" l="1"/>
  <c r="R23" i="99"/>
  <c r="R29" i="99" s="1"/>
  <c r="N60" i="9"/>
  <c r="N61" i="9"/>
  <c r="T24" i="31" s="1"/>
  <c r="U24" i="31" s="1"/>
  <c r="R25" i="99" l="1"/>
  <c r="R30" i="99"/>
  <c r="Q30" i="99" s="1"/>
  <c r="R26" i="99"/>
  <c r="Q26" i="99" s="1"/>
  <c r="Q29" i="99"/>
  <c r="R27" i="99"/>
  <c r="Q27" i="99" s="1"/>
  <c r="R28" i="99"/>
  <c r="Q28" i="99" s="1"/>
  <c r="T25" i="31"/>
  <c r="U25" i="31" s="1"/>
  <c r="R31" i="99" l="1"/>
  <c r="Q25" i="99"/>
  <c r="T26" i="31"/>
  <c r="U26" i="31" s="1"/>
  <c r="T27" i="31" l="1"/>
  <c r="U27" i="31" s="1"/>
  <c r="T28" i="31" l="1"/>
  <c r="U28" i="31" s="1"/>
  <c r="T29" i="31" l="1"/>
  <c r="U29" i="31" s="1"/>
  <c r="U30" i="31" s="1"/>
  <c r="B15" i="74" l="1"/>
  <c r="B1" i="74" s="1"/>
  <c r="C15" i="74" l="1"/>
  <c r="B2" i="74" s="1"/>
  <c r="D7" i="74" s="1"/>
  <c r="D15" i="74" l="1"/>
  <c r="E15" i="74" l="1"/>
  <c r="F15" i="74"/>
  <c r="G15" i="74"/>
  <c r="I15" i="74" l="1"/>
  <c r="D16" i="74" l="1"/>
  <c r="E16" i="74" l="1"/>
  <c r="F16" i="74"/>
  <c r="B5" i="74"/>
  <c r="G16" i="74"/>
  <c r="B6" i="74" s="1"/>
  <c r="D6" i="74" l="1"/>
  <c r="C6" i="74"/>
  <c r="C5" i="74"/>
  <c r="D5" i="74"/>
  <c r="I16" i="74" l="1"/>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583FA3E2-6E09-4E8A-A892-6F4A959ED434}">
      <text>
        <r>
          <rPr>
            <b/>
            <sz val="9"/>
            <color indexed="81"/>
            <rFont val="宋体"/>
            <family val="3"/>
            <charset val="134"/>
          </rPr>
          <t>对应区片地价表</t>
        </r>
        <r>
          <rPr>
            <sz val="9"/>
            <color indexed="81"/>
            <rFont val="宋体"/>
            <family val="3"/>
            <charset val="134"/>
          </rPr>
          <t xml:space="preserve">
</t>
        </r>
      </text>
    </comment>
    <comment ref="Y9" authorId="1" shapeId="0" xr:uid="{B246DE9F-4C28-41DD-AE63-FF965A107DB1}">
      <text>
        <r>
          <rPr>
            <sz val="11"/>
            <color indexed="81"/>
            <rFont val="宋体"/>
            <family val="3"/>
            <charset val="134"/>
          </rPr>
          <t xml:space="preserve">录入层数，将对应的结果录入至左侧相应层的楼层修正系数单元格中
</t>
        </r>
      </text>
    </comment>
    <comment ref="C16" authorId="1" shapeId="0" xr:uid="{47061F2C-A6CF-44A2-8CC3-546A2282D9A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9B2F2B3-DD10-480E-BCE9-D6C824D751B6}">
      <text>
        <r>
          <rPr>
            <sz val="12"/>
            <color indexed="81"/>
            <rFont val="宋体"/>
            <family val="3"/>
            <charset val="134"/>
          </rPr>
          <t>1.05~1.1</t>
        </r>
        <r>
          <rPr>
            <sz val="9"/>
            <color indexed="81"/>
            <rFont val="宋体"/>
            <family val="3"/>
            <charset val="134"/>
          </rPr>
          <t xml:space="preserve">
</t>
        </r>
      </text>
    </comment>
    <comment ref="E16" authorId="1" shapeId="0" xr:uid="{7172A0C2-7601-4CD6-8FB5-CFE9BCBE7024}">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4A5C8D92-955C-45ED-8683-4F30E1E3AD18}">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EFE3E77-4462-4317-B2BE-22F8AE74B167}">
      <text>
        <r>
          <rPr>
            <b/>
            <sz val="14"/>
            <color indexed="81"/>
            <rFont val="宋体"/>
            <family val="3"/>
            <charset val="134"/>
          </rPr>
          <t>工业选“中心城区”</t>
        </r>
        <r>
          <rPr>
            <sz val="9"/>
            <color indexed="81"/>
            <rFont val="宋体"/>
            <family val="3"/>
            <charset val="134"/>
          </rPr>
          <t xml:space="preserve">
</t>
        </r>
      </text>
    </comment>
    <comment ref="B35" authorId="4" shapeId="0" xr:uid="{FF4281DE-D376-45F7-9170-C53166634B17}">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A44FE19-6C21-4594-B18B-1C676A84B2F0}">
      <text>
        <r>
          <rPr>
            <sz val="9"/>
            <color indexed="81"/>
            <rFont val="宋体"/>
            <family val="3"/>
            <charset val="134"/>
          </rPr>
          <t xml:space="preserve">需在此处填写剩余土地年限
</t>
        </r>
      </text>
    </comment>
    <comment ref="C111" authorId="0" shapeId="0" xr:uid="{6C929E5E-3465-4BA9-B182-16AA226E2F54}">
      <text>
        <r>
          <rPr>
            <b/>
            <sz val="9"/>
            <color indexed="81"/>
            <rFont val="宋体"/>
            <family val="3"/>
            <charset val="134"/>
          </rPr>
          <t xml:space="preserve">所在楼层
</t>
        </r>
        <r>
          <rPr>
            <sz val="9"/>
            <color indexed="81"/>
            <rFont val="宋体"/>
            <family val="3"/>
            <charset val="134"/>
          </rPr>
          <t xml:space="preserve">
</t>
        </r>
      </text>
    </comment>
    <comment ref="D111" authorId="0" shapeId="0" xr:uid="{C8350952-939D-4A15-BBC0-E37AE08E24B0}">
      <text>
        <r>
          <rPr>
            <b/>
            <sz val="9"/>
            <color indexed="81"/>
            <rFont val="宋体"/>
            <family val="3"/>
            <charset val="134"/>
          </rPr>
          <t xml:space="preserve">所在楼层
</t>
        </r>
        <r>
          <rPr>
            <sz val="9"/>
            <color indexed="81"/>
            <rFont val="宋体"/>
            <family val="3"/>
            <charset val="134"/>
          </rPr>
          <t xml:space="preserve">
</t>
        </r>
      </text>
    </comment>
    <comment ref="E111" authorId="0" shapeId="0" xr:uid="{4E1B6913-5B22-4B5E-88A2-ECBE9B78B783}">
      <text>
        <r>
          <rPr>
            <b/>
            <sz val="9"/>
            <color indexed="81"/>
            <rFont val="宋体"/>
            <family val="3"/>
            <charset val="134"/>
          </rPr>
          <t xml:space="preserve">所在楼层
</t>
        </r>
        <r>
          <rPr>
            <sz val="9"/>
            <color indexed="81"/>
            <rFont val="宋体"/>
            <family val="3"/>
            <charset val="134"/>
          </rPr>
          <t xml:space="preserve">
</t>
        </r>
      </text>
    </comment>
    <comment ref="F111" authorId="0" shapeId="0" xr:uid="{D60A4DBA-5095-4995-A72B-9283B9B001C3}">
      <text>
        <r>
          <rPr>
            <b/>
            <sz val="9"/>
            <color indexed="81"/>
            <rFont val="宋体"/>
            <family val="3"/>
            <charset val="134"/>
          </rPr>
          <t xml:space="preserve">所在楼层
</t>
        </r>
        <r>
          <rPr>
            <sz val="9"/>
            <color indexed="81"/>
            <rFont val="宋体"/>
            <family val="3"/>
            <charset val="134"/>
          </rPr>
          <t xml:space="preserve">
</t>
        </r>
      </text>
    </comment>
    <comment ref="G111" authorId="0" shapeId="0" xr:uid="{958CA7D4-6F32-4B67-B621-721A7615810C}">
      <text>
        <r>
          <rPr>
            <b/>
            <sz val="9"/>
            <color indexed="81"/>
            <rFont val="宋体"/>
            <family val="3"/>
            <charset val="134"/>
          </rPr>
          <t xml:space="preserve">所在楼层
</t>
        </r>
        <r>
          <rPr>
            <sz val="9"/>
            <color indexed="81"/>
            <rFont val="宋体"/>
            <family val="3"/>
            <charset val="134"/>
          </rPr>
          <t xml:space="preserve">
</t>
        </r>
      </text>
    </comment>
    <comment ref="H111" authorId="0" shapeId="0" xr:uid="{3931BF2A-2311-46C8-9D79-40EFD7DB0360}">
      <text>
        <r>
          <rPr>
            <b/>
            <sz val="9"/>
            <color indexed="81"/>
            <rFont val="宋体"/>
            <family val="3"/>
            <charset val="134"/>
          </rPr>
          <t xml:space="preserve">所在楼层
</t>
        </r>
        <r>
          <rPr>
            <sz val="9"/>
            <color indexed="81"/>
            <rFont val="宋体"/>
            <family val="3"/>
            <charset val="134"/>
          </rPr>
          <t xml:space="preserve">
</t>
        </r>
      </text>
    </comment>
    <comment ref="I111" authorId="0" shapeId="0" xr:uid="{70A5CD22-2D53-463D-8480-FCCB50FE0167}">
      <text>
        <r>
          <rPr>
            <b/>
            <sz val="9"/>
            <color indexed="81"/>
            <rFont val="宋体"/>
            <family val="3"/>
            <charset val="134"/>
          </rPr>
          <t xml:space="preserve">所在楼层
</t>
        </r>
        <r>
          <rPr>
            <sz val="9"/>
            <color indexed="81"/>
            <rFont val="宋体"/>
            <family val="3"/>
            <charset val="134"/>
          </rPr>
          <t xml:space="preserve">
</t>
        </r>
      </text>
    </comment>
    <comment ref="J111" authorId="0" shapeId="0" xr:uid="{4ED35C51-9278-4FEF-A8F7-8A841202E2FB}">
      <text>
        <r>
          <rPr>
            <b/>
            <sz val="9"/>
            <color indexed="81"/>
            <rFont val="宋体"/>
            <family val="3"/>
            <charset val="134"/>
          </rPr>
          <t xml:space="preserve">所在楼层
</t>
        </r>
        <r>
          <rPr>
            <sz val="9"/>
            <color indexed="81"/>
            <rFont val="宋体"/>
            <family val="3"/>
            <charset val="134"/>
          </rPr>
          <t xml:space="preserve">
</t>
        </r>
      </text>
    </comment>
    <comment ref="K111" authorId="0" shapeId="0" xr:uid="{1EE09C10-CD3F-43CE-818A-03FA878F1058}">
      <text>
        <r>
          <rPr>
            <b/>
            <sz val="9"/>
            <color indexed="81"/>
            <rFont val="宋体"/>
            <family val="3"/>
            <charset val="134"/>
          </rPr>
          <t xml:space="preserve">所在楼层
</t>
        </r>
        <r>
          <rPr>
            <sz val="9"/>
            <color indexed="81"/>
            <rFont val="宋体"/>
            <family val="3"/>
            <charset val="134"/>
          </rPr>
          <t xml:space="preserve">
</t>
        </r>
      </text>
    </comment>
    <comment ref="L111" authorId="0" shapeId="0" xr:uid="{D8DF8F1D-4232-41D0-8176-7561E37D49A0}">
      <text>
        <r>
          <rPr>
            <b/>
            <sz val="9"/>
            <color indexed="81"/>
            <rFont val="宋体"/>
            <family val="3"/>
            <charset val="134"/>
          </rPr>
          <t xml:space="preserve">所在楼层
</t>
        </r>
        <r>
          <rPr>
            <sz val="9"/>
            <color indexed="81"/>
            <rFont val="宋体"/>
            <family val="3"/>
            <charset val="134"/>
          </rPr>
          <t xml:space="preserve">
</t>
        </r>
      </text>
    </comment>
    <comment ref="M111" authorId="0" shapeId="0" xr:uid="{E61EF647-453C-4724-A4D0-39F556BE9E10}">
      <text>
        <r>
          <rPr>
            <b/>
            <sz val="9"/>
            <color indexed="81"/>
            <rFont val="宋体"/>
            <family val="3"/>
            <charset val="134"/>
          </rPr>
          <t xml:space="preserve">所在楼层
</t>
        </r>
        <r>
          <rPr>
            <sz val="9"/>
            <color indexed="81"/>
            <rFont val="宋体"/>
            <family val="3"/>
            <charset val="134"/>
          </rPr>
          <t xml:space="preserve">
</t>
        </r>
      </text>
    </comment>
    <comment ref="N111" authorId="0" shapeId="0" xr:uid="{8CD930FE-D3F0-4704-9FAC-75A181F855E1}">
      <text>
        <r>
          <rPr>
            <b/>
            <sz val="9"/>
            <color indexed="81"/>
            <rFont val="宋体"/>
            <family val="3"/>
            <charset val="134"/>
          </rPr>
          <t xml:space="preserve">所在楼层
</t>
        </r>
        <r>
          <rPr>
            <sz val="9"/>
            <color indexed="81"/>
            <rFont val="宋体"/>
            <family val="3"/>
            <charset val="134"/>
          </rPr>
          <t xml:space="preserve">
</t>
        </r>
      </text>
    </comment>
    <comment ref="D116" authorId="0" shapeId="0" xr:uid="{C1B54FA7-9610-4E94-B4AD-F5174B47C60A}">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619B6E7C-31F7-4486-B420-5B8807F7D658}">
      <text>
        <r>
          <rPr>
            <b/>
            <sz val="9"/>
            <color indexed="81"/>
            <rFont val="宋体"/>
            <family val="3"/>
            <charset val="134"/>
          </rPr>
          <t>对应区片地价表</t>
        </r>
        <r>
          <rPr>
            <sz val="9"/>
            <color indexed="81"/>
            <rFont val="宋体"/>
            <family val="3"/>
            <charset val="134"/>
          </rPr>
          <t xml:space="preserve">
</t>
        </r>
      </text>
    </comment>
    <comment ref="Y9" authorId="1" shapeId="0" xr:uid="{DDE649B8-C4E5-4182-90F8-506E92F3F33B}">
      <text>
        <r>
          <rPr>
            <sz val="11"/>
            <color indexed="81"/>
            <rFont val="宋体"/>
            <family val="3"/>
            <charset val="134"/>
          </rPr>
          <t xml:space="preserve">录入层数，将对应的结果录入至左侧相应层的楼层修正系数单元格中
</t>
        </r>
      </text>
    </comment>
    <comment ref="C16" authorId="1" shapeId="0" xr:uid="{39AEF9BD-3352-4812-8E37-14CDBDA574C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625CA4CA-BB96-4767-9635-4C6EE5C8BB62}">
      <text>
        <r>
          <rPr>
            <sz val="12"/>
            <color indexed="81"/>
            <rFont val="宋体"/>
            <family val="3"/>
            <charset val="134"/>
          </rPr>
          <t>1.05~1.1</t>
        </r>
        <r>
          <rPr>
            <sz val="9"/>
            <color indexed="81"/>
            <rFont val="宋体"/>
            <family val="3"/>
            <charset val="134"/>
          </rPr>
          <t xml:space="preserve">
</t>
        </r>
      </text>
    </comment>
    <comment ref="E16" authorId="1" shapeId="0" xr:uid="{65D831D7-55EE-4458-8074-88FC4B261AC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13CFF557-34F8-411A-B94D-F4D05E20CA1C}">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D79E4201-1FE7-4505-B786-1F6429611092}">
      <text>
        <r>
          <rPr>
            <b/>
            <sz val="14"/>
            <color indexed="81"/>
            <rFont val="宋体"/>
            <family val="3"/>
            <charset val="134"/>
          </rPr>
          <t>工业选“中心城区”</t>
        </r>
        <r>
          <rPr>
            <sz val="9"/>
            <color indexed="81"/>
            <rFont val="宋体"/>
            <family val="3"/>
            <charset val="134"/>
          </rPr>
          <t xml:space="preserve">
</t>
        </r>
      </text>
    </comment>
    <comment ref="B35" authorId="4" shapeId="0" xr:uid="{38680343-B075-474C-93DA-BC146A0BC383}">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32AC8342-198C-4E9C-878C-883667B7E6B6}">
      <text>
        <r>
          <rPr>
            <sz val="9"/>
            <color indexed="81"/>
            <rFont val="宋体"/>
            <family val="3"/>
            <charset val="134"/>
          </rPr>
          <t xml:space="preserve">需在此处填写剩余土地年限
</t>
        </r>
      </text>
    </comment>
    <comment ref="C111" authorId="0" shapeId="0" xr:uid="{88E063CA-E09A-4A58-A44B-CEC308A46FA6}">
      <text>
        <r>
          <rPr>
            <b/>
            <sz val="9"/>
            <color indexed="81"/>
            <rFont val="宋体"/>
            <family val="3"/>
            <charset val="134"/>
          </rPr>
          <t xml:space="preserve">所在楼层
</t>
        </r>
        <r>
          <rPr>
            <sz val="9"/>
            <color indexed="81"/>
            <rFont val="宋体"/>
            <family val="3"/>
            <charset val="134"/>
          </rPr>
          <t xml:space="preserve">
</t>
        </r>
      </text>
    </comment>
    <comment ref="D111" authorId="0" shapeId="0" xr:uid="{F23D4161-3579-4DA6-AFA1-B15328ED3B0F}">
      <text>
        <r>
          <rPr>
            <b/>
            <sz val="9"/>
            <color indexed="81"/>
            <rFont val="宋体"/>
            <family val="3"/>
            <charset val="134"/>
          </rPr>
          <t xml:space="preserve">所在楼层
</t>
        </r>
        <r>
          <rPr>
            <sz val="9"/>
            <color indexed="81"/>
            <rFont val="宋体"/>
            <family val="3"/>
            <charset val="134"/>
          </rPr>
          <t xml:space="preserve">
</t>
        </r>
      </text>
    </comment>
    <comment ref="E111" authorId="0" shapeId="0" xr:uid="{ADD53B89-4C66-4BC0-AB60-3B50022BE612}">
      <text>
        <r>
          <rPr>
            <b/>
            <sz val="9"/>
            <color indexed="81"/>
            <rFont val="宋体"/>
            <family val="3"/>
            <charset val="134"/>
          </rPr>
          <t xml:space="preserve">所在楼层
</t>
        </r>
        <r>
          <rPr>
            <sz val="9"/>
            <color indexed="81"/>
            <rFont val="宋体"/>
            <family val="3"/>
            <charset val="134"/>
          </rPr>
          <t xml:space="preserve">
</t>
        </r>
      </text>
    </comment>
    <comment ref="F111" authorId="0" shapeId="0" xr:uid="{454C2D11-90E2-4F02-9FBD-1632DCF702A0}">
      <text>
        <r>
          <rPr>
            <b/>
            <sz val="9"/>
            <color indexed="81"/>
            <rFont val="宋体"/>
            <family val="3"/>
            <charset val="134"/>
          </rPr>
          <t xml:space="preserve">所在楼层
</t>
        </r>
        <r>
          <rPr>
            <sz val="9"/>
            <color indexed="81"/>
            <rFont val="宋体"/>
            <family val="3"/>
            <charset val="134"/>
          </rPr>
          <t xml:space="preserve">
</t>
        </r>
      </text>
    </comment>
    <comment ref="G111" authorId="0" shapeId="0" xr:uid="{84316693-CE06-4253-A72F-68C271BB6C5A}">
      <text>
        <r>
          <rPr>
            <b/>
            <sz val="9"/>
            <color indexed="81"/>
            <rFont val="宋体"/>
            <family val="3"/>
            <charset val="134"/>
          </rPr>
          <t xml:space="preserve">所在楼层
</t>
        </r>
        <r>
          <rPr>
            <sz val="9"/>
            <color indexed="81"/>
            <rFont val="宋体"/>
            <family val="3"/>
            <charset val="134"/>
          </rPr>
          <t xml:space="preserve">
</t>
        </r>
      </text>
    </comment>
    <comment ref="H111" authorId="0" shapeId="0" xr:uid="{D4CDC235-0708-4583-99BD-B79215B2A14B}">
      <text>
        <r>
          <rPr>
            <b/>
            <sz val="9"/>
            <color indexed="81"/>
            <rFont val="宋体"/>
            <family val="3"/>
            <charset val="134"/>
          </rPr>
          <t xml:space="preserve">所在楼层
</t>
        </r>
        <r>
          <rPr>
            <sz val="9"/>
            <color indexed="81"/>
            <rFont val="宋体"/>
            <family val="3"/>
            <charset val="134"/>
          </rPr>
          <t xml:space="preserve">
</t>
        </r>
      </text>
    </comment>
    <comment ref="I111" authorId="0" shapeId="0" xr:uid="{09EA17D9-0E9F-4B79-A167-C527E77AC7DC}">
      <text>
        <r>
          <rPr>
            <b/>
            <sz val="9"/>
            <color indexed="81"/>
            <rFont val="宋体"/>
            <family val="3"/>
            <charset val="134"/>
          </rPr>
          <t xml:space="preserve">所在楼层
</t>
        </r>
        <r>
          <rPr>
            <sz val="9"/>
            <color indexed="81"/>
            <rFont val="宋体"/>
            <family val="3"/>
            <charset val="134"/>
          </rPr>
          <t xml:space="preserve">
</t>
        </r>
      </text>
    </comment>
    <comment ref="J111" authorId="0" shapeId="0" xr:uid="{206DC74A-BE24-4A9A-B7EC-344E83DC1BC1}">
      <text>
        <r>
          <rPr>
            <b/>
            <sz val="9"/>
            <color indexed="81"/>
            <rFont val="宋体"/>
            <family val="3"/>
            <charset val="134"/>
          </rPr>
          <t xml:space="preserve">所在楼层
</t>
        </r>
        <r>
          <rPr>
            <sz val="9"/>
            <color indexed="81"/>
            <rFont val="宋体"/>
            <family val="3"/>
            <charset val="134"/>
          </rPr>
          <t xml:space="preserve">
</t>
        </r>
      </text>
    </comment>
    <comment ref="K111" authorId="0" shapeId="0" xr:uid="{FF9E0439-3B73-4150-87D9-D5620787F02D}">
      <text>
        <r>
          <rPr>
            <b/>
            <sz val="9"/>
            <color indexed="81"/>
            <rFont val="宋体"/>
            <family val="3"/>
            <charset val="134"/>
          </rPr>
          <t xml:space="preserve">所在楼层
</t>
        </r>
        <r>
          <rPr>
            <sz val="9"/>
            <color indexed="81"/>
            <rFont val="宋体"/>
            <family val="3"/>
            <charset val="134"/>
          </rPr>
          <t xml:space="preserve">
</t>
        </r>
      </text>
    </comment>
    <comment ref="L111" authorId="0" shapeId="0" xr:uid="{45ECC4C3-8B1D-441A-8AE5-C523AC27D279}">
      <text>
        <r>
          <rPr>
            <b/>
            <sz val="9"/>
            <color indexed="81"/>
            <rFont val="宋体"/>
            <family val="3"/>
            <charset val="134"/>
          </rPr>
          <t xml:space="preserve">所在楼层
</t>
        </r>
        <r>
          <rPr>
            <sz val="9"/>
            <color indexed="81"/>
            <rFont val="宋体"/>
            <family val="3"/>
            <charset val="134"/>
          </rPr>
          <t xml:space="preserve">
</t>
        </r>
      </text>
    </comment>
    <comment ref="M111" authorId="0" shapeId="0" xr:uid="{1950A9A8-E9C9-4646-8264-F93FE57701D2}">
      <text>
        <r>
          <rPr>
            <b/>
            <sz val="9"/>
            <color indexed="81"/>
            <rFont val="宋体"/>
            <family val="3"/>
            <charset val="134"/>
          </rPr>
          <t xml:space="preserve">所在楼层
</t>
        </r>
        <r>
          <rPr>
            <sz val="9"/>
            <color indexed="81"/>
            <rFont val="宋体"/>
            <family val="3"/>
            <charset val="134"/>
          </rPr>
          <t xml:space="preserve">
</t>
        </r>
      </text>
    </comment>
    <comment ref="N111" authorId="0" shapeId="0" xr:uid="{3C6D955E-7979-4DD9-A00F-96907E92E96C}">
      <text>
        <r>
          <rPr>
            <b/>
            <sz val="9"/>
            <color indexed="81"/>
            <rFont val="宋体"/>
            <family val="3"/>
            <charset val="134"/>
          </rPr>
          <t xml:space="preserve">所在楼层
</t>
        </r>
        <r>
          <rPr>
            <sz val="9"/>
            <color indexed="81"/>
            <rFont val="宋体"/>
            <family val="3"/>
            <charset val="134"/>
          </rPr>
          <t xml:space="preserve">
</t>
        </r>
      </text>
    </comment>
    <comment ref="D116" authorId="0" shapeId="0" xr:uid="{1FB80268-4A60-4F12-98F6-0C3F68014957}">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248BDCA-A32D-4404-897C-DEAE8BA66EB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388D634-0570-4087-B712-4AE9FE814C6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A2BCEF55-4D08-4E3E-B1C6-2859B8B8991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BEDF911-B2FE-4A51-9AC4-5C375E1D779A}">
      <text>
        <r>
          <rPr>
            <sz val="11"/>
            <color indexed="81"/>
            <rFont val="宋体"/>
            <family val="3"/>
            <charset val="134"/>
          </rPr>
          <t>在建项目均选择“是”</t>
        </r>
      </text>
    </comment>
    <comment ref="F59" authorId="1" shapeId="0" xr:uid="{CE088879-1FDD-4365-916F-EE18930A777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1D8AB87-405F-49DC-8572-66F6E1A503CB}">
      <text>
        <r>
          <rPr>
            <sz val="10"/>
            <color indexed="81"/>
            <rFont val="宋体"/>
            <family val="3"/>
            <charset val="134"/>
          </rPr>
          <t xml:space="preserve">在建
</t>
        </r>
      </text>
    </comment>
    <comment ref="N59" authorId="0" shapeId="0" xr:uid="{66491D8F-AF87-42BE-9EBD-A1E7F7C97E6F}">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DC62D57-E8F9-45FA-A83E-2148A43DD88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47D0156-DF0A-4D08-8D6C-D6D66335853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8A0A46C-8106-4DE6-9F5A-785EDCEE12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C1B76F7-CE36-4221-A25F-7E2A33064B2A}">
      <text>
        <r>
          <rPr>
            <sz val="11"/>
            <color indexed="81"/>
            <rFont val="宋体"/>
            <family val="3"/>
            <charset val="134"/>
          </rPr>
          <t>在建项目均选择“是”</t>
        </r>
      </text>
    </comment>
    <comment ref="F59" authorId="1" shapeId="0" xr:uid="{6E1E33A4-9EDD-4E1D-A575-D5951D0ABB7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8826D9D-D07C-4AAA-863A-D682D7C826F9}">
      <text>
        <r>
          <rPr>
            <sz val="10"/>
            <color indexed="81"/>
            <rFont val="宋体"/>
            <family val="3"/>
            <charset val="134"/>
          </rPr>
          <t xml:space="preserve">在建
</t>
        </r>
      </text>
    </comment>
    <comment ref="N59" authorId="0" shapeId="0" xr:uid="{AFAAF4AE-162A-455C-8EA8-C8B487128F84}">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lycai</author>
    <author>A</author>
  </authors>
  <commentList>
    <comment ref="B2" authorId="0" shapeId="0" xr:uid="{8280234D-E4C1-4DCD-9FC2-BD7555FC0E26}">
      <text>
        <r>
          <rPr>
            <b/>
            <sz val="9"/>
            <rFont val="宋体"/>
            <family val="3"/>
            <charset val="134"/>
          </rPr>
          <t>lycai:</t>
        </r>
        <r>
          <rPr>
            <sz val="9"/>
            <rFont val="宋体"/>
            <family val="3"/>
            <charset val="134"/>
          </rPr>
          <t xml:space="preserve">
原喜丰餐饮</t>
        </r>
      </text>
    </comment>
    <comment ref="B25" authorId="0" shapeId="0" xr:uid="{FA376223-12C7-402F-A455-3AA6CC297D7C}">
      <text>
        <r>
          <rPr>
            <b/>
            <sz val="9"/>
            <rFont val="宋体"/>
            <family val="3"/>
            <charset val="134"/>
          </rPr>
          <t>lycai:</t>
        </r>
        <r>
          <rPr>
            <sz val="9"/>
            <rFont val="宋体"/>
            <family val="3"/>
            <charset val="134"/>
          </rPr>
          <t xml:space="preserve">
固租与销售挂钩，24年以前未收到租金，</t>
        </r>
      </text>
    </comment>
    <comment ref="B36" authorId="0" shapeId="0" xr:uid="{3098D8F7-3614-46FF-894F-FE5AC5DE31D2}">
      <text>
        <r>
          <rPr>
            <b/>
            <sz val="9"/>
            <rFont val="宋体"/>
            <family val="3"/>
            <charset val="134"/>
          </rPr>
          <t>lycai:</t>
        </r>
        <r>
          <rPr>
            <sz val="9"/>
            <rFont val="宋体"/>
            <family val="3"/>
            <charset val="134"/>
          </rPr>
          <t xml:space="preserve">
佛山市顺德区和宴餐饮服务有限公司</t>
        </r>
      </text>
    </comment>
    <comment ref="B40" authorId="0" shapeId="0" xr:uid="{8F53B8A9-A995-4127-8E59-405516FEE8FD}">
      <text>
        <r>
          <rPr>
            <b/>
            <sz val="9"/>
            <rFont val="宋体"/>
            <family val="3"/>
            <charset val="134"/>
          </rPr>
          <t>lycai:</t>
        </r>
        <r>
          <rPr>
            <sz val="9"/>
            <rFont val="宋体"/>
            <family val="3"/>
            <charset val="134"/>
          </rPr>
          <t xml:space="preserve">
原大荒（福建）茶业有限公司 </t>
        </r>
      </text>
    </comment>
    <comment ref="B47" authorId="0" shapeId="0" xr:uid="{49667FDF-06CD-4E2D-B4FD-99708C20C4B9}">
      <text>
        <r>
          <rPr>
            <b/>
            <sz val="9"/>
            <rFont val="宋体"/>
            <family val="3"/>
            <charset val="134"/>
          </rPr>
          <t>lycai:</t>
        </r>
        <r>
          <rPr>
            <sz val="9"/>
            <rFont val="宋体"/>
            <family val="3"/>
            <charset val="134"/>
          </rPr>
          <t xml:space="preserve">
胥俊利</t>
        </r>
      </text>
    </comment>
    <comment ref="J53" authorId="1" shapeId="0" xr:uid="{BC0381A0-DC46-4A86-9183-189FF03080BF}">
      <text>
        <r>
          <rPr>
            <b/>
            <sz val="9"/>
            <rFont val="宋体"/>
            <family val="3"/>
            <charset val="134"/>
          </rPr>
          <t>达到一定条件续约至29年</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author>
    <author>xhwang</author>
  </authors>
  <commentList>
    <comment ref="J6" authorId="0" shapeId="0" xr:uid="{84348018-8C3E-4160-B39D-72C0B53B3F87}">
      <text>
        <r>
          <rPr>
            <b/>
            <sz val="9"/>
            <rFont val="宋体"/>
            <family val="3"/>
            <charset val="134"/>
          </rPr>
          <t>admin:</t>
        </r>
        <r>
          <rPr>
            <sz val="9"/>
            <rFont val="宋体"/>
            <family val="3"/>
            <charset val="134"/>
          </rPr>
          <t xml:space="preserve">
首钢基金享受2022/2/20-2022/7/19 五个月的免租期</t>
        </r>
      </text>
    </comment>
    <comment ref="K46" authorId="1" shapeId="0" xr:uid="{FD2E9414-DF48-439E-A423-7478AEF870F3}">
      <text>
        <r>
          <rPr>
            <b/>
            <sz val="9"/>
            <rFont val="宋体"/>
            <family val="3"/>
            <charset val="134"/>
          </rPr>
          <t>xhwang:</t>
        </r>
        <r>
          <rPr>
            <sz val="9"/>
            <rFont val="宋体"/>
            <family val="3"/>
            <charset val="134"/>
          </rPr>
          <t xml:space="preserve">
后期续签
</t>
        </r>
      </text>
    </comment>
    <comment ref="K47" authorId="1" shapeId="0" xr:uid="{BEFB3AAC-3342-45F5-AB32-1AC3898AC53B}">
      <text>
        <r>
          <rPr>
            <b/>
            <sz val="9"/>
            <rFont val="宋体"/>
            <family val="3"/>
            <charset val="134"/>
          </rPr>
          <t>xhwang:</t>
        </r>
        <r>
          <rPr>
            <sz val="9"/>
            <rFont val="宋体"/>
            <family val="3"/>
            <charset val="134"/>
          </rPr>
          <t xml:space="preserve">
后期续签
</t>
        </r>
      </text>
    </comment>
    <comment ref="K48" authorId="1" shapeId="0" xr:uid="{AF55CE48-5116-4A7D-86AB-067A5560106E}">
      <text>
        <r>
          <rPr>
            <b/>
            <sz val="9"/>
            <rFont val="宋体"/>
            <family val="3"/>
            <charset val="134"/>
          </rPr>
          <t>xhwang:</t>
        </r>
        <r>
          <rPr>
            <sz val="9"/>
            <rFont val="宋体"/>
            <family val="3"/>
            <charset val="134"/>
          </rPr>
          <t xml:space="preserve">
后期续签
</t>
        </r>
      </text>
    </comment>
    <comment ref="K49" authorId="1" shapeId="0" xr:uid="{BE0206CA-3FC4-4116-A2AF-A2228CB7D0CC}">
      <text>
        <r>
          <rPr>
            <b/>
            <sz val="9"/>
            <rFont val="宋体"/>
            <family val="3"/>
            <charset val="134"/>
          </rPr>
          <t>xhwang:</t>
        </r>
        <r>
          <rPr>
            <sz val="9"/>
            <rFont val="宋体"/>
            <family val="3"/>
            <charset val="134"/>
          </rPr>
          <t xml:space="preserve">
后期续签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5" authorId="0" shapeId="0" xr:uid="{66609356-1712-4439-B778-17C19E8A29AE}">
      <text>
        <r>
          <rPr>
            <b/>
            <sz val="9"/>
            <rFont val="宋体"/>
            <family val="3"/>
            <charset val="134"/>
          </rPr>
          <t>admin:</t>
        </r>
        <r>
          <rPr>
            <sz val="9"/>
            <rFont val="宋体"/>
            <family val="3"/>
            <charset val="134"/>
          </rPr>
          <t xml:space="preserve">
首钢基金享受2022/2/20-2022/7/19 五个月的免租期</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<sst xmlns="http://schemas.openxmlformats.org/spreadsheetml/2006/main" count="11734" uniqueCount="4022">
  <si>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</si>
  <si>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</si>
  <si>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</si>
  <si>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</si>
  <si>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</si>
  <si>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</si>
  <si>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</si>
  <si>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</si>
  <si>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</si>
  <si>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</si>
  <si>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</si>
  <si>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</si>
  <si>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</si>
  <si>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</si>
  <si>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</si>
  <si>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</si>
  <si>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</si>
  <si>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</si>
  <si>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</si>
  <si>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</si>
  <si>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</si>
  <si>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</si>
  <si>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</si>
  <si>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</si>
  <si>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</si>
  <si>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</si>
  <si>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</si>
  <si>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</si>
  <si>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</si>
  <si>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</si>
  <si>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</si>
  <si>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</si>
  <si>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</si>
  <si>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</si>
  <si>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</si>
  <si>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</si>
  <si>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</si>
  <si>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</si>
  <si>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</si>
  <si>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</si>
  <si>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</si>
  <si>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</si>
  <si>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</si>
  <si>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</si>
  <si>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</si>
  <si>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</si>
  <si>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</si>
  <si>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</si>
  <si>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</si>
  <si>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</si>
  <si>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</si>
  <si>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</si>
  <si>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</si>
  <si>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</si>
  <si>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</si>
  <si>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</si>
  <si>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</si>
  <si>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</si>
  <si>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</si>
  <si>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</si>
  <si>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</si>
  <si>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</si>
  <si>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</si>
  <si>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</si>
  <si>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</si>
  <si>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</si>
  <si>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</si>
  <si>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</si>
  <si>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</si>
  <si>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</si>
  <si>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</si>
  <si>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</si>
  <si>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</si>
  <si>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</si>
  <si>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</si>
  <si>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</si>
  <si>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</si>
  <si>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</si>
  <si>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</si>
  <si>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</si>
  <si>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</si>
  <si>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</si>
  <si>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</si>
  <si>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</si>
  <si>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</si>
  <si>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</si>
  <si>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</si>
  <si>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</si>
  <si>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</si>
  <si>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</si>
  <si>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</si>
  <si>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</si>
  <si>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</si>
  <si>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</si>
  <si>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</si>
  <si>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</si>
  <si>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</si>
  <si>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</si>
  <si>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</si>
  <si>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</si>
  <si>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</si>
  <si>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</si>
  <si>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</si>
  <si>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</si>
  <si>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</si>
  <si>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</si>
  <si>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</si>
  <si>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</si>
  <si>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</si>
  <si>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</si>
  <si>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</si>
  <si>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</si>
  <si>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</si>
  <si>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</si>
  <si>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</si>
  <si>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</si>
  <si>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</si>
  <si>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</si>
  <si>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</si>
  <si>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</si>
  <si>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</si>
  <si>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</si>
  <si>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</si>
  <si>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</si>
  <si>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</si>
  <si>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</si>
  <si>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</si>
  <si>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</si>
  <si>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</si>
  <si>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</si>
  <si>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</si>
  <si>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</si>
  <si>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</si>
  <si>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</si>
  <si>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</si>
  <si>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</si>
  <si>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</si>
  <si>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</si>
  <si>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</si>
  <si>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</si>
  <si>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</si>
  <si>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</si>
  <si>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</si>
  <si>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</si>
  <si>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</si>
  <si>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</si>
  <si>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</si>
  <si>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</si>
  <si>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</si>
  <si>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</si>
  <si>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</si>
  <si>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</si>
  <si>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</si>
  <si>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</si>
  <si>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</si>
  <si>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</si>
  <si>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</si>
  <si>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</si>
  <si>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</si>
  <si>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</si>
  <si>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</si>
  <si>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</si>
  <si>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</si>
  <si>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</si>
  <si>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</si>
  <si>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</si>
  <si>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</si>
  <si>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</si>
  <si>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</si>
  <si>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</si>
  <si>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</si>
  <si>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</si>
  <si>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</si>
  <si>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</si>
  <si>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</si>
  <si>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</si>
  <si>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</si>
  <si>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</si>
  <si>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</si>
  <si>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</si>
  <si>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</si>
  <si>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</si>
  <si>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</si>
  <si>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</si>
  <si>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</si>
  <si>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</si>
  <si>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</si>
  <si>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</si>
  <si>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</si>
  <si>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</si>
  <si>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</si>
  <si>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</si>
  <si>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</si>
  <si>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</si>
  <si>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</si>
  <si>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</si>
  <si>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</si>
  <si>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</si>
  <si>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</si>
  <si>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</si>
  <si>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</si>
  <si>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</si>
  <si>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</si>
  <si>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</si>
  <si>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</si>
  <si>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</si>
  <si>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</si>
  <si>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</si>
  <si>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</si>
  <si>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</si>
  <si>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</si>
  <si>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</si>
  <si>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</si>
  <si>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</si>
  <si>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</si>
  <si>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</si>
  <si>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</si>
  <si>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</si>
  <si>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</si>
  <si>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</si>
  <si>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</si>
  <si>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</si>
  <si>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</si>
  <si>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</si>
  <si>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</si>
  <si>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</si>
  <si>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</si>
  <si>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</si>
  <si>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</si>
  <si>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</si>
  <si>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</si>
  <si>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</si>
  <si>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</si>
  <si>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</si>
  <si>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</si>
  <si>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</si>
  <si>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</si>
  <si>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</si>
  <si>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</si>
  <si>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</si>
  <si>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</si>
  <si>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</si>
  <si>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</si>
  <si>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</si>
  <si>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</si>
  <si>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</si>
  <si>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</si>
  <si>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</si>
  <si>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</si>
  <si>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</si>
  <si>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</si>
  <si>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</si>
  <si>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</si>
  <si>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</si>
  <si>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</si>
  <si>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</si>
  <si>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</si>
  <si>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</si>
  <si>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</si>
  <si>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</si>
  <si>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</si>
  <si>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</si>
  <si>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</si>
  <si>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</si>
  <si>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</si>
  <si>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</si>
  <si>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</si>
  <si>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</si>
  <si>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</si>
  <si>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</si>
  <si>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</si>
  <si>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</si>
  <si>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</si>
  <si>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</si>
  <si>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</si>
  <si>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</si>
  <si>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</si>
  <si>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</si>
  <si>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</si>
  <si>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</si>
  <si>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</si>
  <si>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</si>
  <si>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</si>
  <si>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</si>
  <si>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</si>
  <si>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</si>
  <si>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</si>
  <si>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</si>
  <si>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</si>
  <si>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</si>
  <si>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</si>
  <si>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</si>
  <si>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</si>
  <si>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</si>
  <si>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</si>
  <si>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</si>
  <si>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</si>
  <si>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</si>
  <si>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</si>
  <si>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</si>
  <si>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</si>
  <si>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</si>
  <si>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</si>
  <si>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</si>
  <si>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</si>
  <si>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</si>
  <si>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</si>
  <si>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</si>
  <si>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</si>
  <si>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</si>
  <si>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</si>
  <si>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</si>
  <si>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</si>
  <si>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</si>
  <si>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</si>
  <si>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</si>
  <si>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</si>
  <si>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</si>
  <si>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</si>
  <si>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</si>
  <si>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</si>
  <si>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</si>
  <si>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</si>
  <si>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</si>
  <si>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</si>
  <si>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</si>
  <si>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</si>
  <si>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</si>
  <si>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</si>
  <si>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</si>
  <si>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</si>
  <si>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</si>
  <si>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</si>
  <si>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</si>
  <si>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</si>
  <si>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</si>
  <si>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</si>
  <si>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</si>
  <si>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</si>
  <si>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</si>
  <si>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</si>
  <si>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</si>
  <si>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</si>
  <si>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</si>
  <si>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</si>
  <si>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</si>
  <si>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</si>
  <si>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</si>
  <si>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</si>
  <si>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</si>
  <si>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</si>
  <si>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</si>
  <si>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</si>
  <si>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</si>
  <si>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</si>
  <si>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</si>
  <si>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</si>
  <si>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</si>
  <si>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</si>
  <si>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</si>
  <si>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</si>
  <si>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</si>
  <si>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</si>
  <si>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</si>
  <si>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</si>
  <si>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</si>
  <si>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</si>
  <si>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</si>
  <si>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</si>
  <si>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</si>
  <si>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</si>
  <si>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</si>
  <si>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</si>
  <si>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</si>
  <si>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</si>
  <si>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</si>
  <si>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</si>
  <si>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</si>
  <si>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</si>
  <si>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</si>
  <si>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</si>
  <si>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</si>
  <si>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</si>
  <si>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</si>
  <si>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</si>
  <si>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</si>
  <si>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</si>
  <si>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</si>
  <si>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</si>
  <si>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</si>
  <si>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</si>
  <si>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</si>
  <si>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</si>
  <si>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</si>
  <si>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</si>
  <si>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</si>
  <si>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</si>
  <si>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</si>
  <si>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</si>
  <si>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</si>
  <si>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</si>
  <si>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</si>
  <si>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</si>
  <si>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</si>
  <si>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</si>
  <si>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</si>
  <si>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</si>
  <si>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</si>
  <si>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</si>
  <si>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</si>
  <si>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</si>
  <si>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</si>
  <si>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</si>
  <si>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</si>
  <si>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</si>
  <si>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</si>
  <si>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</si>
  <si>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</si>
  <si>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</si>
  <si>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</si>
  <si>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</si>
  <si>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</si>
  <si>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</si>
  <si>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</si>
  <si>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</si>
  <si>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</si>
  <si>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</si>
  <si>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</si>
  <si>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</si>
  <si>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</si>
  <si>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</si>
  <si>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</si>
  <si>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</si>
  <si>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</si>
  <si>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</si>
  <si>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</si>
  <si>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</si>
  <si>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</si>
  <si>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</si>
  <si>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</si>
  <si>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</si>
  <si>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</si>
  <si>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</si>
  <si>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</si>
  <si>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</si>
  <si>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</si>
  <si>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</si>
  <si>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</si>
  <si>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</si>
  <si>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</si>
  <si>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</si>
  <si>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</si>
  <si>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</si>
  <si>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</si>
  <si>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</si>
  <si>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</si>
  <si>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</si>
  <si>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</si>
  <si>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</si>
  <si>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</si>
  <si>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</si>
  <si>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</si>
  <si>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</si>
  <si>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</si>
  <si>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</si>
  <si>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</si>
  <si>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</si>
  <si>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</si>
  <si>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</si>
  <si>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</si>
  <si>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</si>
  <si>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</si>
  <si>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</si>
  <si>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</si>
  <si>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</si>
  <si>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</si>
  <si>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</si>
  <si>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</si>
  <si>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</si>
  <si>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</si>
  <si>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</si>
  <si>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</si>
  <si>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</si>
  <si>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</si>
  <si>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</si>
  <si>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</si>
  <si>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</si>
  <si>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</si>
  <si>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</si>
  <si>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</si>
  <si>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</si>
  <si>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</si>
  <si>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</si>
  <si>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</si>
  <si>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</si>
  <si>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</si>
  <si>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</si>
  <si>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</si>
  <si>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</si>
  <si>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</si>
  <si>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</si>
  <si>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</si>
  <si>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</si>
  <si>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</si>
  <si>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</si>
  <si>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</si>
  <si>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</si>
  <si>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</si>
  <si>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</si>
  <si>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</si>
  <si>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</si>
  <si>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</si>
  <si>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</si>
  <si>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</si>
  <si>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</si>
  <si>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</si>
  <si>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</si>
  <si>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</si>
  <si>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</si>
  <si>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</si>
  <si>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</si>
  <si>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</si>
  <si>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</si>
  <si>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</si>
  <si>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</si>
  <si>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</si>
  <si>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</si>
  <si>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</si>
  <si>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</si>
  <si>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</si>
  <si>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</si>
  <si>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</si>
  <si>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</si>
  <si>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</si>
  <si>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</si>
  <si>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</si>
  <si>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</si>
  <si>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</si>
  <si>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</si>
  <si>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</si>
  <si>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</si>
  <si>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</si>
  <si>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</si>
  <si>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</si>
  <si>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</si>
  <si>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</si>
  <si>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</si>
  <si>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</si>
  <si>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</si>
  <si>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</si>
  <si>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</si>
  <si>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</si>
  <si>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</si>
  <si>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</si>
  <si>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</si>
  <si>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</si>
  <si>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</si>
  <si>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</si>
  <si>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</si>
  <si>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</si>
  <si>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</si>
  <si>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</si>
  <si>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</si>
  <si>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</si>
  <si>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</si>
  <si>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</si>
  <si>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</si>
  <si>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</si>
  <si>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</si>
  <si>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</si>
  <si>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</si>
  <si>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</si>
  <si>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</si>
  <si>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</si>
  <si>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</si>
  <si>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</si>
  <si>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</si>
  <si>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</si>
  <si>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</si>
  <si>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</si>
  <si>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</si>
  <si>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</si>
  <si>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</si>
  <si>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</si>
  <si>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</si>
  <si>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</si>
  <si>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</si>
  <si>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</si>
  <si>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</si>
  <si>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</si>
  <si>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</si>
  <si>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</si>
  <si>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</si>
  <si>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</si>
  <si>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</si>
  <si>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</si>
  <si>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</si>
  <si>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</si>
  <si>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</si>
  <si>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</si>
  <si>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</si>
  <si>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</si>
  <si>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</si>
  <si>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</si>
  <si>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</si>
  <si>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</si>
  <si>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</si>
  <si>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</si>
  <si>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</si>
  <si>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</si>
  <si>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</si>
  <si>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</si>
  <si>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</si>
  <si>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</si>
  <si>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</si>
  <si>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</si>
  <si>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</si>
  <si>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</si>
  <si>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</si>
  <si>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</si>
  <si>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</si>
  <si>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</si>
  <si>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</si>
  <si>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</si>
  <si>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</si>
  <si>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</si>
  <si>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</si>
  <si>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</si>
  <si>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</si>
  <si>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</si>
  <si>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</si>
  <si>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</si>
  <si>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</si>
  <si>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</si>
  <si>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</si>
  <si>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</si>
  <si>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</si>
  <si>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</si>
  <si>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</si>
  <si>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</si>
  <si>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</si>
  <si>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</si>
  <si>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</si>
  <si>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</si>
  <si>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</si>
  <si>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</si>
  <si>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</si>
  <si>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</si>
  <si>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</si>
  <si>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</si>
  <si>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</si>
  <si>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</si>
  <si>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</si>
  <si>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</si>
  <si>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</si>
  <si>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</si>
  <si>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</si>
  <si>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</si>
  <si>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</si>
  <si>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</si>
  <si>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</si>
  <si>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</si>
  <si>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</si>
  <si>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</si>
  <si>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</si>
  <si>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</si>
  <si>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</si>
  <si>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</si>
  <si>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</si>
  <si>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</si>
  <si>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</si>
  <si>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</si>
  <si>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</si>
  <si>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</si>
  <si>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</si>
  <si>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</si>
  <si>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</si>
  <si>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</si>
  <si>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</si>
  <si>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</si>
  <si>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</si>
  <si>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</si>
  <si>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</si>
  <si>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</si>
  <si>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</si>
  <si>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</si>
  <si>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</si>
  <si>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</si>
  <si>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</si>
  <si>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</si>
  <si>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</si>
  <si>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</si>
  <si>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</si>
  <si>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</si>
  <si>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</si>
  <si>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</si>
  <si>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</si>
  <si>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</si>
  <si>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</si>
  <si>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</si>
  <si>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</si>
  <si>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</si>
  <si>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</si>
  <si>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</si>
  <si>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</si>
  <si>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</si>
  <si>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</si>
  <si>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</si>
  <si>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</si>
  <si>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</si>
  <si>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</si>
  <si>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</si>
  <si>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</si>
  <si>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</si>
  <si>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</si>
  <si>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</si>
  <si>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</si>
  <si>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</si>
  <si>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</si>
  <si>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</si>
  <si>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</si>
  <si>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</si>
  <si>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</si>
  <si>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</si>
  <si>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</si>
  <si>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</si>
  <si>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</si>
  <si>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</si>
  <si>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</si>
  <si>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</si>
  <si>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</si>
  <si>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</si>
  <si>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</si>
  <si>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</si>
  <si>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</si>
  <si>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</si>
  <si>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</si>
  <si>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</si>
  <si>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</si>
  <si>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</si>
  <si>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</si>
  <si>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</si>
  <si>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</si>
  <si>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</si>
  <si>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</si>
  <si>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</si>
  <si>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</si>
  <si>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</si>
  <si>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</si>
  <si>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</si>
  <si>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</si>
  <si>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</si>
  <si>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</si>
  <si>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</si>
  <si>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</si>
  <si>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</si>
  <si>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</si>
  <si>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</si>
  <si>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</si>
  <si>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</si>
  <si>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</si>
  <si>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</si>
  <si>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</si>
  <si>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</si>
  <si>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</si>
  <si>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</si>
  <si>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</si>
  <si>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</si>
  <si>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</si>
  <si>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</si>
  <si>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</si>
  <si>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</si>
  <si>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</si>
  <si>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</si>
  <si>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</si>
  <si>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</si>
  <si>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</si>
  <si>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</si>
  <si>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</si>
  <si>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</si>
  <si>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</si>
  <si>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</si>
  <si>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</si>
  <si>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</si>
  <si>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</si>
  <si>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</si>
  <si>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</si>
  <si>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</si>
  <si>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</si>
  <si>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</si>
  <si>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</si>
  <si>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</si>
  <si>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</si>
  <si>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</si>
  <si>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</si>
  <si>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</si>
  <si>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</si>
  <si>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</si>
  <si>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</si>
  <si>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</si>
  <si>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</si>
  <si>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</si>
  <si>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</si>
  <si>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</si>
  <si>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</si>
  <si>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</si>
  <si>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</si>
  <si>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</si>
  <si>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</si>
  <si>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</si>
  <si>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</si>
  <si>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</si>
  <si>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</si>
  <si>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</si>
  <si>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</si>
  <si>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</si>
  <si>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</si>
  <si>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</si>
  <si>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</si>
  <si>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</si>
  <si>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</si>
  <si>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</si>
  <si>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</si>
  <si>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</si>
  <si>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</si>
  <si>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</si>
  <si>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</si>
  <si>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</si>
  <si>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</si>
  <si>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</si>
  <si>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</si>
  <si>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</si>
  <si>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</si>
  <si>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</si>
  <si>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</si>
  <si>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</si>
  <si>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</si>
  <si>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</si>
  <si>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</si>
  <si>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</si>
  <si>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</si>
  <si>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</si>
  <si>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</si>
  <si>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</si>
  <si>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</si>
  <si>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</si>
  <si>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</si>
  <si>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</si>
  <si>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</si>
  <si>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</si>
  <si>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</si>
  <si>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</si>
  <si>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</si>
  <si>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</si>
  <si>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</si>
  <si>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</si>
  <si>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</si>
  <si>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</si>
  <si>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</si>
  <si>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</si>
  <si>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</si>
  <si>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</si>
  <si>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</si>
  <si>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</si>
  <si>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</si>
  <si>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</si>
  <si>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</si>
  <si>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</si>
  <si>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</si>
  <si>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</si>
  <si>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</si>
  <si>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</si>
  <si>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</si>
  <si>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</si>
  <si>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</si>
  <si>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</si>
  <si>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</si>
  <si>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</si>
  <si>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</si>
  <si>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</si>
  <si>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</si>
  <si>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</si>
  <si>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</si>
  <si>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</si>
  <si>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</si>
  <si>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</si>
  <si>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</si>
  <si>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</si>
  <si>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</si>
  <si>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</si>
  <si>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</si>
  <si>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</si>
  <si>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</si>
  <si>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</si>
  <si>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</si>
  <si>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</si>
  <si>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</si>
  <si>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</si>
  <si>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</si>
  <si>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</si>
  <si>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</si>
  <si>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</si>
  <si>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</si>
  <si>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</si>
  <si>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</si>
  <si>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</si>
  <si>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</si>
  <si>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</si>
  <si>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</si>
  <si>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</si>
  <si>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</si>
  <si>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</si>
  <si>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</si>
  <si>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</si>
  <si>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</si>
  <si>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</si>
  <si>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</si>
  <si>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</si>
  <si>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</si>
  <si>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</si>
  <si>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</si>
  <si>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</si>
  <si>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</si>
  <si>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</si>
  <si>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</si>
  <si>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</si>
  <si>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</si>
  <si>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</si>
  <si>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</si>
  <si>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</si>
  <si>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</si>
  <si>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</si>
  <si>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</si>
  <si>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</si>
  <si>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</si>
  <si>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</si>
  <si>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</si>
  <si>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</si>
  <si>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</si>
  <si>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</si>
  <si>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</si>
  <si>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</si>
  <si>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</si>
  <si>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</si>
  <si>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</si>
  <si>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</si>
  <si>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</si>
  <si>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</si>
  <si>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</si>
  <si>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</si>
  <si>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</si>
  <si>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</si>
  <si>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</si>
  <si>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</si>
  <si>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</si>
  <si>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</si>
  <si>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</si>
  <si>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</si>
  <si>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</si>
  <si>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</si>
  <si>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</si>
  <si>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</si>
  <si>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</si>
  <si>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</si>
  <si>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</si>
  <si>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</si>
  <si>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</si>
  <si>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</si>
  <si>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</si>
  <si>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</si>
  <si>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</si>
  <si>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</si>
  <si>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</si>
  <si>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</si>
  <si>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</si>
  <si>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</si>
  <si>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</si>
  <si>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</si>
  <si>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</si>
  <si>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</si>
  <si>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</si>
  <si>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</si>
  <si>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</si>
  <si>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</si>
  <si>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</si>
  <si>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</si>
  <si>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</si>
  <si>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</si>
  <si>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</si>
  <si>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</si>
  <si>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</si>
  <si>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</si>
  <si>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</si>
  <si>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</si>
  <si>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</si>
  <si>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</si>
  <si>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</si>
  <si>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</si>
  <si>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</si>
  <si>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</si>
  <si>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</si>
  <si>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</si>
  <si>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</si>
  <si>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</si>
  <si>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</si>
  <si>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</si>
  <si>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</si>
  <si>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</si>
  <si>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</si>
  <si>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</si>
  <si>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</si>
  <si>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</si>
  <si>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</si>
  <si>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</si>
  <si>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</si>
  <si>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</si>
  <si>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</si>
  <si>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</si>
  <si>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</si>
  <si>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</si>
  <si>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</si>
  <si>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</si>
  <si>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</si>
  <si>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</si>
  <si>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</si>
  <si>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</si>
  <si>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</si>
  <si>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</si>
  <si>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</si>
  <si>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</si>
  <si>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</si>
  <si>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</si>
  <si>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</si>
  <si>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</si>
  <si>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</si>
  <si>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</si>
  <si>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</si>
  <si>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</si>
  <si>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</si>
  <si>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</si>
  <si>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</si>
  <si>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</si>
  <si>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</si>
  <si>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</si>
  <si>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</si>
  <si>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</si>
  <si>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</si>
  <si>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</si>
  <si>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</si>
  <si>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</si>
  <si>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</si>
  <si>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</si>
  <si>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</si>
  <si>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</si>
  <si>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</si>
  <si>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</si>
  <si>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</si>
  <si>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</si>
  <si>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</si>
  <si>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</si>
  <si>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</si>
  <si>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</si>
  <si>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</si>
  <si>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</si>
  <si>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</si>
  <si>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</si>
  <si>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</si>
  <si>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</si>
  <si>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</si>
  <si>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</si>
  <si>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</si>
  <si>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</si>
  <si>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</si>
  <si>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</si>
  <si>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</si>
  <si>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</si>
  <si>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</si>
  <si>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</si>
  <si>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</si>
  <si>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</si>
  <si>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</si>
  <si>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</si>
  <si>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</si>
  <si>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</si>
  <si>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</si>
  <si>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</si>
  <si>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</si>
  <si>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</si>
  <si>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</si>
  <si>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</si>
  <si>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</si>
  <si>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</si>
  <si>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</si>
  <si>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</si>
  <si>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</si>
  <si>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</si>
  <si>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</si>
  <si>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</si>
  <si>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</si>
  <si>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</si>
  <si>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</si>
  <si>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</si>
  <si>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</si>
  <si>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</si>
  <si>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</si>
  <si>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</si>
  <si>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</si>
  <si>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</si>
  <si>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</si>
  <si>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</si>
  <si>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</si>
  <si>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</si>
  <si>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</si>
  <si>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</si>
  <si>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</si>
  <si>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</si>
  <si>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</si>
  <si>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</si>
  <si>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</si>
  <si>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</si>
  <si>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</si>
  <si>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</si>
  <si>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</si>
  <si>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</si>
  <si>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</si>
  <si>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</si>
  <si>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</si>
  <si>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</si>
  <si>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</si>
  <si>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</si>
  <si>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</si>
  <si>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</si>
  <si>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</si>
  <si>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</si>
  <si>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</si>
  <si>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</si>
  <si>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</si>
  <si>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</si>
  <si>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</si>
  <si>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</si>
  <si>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</si>
  <si>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</si>
  <si>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</si>
  <si>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</si>
  <si>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</si>
  <si>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</si>
  <si>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</si>
  <si>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</si>
  <si>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</si>
  <si>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</si>
  <si>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</si>
  <si>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</si>
  <si>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</si>
  <si>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</si>
  <si>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</si>
  <si>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</si>
  <si>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</si>
  <si>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</si>
  <si>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</si>
  <si>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</si>
  <si>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</si>
  <si>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</si>
  <si>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</si>
  <si>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</si>
  <si>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</si>
  <si>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</si>
  <si>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</si>
  <si>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</si>
  <si>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</si>
  <si>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</si>
  <si>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</si>
  <si>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</si>
  <si>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</si>
  <si>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</si>
  <si>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</si>
  <si>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</si>
  <si>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</si>
  <si>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</si>
  <si>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</si>
  <si>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</si>
  <si>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</si>
  <si>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</si>
  <si>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</si>
  <si>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</si>
  <si>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</si>
  <si>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</si>
  <si>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</si>
  <si>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</si>
  <si>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</si>
  <si>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</si>
  <si>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</si>
  <si>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</si>
  <si>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</si>
  <si>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</si>
  <si>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</si>
  <si>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</si>
  <si>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</si>
  <si>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</si>
  <si>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</si>
  <si>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</si>
  <si>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</si>
  <si>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</si>
  <si>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</si>
  <si>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</si>
  <si>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</si>
  <si>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</si>
  <si>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</si>
  <si>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</si>
  <si>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</si>
  <si>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</si>
  <si>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</si>
  <si>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</si>
  <si>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</si>
  <si>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</si>
  <si>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</si>
  <si>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</si>
  <si>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</si>
  <si>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</si>
  <si>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</si>
  <si>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</si>
  <si>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</si>
  <si>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</si>
  <si>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</si>
  <si>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</si>
  <si>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</si>
  <si>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</si>
  <si>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</si>
  <si>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</si>
  <si>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</si>
  <si>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</si>
  <si>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</si>
  <si>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</si>
  <si>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</si>
  <si>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</si>
  <si>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</si>
  <si>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</si>
  <si>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</si>
  <si>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</si>
  <si>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</si>
  <si>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</si>
  <si>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</si>
  <si>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</si>
  <si>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</si>
  <si>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</si>
  <si>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</si>
  <si>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</si>
  <si>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</si>
  <si>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</si>
  <si>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</si>
  <si>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</si>
  <si>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</si>
  <si>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</si>
  <si>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</si>
  <si>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</si>
  <si>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</si>
  <si>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</si>
  <si>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</si>
  <si>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</si>
  <si>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</si>
  <si>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</si>
  <si>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</si>
  <si>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</si>
  <si>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</si>
  <si>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</si>
  <si>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</si>
  <si>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</si>
  <si>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</si>
  <si>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</si>
  <si>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</si>
  <si>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</si>
  <si>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</si>
  <si>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</si>
  <si>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</si>
  <si>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</si>
  <si>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</si>
  <si>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</si>
  <si>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</si>
  <si>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</si>
  <si>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</si>
  <si>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</si>
  <si>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</si>
  <si>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</si>
  <si>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</si>
  <si>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</si>
  <si>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</si>
  <si>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</si>
  <si>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</si>
  <si>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</si>
  <si>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</si>
  <si>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</si>
  <si>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</si>
  <si>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</si>
  <si>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</si>
  <si>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</si>
  <si>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</si>
  <si>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</si>
  <si>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</si>
  <si>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</si>
  <si>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</si>
  <si>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</si>
  <si>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</si>
  <si>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</si>
  <si>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</si>
  <si>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</si>
  <si>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</si>
  <si>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</si>
  <si>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</si>
  <si>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</si>
  <si>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</si>
  <si>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</si>
  <si>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</si>
  <si>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</si>
  <si>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</si>
  <si>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</si>
  <si>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</si>
  <si>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</si>
  <si>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</si>
  <si>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</si>
  <si>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</si>
  <si>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</si>
  <si>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</si>
  <si>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</si>
  <si>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</si>
  <si>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</si>
  <si>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</si>
  <si>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</si>
  <si>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</si>
  <si>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</si>
  <si>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</si>
  <si>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</si>
  <si>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</si>
  <si>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</si>
  <si>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</si>
  <si>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</si>
  <si>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</si>
  <si>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</si>
  <si>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</si>
  <si>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</si>
  <si>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</si>
  <si>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</si>
  <si>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</si>
  <si>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</si>
  <si>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</si>
  <si>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</si>
  <si>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</si>
  <si>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</si>
  <si>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</si>
  <si>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</si>
  <si>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</si>
  <si>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</si>
  <si>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</si>
  <si>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</si>
  <si>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</si>
  <si>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</si>
  <si>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</si>
  <si>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</si>
  <si>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</si>
  <si>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</si>
  <si>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</si>
  <si>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</si>
  <si>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</si>
  <si>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</si>
  <si>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</si>
  <si>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</si>
  <si>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</si>
  <si>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</si>
  <si>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</si>
  <si>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</si>
  <si>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</si>
  <si>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</si>
  <si>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</si>
  <si>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</si>
  <si>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</si>
  <si>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</si>
  <si>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</si>
  <si>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</si>
  <si>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</si>
  <si>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</si>
  <si>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</si>
  <si>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</si>
  <si>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</si>
  <si>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</si>
  <si>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</si>
  <si>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</si>
  <si>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</si>
  <si>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</si>
  <si>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</si>
  <si>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</si>
  <si>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</si>
  <si>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</si>
  <si>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</si>
  <si>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</si>
  <si>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</si>
  <si>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</si>
  <si>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</si>
  <si>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</si>
  <si>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</si>
  <si>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</si>
  <si>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</si>
  <si>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</si>
  <si>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</si>
  <si>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</si>
  <si>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</si>
  <si>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</si>
  <si>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</si>
  <si>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</si>
  <si>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</si>
  <si>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</si>
  <si>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</si>
  <si>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</si>
  <si>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</si>
  <si>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</si>
  <si>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</si>
  <si>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</si>
  <si>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</si>
  <si>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</si>
  <si>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</si>
  <si>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</si>
  <si>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</si>
  <si>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</si>
  <si>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</si>
  <si>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</si>
  <si>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</si>
  <si>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</si>
  <si>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</si>
  <si>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</si>
  <si>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</si>
  <si>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</si>
  <si>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</si>
  <si>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</si>
  <si>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</si>
  <si>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</si>
  <si>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</si>
  <si>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</si>
  <si>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</si>
  <si>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</si>
  <si>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</si>
  <si>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</si>
  <si>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</si>
  <si>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</si>
  <si>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</si>
  <si>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</si>
  <si>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</si>
  <si>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</si>
  <si>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</si>
  <si>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</si>
  <si>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</si>
  <si>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</si>
  <si>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</si>
  <si>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</si>
  <si>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</si>
  <si>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</si>
  <si>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</si>
  <si>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</si>
  <si>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</si>
  <si>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</si>
  <si>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</si>
  <si>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</si>
  <si>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</si>
  <si>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</si>
  <si>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</si>
  <si>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</si>
  <si>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</si>
  <si>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</si>
  <si>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</si>
  <si>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</si>
  <si>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</si>
  <si>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</si>
  <si>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</si>
  <si>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</si>
  <si>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</si>
  <si>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</si>
  <si>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</si>
  <si>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</si>
  <si>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</si>
  <si>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</si>
  <si>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</si>
  <si>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</si>
  <si>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</si>
  <si>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</si>
  <si>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</si>
  <si>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</si>
  <si>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</si>
  <si>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</si>
  <si>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</si>
  <si>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</si>
  <si>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</si>
  <si>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</si>
  <si>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</si>
  <si>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</si>
  <si>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</si>
  <si>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</si>
  <si>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</si>
  <si>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</si>
  <si>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</si>
  <si>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</si>
  <si>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</si>
  <si>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</si>
  <si>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</si>
  <si>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</si>
  <si>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</si>
  <si>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</si>
  <si>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</si>
  <si>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</si>
  <si>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</si>
  <si>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</si>
  <si>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</si>
  <si>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</si>
  <si>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</si>
  <si>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</si>
  <si>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</si>
  <si>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</si>
  <si>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</si>
  <si>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</si>
  <si>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</si>
  <si>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</si>
  <si>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</si>
  <si>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</si>
  <si>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</si>
  <si>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</si>
  <si>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</si>
  <si>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</si>
  <si>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</si>
  <si>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</si>
  <si>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</si>
  <si>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</si>
  <si>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</si>
  <si>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</si>
  <si>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</si>
  <si>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</si>
  <si>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</si>
  <si>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</si>
  <si>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</si>
  <si>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</si>
  <si>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</si>
  <si>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</si>
  <si>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</si>
  <si>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</si>
  <si>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</si>
  <si>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</si>
  <si>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</si>
  <si>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</si>
  <si>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</si>
  <si>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</si>
  <si>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</si>
  <si>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</si>
  <si>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</si>
  <si>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</si>
  <si>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</si>
  <si>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</si>
  <si>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</si>
  <si>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</si>
  <si>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</si>
  <si>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</si>
  <si>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</si>
  <si>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</si>
  <si>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</si>
  <si>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</si>
  <si>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</si>
  <si>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</si>
  <si>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</si>
  <si>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</si>
  <si>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</si>
  <si>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</si>
  <si>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</si>
  <si>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</si>
  <si>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</si>
  <si>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</si>
  <si>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</si>
  <si>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</si>
  <si>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</si>
  <si>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</si>
  <si>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</si>
  <si>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</si>
  <si>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</si>
  <si>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</si>
  <si>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</si>
  <si>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</si>
  <si>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</si>
  <si>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</si>
  <si>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</si>
  <si>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</si>
  <si>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</si>
  <si>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</si>
  <si>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</si>
  <si>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</si>
  <si>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</si>
  <si>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</si>
  <si>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</si>
  <si>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</si>
  <si>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</si>
  <si>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</si>
  <si>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</si>
  <si>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</si>
  <si>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</si>
  <si>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</si>
  <si>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</si>
  <si>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</si>
  <si>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</si>
  <si>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</si>
  <si>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</si>
  <si>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</si>
  <si>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</si>
  <si>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</si>
  <si>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</si>
  <si>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</si>
  <si>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</si>
  <si>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</si>
  <si>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</si>
  <si>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</si>
  <si>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</si>
  <si>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</si>
  <si>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</si>
  <si>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</si>
  <si>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</si>
  <si>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</si>
  <si>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</si>
  <si>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</si>
  <si>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</si>
  <si>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</si>
  <si>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</si>
  <si>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</si>
  <si>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</si>
  <si>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</si>
  <si>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</si>
  <si>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</si>
  <si>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</si>
  <si>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</si>
  <si>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</si>
  <si>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</si>
  <si>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</si>
  <si>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</si>
  <si>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</si>
  <si>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</si>
  <si>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</si>
  <si>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</si>
  <si>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</si>
  <si>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</si>
  <si>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</si>
  <si>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</si>
  <si>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</si>
  <si>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</si>
  <si>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</si>
  <si>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</si>
  <si>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</si>
  <si>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</si>
  <si>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</si>
  <si>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</si>
  <si>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</si>
  <si>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</si>
  <si>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</si>
  <si>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</si>
  <si>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</si>
  <si>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</si>
  <si>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</si>
  <si>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</si>
  <si>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</si>
  <si>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</si>
  <si>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</si>
  <si>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</si>
  <si>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</si>
  <si>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</si>
  <si>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</si>
  <si>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</si>
  <si>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</si>
  <si>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</si>
  <si>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</si>
  <si>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</si>
  <si>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</si>
  <si>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</si>
  <si>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</si>
  <si>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</si>
  <si>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</si>
  <si>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</si>
  <si>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</si>
  <si>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</si>
  <si>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</si>
  <si>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</si>
  <si>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</si>
  <si>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</si>
  <si>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</si>
  <si>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</si>
  <si>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</si>
  <si>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</si>
  <si>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</si>
  <si>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</si>
  <si>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</si>
  <si>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</si>
  <si>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</si>
  <si>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</si>
  <si>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</si>
  <si>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</si>
  <si>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</si>
  <si>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</si>
  <si>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</si>
  <si>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</si>
  <si>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</si>
  <si>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</si>
  <si>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</si>
  <si>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</si>
  <si>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</si>
  <si>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</si>
  <si>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</si>
  <si>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</si>
  <si>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</si>
  <si>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</si>
  <si>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</si>
  <si>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</si>
  <si>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</si>
  <si>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</si>
  <si>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</si>
  <si>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</si>
  <si>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</si>
  <si>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</si>
  <si>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</si>
  <si>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</si>
  <si>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</si>
  <si>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</si>
  <si>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</si>
  <si>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</si>
  <si>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</si>
  <si>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</si>
  <si>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</si>
  <si>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</si>
  <si>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</si>
  <si>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</si>
  <si>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</si>
  <si>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</si>
  <si>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</si>
  <si>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</si>
  <si>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</si>
  <si>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</si>
  <si>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</si>
  <si>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</si>
  <si>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</si>
  <si>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</si>
  <si>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</si>
  <si>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</si>
  <si>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</si>
  <si>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</si>
  <si>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</si>
  <si>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</si>
  <si>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</si>
  <si>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</si>
  <si>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</si>
  <si>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</si>
  <si>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</si>
  <si>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</si>
  <si>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</si>
  <si>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</si>
  <si>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</si>
  <si>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</si>
  <si>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</si>
  <si>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</si>
  <si>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</si>
  <si>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</si>
  <si>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</si>
  <si>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</si>
  <si>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</si>
  <si>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</si>
  <si>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</si>
  <si>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</si>
  <si>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</si>
  <si>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</si>
  <si>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</si>
  <si>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</si>
  <si>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</si>
  <si>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</si>
  <si>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</si>
  <si>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</si>
  <si>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</si>
  <si>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</si>
  <si>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</si>
  <si>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</si>
  <si>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</si>
  <si>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</si>
  <si>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</si>
  <si>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</si>
  <si>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</si>
  <si>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</si>
  <si>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</si>
  <si>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</si>
  <si>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</si>
  <si>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</si>
  <si>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</si>
  <si>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</si>
  <si>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</si>
  <si>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</si>
  <si>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</si>
  <si>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</si>
  <si>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</si>
  <si>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</si>
  <si>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</si>
  <si>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</si>
  <si>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</si>
  <si>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</si>
  <si>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</si>
  <si>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</si>
  <si>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</si>
  <si>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</si>
  <si>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</si>
  <si>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</si>
  <si>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</si>
  <si>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</si>
  <si>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</si>
  <si>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</si>
  <si>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</si>
  <si>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</si>
  <si>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</si>
  <si>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</si>
  <si>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</si>
  <si>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</si>
  <si>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</si>
  <si>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</si>
  <si>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</si>
  <si>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</si>
  <si>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</si>
  <si>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</si>
  <si>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</si>
  <si>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</si>
  <si>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</si>
  <si>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</si>
  <si>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</si>
  <si>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</si>
  <si>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</si>
  <si>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</si>
  <si>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</si>
  <si>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</si>
  <si>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</si>
  <si>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</si>
  <si>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</si>
  <si>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</si>
  <si>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</si>
  <si>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</si>
  <si>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</si>
  <si>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</si>
  <si>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</si>
  <si>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</si>
  <si>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</si>
  <si>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</si>
  <si>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</si>
  <si>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</si>
  <si>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</si>
  <si>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</si>
  <si>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</si>
  <si>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</si>
  <si>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</si>
  <si>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</si>
  <si>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</si>
  <si>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</si>
  <si>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</si>
  <si>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</si>
  <si>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</si>
  <si>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</si>
  <si>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</si>
  <si>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</si>
  <si>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</si>
  <si>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</si>
  <si>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</si>
  <si>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</si>
  <si>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</si>
  <si>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</si>
  <si>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</si>
  <si>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</si>
  <si>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</si>
  <si>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</si>
  <si>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</si>
  <si>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</si>
  <si>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</si>
  <si>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</si>
  <si>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</si>
  <si>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</si>
  <si>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</si>
  <si>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</si>
  <si>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</si>
  <si>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</si>
  <si>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</si>
  <si>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</si>
  <si>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</si>
  <si>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</si>
  <si>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</si>
  <si>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</si>
  <si>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</si>
  <si>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</si>
  <si>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</si>
  <si>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</si>
  <si>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</si>
  <si>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</si>
  <si>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</si>
  <si>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</si>
  <si>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</si>
  <si>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</si>
  <si>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</si>
  <si>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</si>
  <si>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</si>
  <si>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</si>
  <si>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</si>
  <si>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</si>
  <si>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</si>
  <si>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</si>
  <si>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</si>
  <si>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</si>
  <si>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</si>
  <si>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</si>
  <si>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</si>
  <si>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</si>
  <si>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</si>
  <si>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</si>
  <si>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</si>
  <si>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</si>
  <si>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</si>
  <si>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</si>
  <si>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</si>
  <si>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</si>
  <si>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</si>
  <si>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</si>
  <si>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</si>
  <si>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</si>
  <si>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</si>
  <si>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</si>
  <si>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</si>
  <si>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</si>
  <si>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</si>
  <si>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</si>
  <si>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</si>
  <si>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</si>
  <si>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</si>
  <si>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</si>
  <si>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</si>
  <si>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</si>
  <si>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</si>
  <si>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</si>
  <si>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</si>
  <si>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</si>
  <si>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</si>
  <si>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</si>
  <si>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</si>
  <si>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</si>
  <si>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</si>
  <si>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</si>
  <si>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</si>
  <si>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</si>
  <si>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</si>
  <si>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</si>
  <si>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</si>
  <si>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</si>
  <si>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</si>
  <si>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</si>
  <si>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</si>
  <si>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</si>
  <si>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</si>
  <si>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</si>
  <si>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</si>
  <si>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</si>
  <si>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</si>
  <si>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</si>
  <si>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</si>
  <si>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</si>
  <si>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</si>
  <si>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</si>
  <si>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</si>
  <si>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</si>
  <si>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</si>
  <si>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</si>
  <si>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</si>
  <si>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</si>
  <si>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</si>
  <si>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</si>
  <si>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</si>
  <si>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</si>
  <si>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</si>
  <si>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</si>
  <si>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</si>
  <si>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</si>
  <si>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</si>
  <si>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</si>
  <si>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</si>
  <si>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</si>
  <si>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</si>
  <si>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</si>
  <si>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</si>
  <si>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</si>
  <si>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</si>
  <si>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</si>
  <si>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</si>
  <si>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</si>
  <si>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</si>
  <si>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</si>
  <si>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</si>
  <si>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</si>
  <si>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</si>
  <si>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</si>
  <si>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</si>
  <si>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</si>
  <si>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</si>
  <si>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</si>
  <si>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</si>
  <si>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</si>
  <si>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</si>
  <si>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</si>
  <si>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</si>
  <si>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</si>
  <si>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</si>
  <si>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</si>
  <si>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</si>
  <si>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</si>
  <si>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</si>
  <si>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</si>
  <si>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</si>
  <si>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</si>
  <si>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</si>
  <si>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</si>
  <si>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</si>
  <si>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</si>
  <si>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</si>
  <si>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</si>
  <si>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</si>
  <si>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</si>
  <si>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</si>
  <si>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</si>
  <si>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</si>
  <si>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</si>
  <si>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</si>
  <si>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</si>
  <si>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</si>
  <si>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</si>
  <si>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</si>
  <si>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</si>
  <si>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</si>
  <si>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</si>
  <si>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</si>
  <si>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</si>
  <si>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</si>
  <si>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</si>
  <si>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</si>
  <si>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</si>
  <si>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</si>
  <si>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</si>
  <si>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</si>
  <si>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</si>
  <si>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</si>
  <si>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</si>
  <si>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</si>
  <si>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</si>
  <si>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</si>
  <si>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</si>
  <si>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</si>
  <si>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</si>
  <si>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</si>
  <si>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</si>
  <si>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</si>
  <si>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</si>
  <si>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</si>
  <si>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</si>
  <si>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</si>
  <si>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</si>
  <si>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</si>
  <si>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</si>
  <si>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</si>
  <si>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</si>
  <si>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</si>
  <si>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</si>
  <si>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</si>
  <si>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</si>
  <si>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</si>
  <si>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</si>
  <si>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</si>
  <si>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</si>
  <si>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</si>
  <si>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</si>
  <si>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</si>
  <si>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</si>
  <si>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</si>
  <si>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</si>
  <si>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</si>
  <si>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</si>
  <si>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</si>
  <si>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</si>
  <si>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</si>
  <si>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</si>
  <si>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</si>
  <si>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</si>
  <si>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</si>
  <si>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</si>
  <si>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</si>
  <si>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</si>
  <si>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</si>
  <si>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</si>
  <si>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</si>
  <si>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</si>
  <si>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</si>
  <si>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</si>
  <si>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</si>
  <si>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</si>
  <si>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</si>
  <si>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</si>
  <si>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</si>
  <si>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</si>
  <si>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</si>
  <si>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</si>
  <si>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</si>
  <si>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</si>
  <si>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</si>
  <si>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</si>
  <si>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</si>
  <si>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</si>
  <si>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</si>
  <si>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</si>
  <si>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</si>
  <si>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</si>
  <si>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</si>
  <si>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</si>
  <si>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</si>
  <si>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</si>
  <si>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</si>
  <si>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</si>
  <si>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</si>
  <si>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</si>
  <si>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</si>
  <si>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</si>
  <si>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</si>
  <si>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</si>
  <si>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</si>
  <si>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</si>
  <si>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</si>
  <si>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</si>
  <si>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</si>
  <si>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</si>
  <si>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</si>
  <si>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</si>
  <si>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</si>
  <si>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</si>
  <si>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</si>
  <si>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</si>
  <si>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</si>
  <si>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</si>
  <si>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</si>
  <si>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</si>
  <si>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</si>
  <si>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</si>
  <si>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</si>
  <si>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</si>
  <si>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</si>
  <si>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</si>
  <si>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</si>
  <si>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</si>
  <si>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</si>
  <si>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</si>
  <si>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</si>
  <si>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</si>
  <si>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</si>
  <si>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</si>
  <si>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</si>
  <si>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</si>
  <si>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</si>
  <si>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</si>
  <si>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</si>
  <si>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</si>
  <si>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</si>
  <si>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</si>
  <si>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</si>
  <si>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</si>
  <si>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</si>
  <si>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</si>
  <si>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</si>
  <si>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</si>
  <si>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</si>
  <si>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</si>
  <si>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</si>
  <si>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</si>
  <si>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</si>
  <si>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</si>
  <si>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</si>
  <si>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</si>
  <si>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</si>
  <si>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</si>
  <si>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</si>
  <si>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</si>
  <si>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</si>
  <si>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</si>
  <si>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</si>
  <si>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</si>
  <si>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</si>
  <si>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</si>
  <si>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</si>
  <si>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</si>
  <si>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</si>
  <si>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</si>
  <si>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</si>
  <si>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</si>
  <si>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</si>
  <si>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</si>
  <si>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</si>
  <si>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</si>
  <si>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</si>
  <si>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</si>
  <si>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</si>
  <si>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</si>
  <si>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</si>
  <si>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</si>
  <si>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</si>
  <si>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</si>
  <si>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</si>
  <si>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</si>
  <si>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</si>
  <si>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</si>
  <si>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</si>
  <si>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</si>
  <si>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</si>
  <si>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</si>
  <si>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</si>
  <si>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</si>
  <si>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</si>
  <si>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</si>
  <si>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</si>
  <si>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</si>
  <si>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</si>
  <si>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</si>
  <si>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</si>
  <si>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</si>
  <si>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</si>
  <si>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</si>
  <si>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</si>
  <si>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</si>
  <si>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</si>
  <si>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</si>
  <si>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</si>
  <si>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</si>
  <si>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</si>
  <si>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</si>
  <si>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</si>
  <si>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</si>
  <si>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</si>
  <si>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</si>
  <si>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</si>
  <si>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</si>
  <si>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</si>
  <si>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</si>
  <si>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</si>
  <si>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</si>
  <si>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</si>
  <si>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</si>
  <si>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</si>
  <si>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</si>
  <si>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</si>
  <si>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</si>
  <si>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</si>
  <si>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</si>
  <si>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</si>
  <si>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</si>
  <si>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</si>
  <si>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</si>
  <si>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</si>
  <si>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</si>
  <si>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</si>
  <si>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</si>
  <si>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</si>
  <si>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</si>
  <si>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</si>
  <si>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</si>
  <si>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</si>
  <si>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</si>
  <si>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</si>
  <si>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</si>
  <si>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</si>
  <si>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</si>
  <si>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</si>
  <si>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</si>
  <si>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</si>
  <si>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</si>
  <si>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</si>
  <si>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</si>
  <si>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</si>
  <si>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</si>
  <si>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</si>
  <si>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</si>
  <si>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</si>
  <si>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</si>
  <si>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</si>
  <si>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</si>
  <si>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</si>
  <si>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</si>
  <si>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</si>
  <si>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</si>
  <si>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</si>
  <si>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</si>
  <si>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</si>
  <si>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</si>
  <si>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</si>
  <si>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</si>
  <si>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</si>
  <si>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</si>
  <si>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</si>
  <si>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</si>
  <si>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</si>
  <si>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</si>
  <si>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</si>
  <si>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</si>
  <si>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</si>
  <si>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</si>
  <si>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</si>
  <si>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</si>
  <si>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</si>
  <si>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</si>
  <si>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</si>
  <si>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</si>
  <si>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</si>
  <si>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</si>
  <si>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</si>
  <si>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</si>
  <si>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</si>
  <si>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</si>
  <si>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</si>
  <si>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</si>
  <si>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</si>
  <si>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</si>
  <si>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</si>
  <si>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</si>
  <si>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</si>
  <si>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</si>
  <si>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</si>
  <si>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</si>
  <si>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</si>
  <si>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</si>
  <si>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</si>
  <si>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</si>
  <si>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</si>
  <si>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</si>
  <si>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</si>
  <si>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</si>
  <si>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</si>
  <si>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</si>
  <si>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</si>
  <si>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</si>
  <si>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</si>
  <si>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</si>
  <si>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</si>
  <si>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</si>
  <si>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</si>
  <si>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</si>
  <si>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</si>
  <si>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</si>
  <si>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</si>
  <si>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</si>
  <si>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</si>
  <si>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</si>
  <si>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</si>
  <si>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</si>
  <si>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</si>
  <si>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</si>
  <si>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</si>
  <si>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</si>
  <si>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</si>
  <si>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</si>
  <si>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</si>
  <si>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</si>
  <si>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</si>
  <si>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</si>
  <si>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</si>
  <si>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</si>
  <si>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</si>
  <si>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</si>
  <si>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</si>
  <si>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</si>
  <si>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</si>
  <si>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</si>
  <si>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</si>
  <si>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</si>
  <si>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</si>
  <si>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</si>
  <si>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</si>
  <si>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</si>
  <si>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</si>
  <si>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</si>
  <si>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</si>
  <si>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</si>
  <si>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</si>
  <si>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</si>
  <si>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</si>
  <si>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</si>
  <si>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</si>
  <si>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</si>
  <si>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</si>
  <si>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</si>
  <si>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</si>
  <si>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</si>
  <si>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</si>
  <si>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</si>
  <si>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</si>
  <si>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</si>
  <si>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</si>
  <si>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</si>
  <si>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</si>
  <si>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</si>
  <si>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</si>
  <si>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</si>
  <si>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</si>
  <si>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</si>
  <si>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</si>
  <si>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</si>
  <si>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</si>
  <si>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</si>
  <si>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</si>
  <si>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</si>
  <si>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</si>
  <si>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</si>
  <si>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</si>
  <si>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</si>
  <si>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</si>
  <si>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</si>
  <si>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</si>
  <si>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</si>
  <si>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</si>
  <si>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</si>
  <si>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</si>
  <si>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</si>
  <si>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</si>
  <si>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</si>
  <si>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</si>
  <si>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</si>
  <si>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</si>
  <si>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</si>
  <si>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</si>
  <si>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</si>
  <si>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</si>
  <si>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</si>
  <si>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</si>
  <si>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</si>
  <si>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</si>
  <si>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</si>
  <si>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</si>
  <si>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</si>
  <si>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</si>
  <si>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</si>
  <si>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</si>
  <si>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</si>
  <si>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</si>
  <si>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</si>
  <si>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</si>
  <si>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</si>
  <si>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</si>
  <si>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</si>
  <si>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</si>
  <si>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</si>
  <si>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</si>
  <si>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</si>
  <si>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</si>
  <si>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</si>
  <si>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</si>
  <si>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</si>
  <si>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</si>
  <si>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</si>
  <si>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</si>
  <si>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</si>
  <si>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</si>
  <si>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</si>
  <si>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</si>
  <si>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</si>
  <si>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</si>
  <si>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</si>
  <si>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</si>
  <si>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</si>
  <si>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</si>
  <si>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</si>
  <si>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</si>
  <si>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</si>
  <si>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</si>
  <si>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</si>
  <si>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</si>
  <si>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</si>
  <si>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</si>
  <si>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</si>
  <si>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</si>
  <si>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</si>
  <si>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</si>
  <si>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</si>
  <si>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</si>
  <si>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</si>
  <si>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</si>
  <si>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</si>
  <si>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</si>
  <si>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</si>
  <si>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</si>
  <si>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</si>
  <si>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</si>
  <si>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</si>
  <si>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</si>
  <si>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</si>
  <si>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</si>
  <si>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</si>
  <si>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</si>
  <si>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</si>
  <si>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</si>
  <si>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</si>
  <si>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</si>
  <si>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</si>
  <si>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</si>
  <si>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</si>
  <si>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</si>
  <si>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</si>
  <si>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</si>
  <si>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</si>
  <si>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</si>
  <si>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</si>
  <si>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</si>
  <si>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</si>
  <si>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</si>
  <si>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</si>
  <si>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</si>
  <si>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</si>
  <si>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</si>
  <si>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</si>
  <si>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</si>
  <si>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</si>
  <si>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</si>
  <si>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</si>
  <si>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</si>
  <si>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</si>
  <si>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</si>
  <si>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</si>
  <si>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</si>
  <si>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</si>
  <si>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</si>
  <si>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</si>
  <si>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</si>
  <si>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</si>
  <si>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</si>
  <si>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</si>
  <si>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</si>
  <si>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</si>
  <si>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</si>
  <si>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</si>
  <si>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</si>
  <si>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</si>
  <si>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</si>
  <si>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</si>
  <si>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</si>
  <si>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</si>
  <si>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</si>
  <si>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</si>
  <si>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</si>
  <si>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</si>
  <si>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</si>
  <si>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</si>
  <si>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</si>
  <si>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</si>
  <si>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</si>
  <si>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</si>
  <si>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</si>
  <si>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</si>
  <si>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</si>
  <si>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</si>
  <si>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</si>
  <si>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</si>
  <si>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</si>
  <si>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</si>
  <si>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</si>
  <si>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</si>
  <si>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</si>
  <si>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</si>
  <si>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</si>
  <si>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</si>
  <si>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</si>
  <si>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</si>
  <si>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</si>
  <si>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</si>
  <si>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</si>
  <si>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</si>
  <si>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</si>
  <si>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</si>
  <si>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</si>
  <si>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</si>
  <si>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</si>
  <si>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</si>
  <si>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</si>
  <si>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</si>
  <si>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</si>
  <si>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</si>
  <si>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</si>
  <si>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</si>
  <si>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</si>
  <si>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</si>
  <si>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</si>
  <si>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</si>
  <si>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</si>
  <si>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</si>
  <si>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</si>
  <si>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</si>
  <si>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</si>
  <si>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</si>
  <si>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</si>
  <si>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</si>
  <si>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</si>
  <si>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</si>
  <si>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</si>
  <si>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</si>
  <si>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</si>
  <si>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</si>
  <si>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</si>
  <si>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</si>
  <si>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</si>
  <si>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</si>
  <si>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</si>
  <si>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</si>
  <si>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</si>
  <si>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</si>
  <si>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</si>
  <si>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</si>
  <si>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</si>
  <si>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</si>
  <si>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</si>
  <si>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</si>
  <si>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</si>
  <si>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</si>
  <si>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</si>
  <si>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</si>
  <si>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</si>
  <si>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</si>
  <si>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</si>
  <si>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</si>
  <si>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</si>
  <si>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</si>
  <si>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</si>
  <si>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</si>
  <si>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</si>
  <si>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</si>
  <si>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</si>
  <si>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</si>
  <si>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</si>
  <si>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</si>
  <si>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</si>
  <si>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</si>
  <si>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</si>
  <si>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</si>
  <si>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</si>
  <si>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</si>
  <si>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</si>
  <si>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</si>
  <si>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</si>
  <si>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</si>
  <si>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</si>
  <si>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</si>
  <si>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</si>
  <si>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</si>
  <si>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</si>
  <si>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</si>
  <si>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</si>
  <si>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</si>
  <si>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</si>
  <si>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</si>
  <si>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</si>
  <si>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</si>
  <si>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</si>
  <si>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</si>
  <si>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</si>
  <si>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</si>
  <si>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</si>
  <si>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</si>
  <si>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</si>
  <si>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</si>
  <si>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</si>
  <si>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</si>
  <si>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</si>
  <si>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</si>
  <si>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</si>
  <si>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</si>
  <si>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</si>
  <si>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</si>
  <si>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</si>
  <si>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</si>
  <si>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</si>
  <si>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</si>
  <si>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</si>
  <si>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</si>
  <si>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</si>
  <si>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</si>
  <si>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</si>
  <si>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</si>
  <si>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</si>
  <si>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</si>
  <si>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</si>
  <si>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</si>
  <si>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</si>
  <si>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</si>
  <si>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</si>
  <si>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</si>
  <si>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</si>
  <si>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</si>
  <si>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</si>
  <si>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</si>
  <si>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</si>
  <si>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</si>
  <si>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</si>
  <si>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</si>
  <si>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</si>
  <si>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</si>
  <si>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</si>
  <si>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</si>
  <si>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</si>
  <si>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</si>
  <si>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</si>
  <si>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</si>
  <si>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</si>
  <si>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</si>
  <si>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</si>
  <si>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</si>
  <si>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</si>
  <si>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</si>
  <si>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</si>
  <si>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</si>
  <si>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</si>
  <si>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</si>
  <si>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</si>
  <si>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</si>
  <si>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</si>
  <si>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</si>
  <si>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</si>
  <si>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</si>
  <si>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</si>
  <si>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</si>
  <si>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</si>
  <si>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</si>
  <si>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</si>
  <si>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</si>
  <si>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</si>
  <si>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</si>
  <si>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</si>
  <si>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</si>
  <si>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</si>
  <si>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</si>
  <si>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</si>
  <si>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</si>
  <si>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</si>
  <si>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</si>
  <si>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</si>
  <si>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</si>
  <si>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</si>
  <si>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</si>
  <si>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</si>
  <si>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</si>
  <si>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</si>
  <si>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</si>
  <si>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</si>
  <si>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</si>
  <si>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</si>
  <si>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</si>
  <si>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</si>
  <si>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</si>
  <si>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</si>
  <si>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</si>
  <si>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</si>
  <si>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</si>
  <si>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</si>
  <si>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</si>
  <si>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</si>
  <si>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</si>
  <si>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</si>
  <si>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</si>
  <si>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</si>
  <si>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</si>
  <si>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</si>
  <si>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</si>
  <si>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</si>
  <si>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</si>
  <si>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</si>
  <si>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</si>
  <si>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</si>
  <si>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</si>
  <si>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</si>
  <si>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</si>
  <si>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</si>
  <si>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</si>
  <si>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</si>
  <si>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</si>
  <si>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</si>
  <si>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</si>
  <si>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</si>
  <si>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</si>
  <si>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</si>
  <si>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</si>
  <si>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</si>
  <si>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</si>
  <si>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</si>
  <si>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</si>
  <si>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</si>
  <si>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</si>
  <si>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</si>
  <si>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</si>
  <si>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</si>
  <si>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</si>
  <si>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</si>
  <si>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</si>
  <si>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</si>
  <si>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</si>
  <si>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</si>
  <si>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</si>
  <si>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</si>
  <si>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</si>
  <si>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</si>
  <si>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</si>
  <si>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</si>
  <si>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</si>
  <si>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</si>
  <si>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</si>
  <si>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</si>
  <si>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</si>
  <si>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</si>
  <si>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</si>
  <si>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</si>
  <si>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</si>
  <si>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</si>
  <si>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</si>
  <si>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</si>
  <si>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</si>
  <si>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</si>
  <si>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</si>
  <si>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</si>
  <si>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</si>
  <si>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</si>
  <si>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</si>
  <si>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</si>
  <si>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</si>
  <si>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</si>
  <si>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</si>
  <si>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</si>
  <si>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</si>
  <si>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</si>
  <si>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</si>
  <si>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</si>
  <si>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</si>
  <si>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</si>
  <si>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</si>
  <si>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</si>
  <si>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</si>
  <si>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</si>
  <si>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</si>
  <si>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</si>
  <si>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</si>
  <si>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</si>
  <si>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</si>
  <si>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</si>
  <si>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</si>
  <si>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</si>
  <si>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</si>
  <si>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</si>
  <si>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</si>
  <si>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</si>
  <si>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</si>
  <si>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</si>
  <si>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</si>
  <si>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</si>
  <si>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</si>
  <si>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</si>
  <si>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</si>
  <si>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</si>
  <si>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</si>
  <si>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</si>
  <si>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</si>
  <si>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</si>
  <si>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</si>
  <si>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</si>
  <si>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</si>
  <si>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</si>
  <si>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</si>
  <si>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</si>
  <si>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</si>
  <si>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</si>
  <si>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</si>
  <si>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</si>
  <si>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</si>
  <si>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</si>
  <si>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</si>
  <si>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</si>
  <si>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</si>
  <si>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</si>
  <si>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</si>
  <si>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</si>
  <si>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</si>
  <si>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</si>
  <si>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</si>
  <si>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</si>
  <si>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</si>
  <si>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</si>
  <si>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</si>
  <si>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</si>
  <si>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</si>
  <si>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</si>
  <si>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</si>
  <si>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</si>
  <si>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</si>
  <si>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</si>
  <si>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</si>
  <si>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</si>
  <si>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</si>
  <si>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</si>
  <si>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</si>
  <si>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</si>
  <si>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</si>
  <si>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</si>
  <si>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</si>
  <si>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</si>
  <si>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</si>
  <si>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</si>
  <si>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</si>
  <si>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</si>
  <si>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</si>
  <si>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</si>
  <si>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</si>
  <si>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</si>
  <si>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</si>
  <si>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</si>
  <si>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</si>
  <si>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</si>
  <si>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</si>
  <si>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</si>
  <si>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</si>
  <si>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</si>
  <si>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</si>
  <si>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</si>
  <si>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</si>
  <si>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</si>
  <si>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</si>
  <si>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</si>
  <si>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</si>
  <si>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</si>
  <si>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</si>
  <si>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</si>
  <si>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</si>
  <si>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</si>
  <si>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</si>
  <si>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</si>
  <si>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</si>
  <si>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</si>
  <si>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</si>
  <si>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</si>
  <si>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</si>
  <si>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</si>
  <si>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</si>
  <si>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</si>
  <si>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</si>
  <si>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</si>
  <si>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</si>
  <si>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</si>
  <si>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</si>
  <si>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</si>
  <si>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</si>
  <si>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</si>
  <si>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</si>
  <si>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</si>
  <si>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</si>
  <si>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</si>
  <si>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</si>
  <si>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</si>
  <si>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</si>
  <si>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</si>
  <si>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</si>
  <si>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</si>
  <si>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</si>
  <si>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</si>
  <si>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</si>
  <si>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</si>
  <si>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</si>
  <si>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</si>
  <si>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</si>
  <si>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</si>
  <si>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</si>
  <si>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</si>
  <si>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</si>
  <si>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</si>
  <si>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</si>
  <si>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</si>
  <si>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</si>
  <si>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</si>
  <si>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</si>
  <si>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</si>
  <si>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</si>
  <si>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</si>
  <si>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</si>
  <si>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</si>
  <si>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</si>
  <si>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</si>
  <si>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</si>
  <si>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</si>
  <si>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</si>
  <si>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</si>
  <si>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</si>
  <si>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</si>
  <si>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</si>
  <si>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</si>
  <si>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</si>
  <si>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</si>
  <si>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</si>
  <si>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</si>
  <si>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</si>
  <si>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</si>
  <si>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</si>
  <si>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</si>
  <si>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</si>
  <si>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</si>
  <si>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</si>
  <si>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</si>
  <si>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</si>
  <si>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</si>
  <si>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</si>
  <si>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</si>
  <si>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</si>
  <si>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</si>
  <si>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</si>
  <si>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</si>
  <si>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</si>
  <si>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</si>
  <si>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</si>
  <si>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</si>
  <si>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</si>
  <si>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</si>
  <si>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</si>
  <si>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</si>
  <si>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</si>
  <si>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</si>
  <si>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</si>
  <si>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</si>
  <si>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</si>
  <si>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</si>
  <si>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</si>
  <si>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</si>
  <si>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</si>
  <si>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</si>
  <si>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</si>
  <si>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</si>
  <si>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</si>
  <si>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</si>
  <si>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</si>
  <si>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</si>
  <si>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</si>
  <si>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</si>
  <si>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</si>
  <si>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</si>
  <si>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</si>
  <si>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</si>
  <si>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</si>
  <si>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</si>
  <si>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</si>
  <si>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</si>
  <si>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</si>
  <si>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</si>
  <si>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</si>
  <si>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</si>
  <si>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</si>
  <si>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</si>
  <si>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</si>
  <si>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</si>
  <si>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</si>
  <si>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</si>
  <si>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</si>
  <si>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</si>
  <si>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</si>
  <si>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</si>
  <si>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</si>
  <si>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</si>
  <si>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</si>
  <si>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</si>
  <si>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</si>
  <si>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</si>
  <si>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</si>
  <si>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</si>
  <si>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</si>
  <si>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</si>
  <si>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</si>
  <si>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</si>
  <si>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</si>
  <si>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</si>
  <si>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</si>
  <si>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</si>
  <si>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</si>
  <si>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</si>
  <si>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</si>
  <si>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</si>
  <si>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</si>
  <si>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</si>
  <si>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</si>
  <si>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</si>
  <si>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</si>
  <si>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</si>
  <si>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</si>
  <si>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</si>
  <si>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</si>
  <si>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</si>
  <si>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</si>
  <si>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</si>
  <si>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</si>
  <si>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</si>
  <si>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</si>
  <si>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</si>
  <si>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</si>
  <si>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</si>
  <si>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</si>
  <si>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</si>
  <si>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</si>
  <si>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</si>
  <si>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</si>
  <si>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</si>
  <si>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</si>
  <si>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</si>
  <si>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</si>
  <si>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</si>
  <si>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</si>
  <si>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</si>
  <si>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</si>
  <si>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</si>
  <si>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</si>
  <si>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</si>
  <si>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</si>
  <si>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</si>
  <si>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</si>
  <si>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</si>
  <si>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</si>
  <si>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</si>
  <si>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</si>
  <si>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</si>
  <si>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</si>
  <si>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</si>
  <si>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</si>
  <si>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</si>
  <si>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</si>
  <si>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</si>
  <si>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</si>
  <si>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</si>
  <si>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</si>
  <si>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</si>
  <si>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</si>
  <si>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</si>
  <si>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</si>
  <si>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</si>
  <si>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</si>
  <si>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</si>
  <si>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</si>
  <si>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</si>
  <si>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</si>
  <si>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</si>
  <si>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</si>
  <si>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</si>
  <si>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</si>
  <si>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</si>
  <si>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</si>
  <si>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</si>
  <si>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</si>
  <si>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</si>
  <si>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</si>
  <si>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</si>
  <si>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</si>
  <si>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</si>
  <si>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</si>
  <si>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</si>
  <si>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</si>
  <si>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</si>
  <si>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</si>
  <si>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</si>
  <si>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</si>
  <si>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</si>
  <si>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</si>
  <si>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</si>
  <si>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</si>
  <si>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</si>
  <si>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</si>
  <si>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</si>
  <si>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</si>
  <si>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</si>
  <si>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</si>
  <si>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</si>
  <si>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</si>
  <si>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</si>
  <si>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</si>
  <si>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</si>
  <si>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</si>
  <si>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</si>
  <si>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</si>
  <si>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</si>
  <si>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</si>
  <si>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</si>
  <si>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</si>
  <si>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</si>
  <si>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</si>
  <si>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</si>
  <si>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</si>
  <si>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</si>
  <si>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</si>
  <si>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</si>
  <si>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</si>
  <si>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</si>
  <si>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</si>
  <si>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</si>
  <si>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</si>
  <si>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</si>
  <si>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</si>
  <si>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</si>
  <si>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</si>
  <si>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</si>
  <si>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</si>
  <si>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</si>
  <si>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</si>
  <si>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</si>
  <si>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</si>
  <si>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</si>
  <si>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</si>
  <si>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</si>
  <si>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</si>
  <si>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</si>
  <si>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</si>
  <si>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</si>
  <si>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</si>
  <si>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</si>
  <si>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</si>
  <si>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</si>
  <si>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</si>
  <si>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</si>
  <si>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</si>
  <si>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</si>
  <si>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</si>
  <si>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</si>
  <si>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</si>
  <si>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</si>
  <si>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</si>
  <si>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</si>
  <si>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</si>
  <si>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</si>
  <si>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</si>
  <si>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</si>
  <si>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</si>
  <si>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</si>
  <si>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</si>
  <si>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</si>
  <si>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</si>
  <si>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</si>
  <si>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</si>
  <si>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</si>
  <si>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</si>
  <si>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</si>
  <si>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</si>
  <si>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</si>
  <si>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</si>
  <si>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</si>
  <si>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</si>
  <si>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</si>
  <si>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</si>
  <si>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</si>
  <si>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</si>
  <si>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</si>
  <si>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</si>
  <si>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</si>
  <si>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</si>
  <si>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</si>
  <si>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</si>
  <si>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</si>
  <si>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</si>
  <si>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</si>
  <si>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</si>
  <si>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</si>
  <si>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</si>
  <si>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</si>
  <si>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</si>
  <si>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</si>
  <si>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</si>
  <si>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</si>
  <si>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</si>
  <si>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</si>
  <si>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</si>
  <si>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</si>
  <si>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</si>
  <si>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</si>
  <si>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</si>
  <si>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</si>
  <si>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</si>
  <si>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</si>
  <si>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</si>
  <si>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</si>
  <si>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</si>
  <si>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</si>
  <si>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</si>
  <si>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</si>
  <si>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</si>
  <si>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</si>
  <si>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</si>
  <si>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</si>
  <si>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</si>
  <si>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</si>
  <si>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</si>
  <si>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</si>
  <si>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</si>
  <si>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</si>
  <si>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</si>
  <si>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</si>
  <si>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</si>
  <si>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</si>
  <si>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</si>
  <si>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</si>
  <si>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</si>
  <si>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</si>
  <si>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</si>
  <si>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</si>
  <si>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</si>
  <si>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</si>
  <si>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</si>
  <si>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</si>
  <si>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</si>
  <si>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</si>
  <si>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</si>
  <si>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</si>
  <si>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</si>
  <si>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</si>
  <si>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</si>
  <si>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</si>
  <si>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</si>
  <si>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</si>
  <si>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</si>
  <si>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</si>
  <si>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</si>
  <si>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</si>
  <si>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</si>
  <si>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</si>
  <si>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</si>
  <si>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</si>
  <si>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</si>
  <si>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</si>
  <si>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</si>
  <si>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</si>
  <si>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</si>
  <si>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</si>
  <si>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</si>
  <si>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</si>
  <si>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</si>
  <si>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</si>
  <si>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</si>
  <si>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</si>
  <si>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</si>
  <si>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</si>
  <si>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</si>
  <si>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</si>
  <si>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</si>
  <si>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</si>
  <si>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</si>
  <si>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</si>
  <si>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</si>
  <si>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</si>
  <si>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</si>
  <si>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</si>
  <si>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</si>
  <si>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</si>
  <si>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</si>
  <si>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</si>
  <si>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</si>
  <si>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</si>
  <si>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</si>
  <si>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</si>
  <si>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</si>
  <si>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</si>
  <si>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</si>
  <si>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</si>
  <si>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</si>
  <si>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</si>
  <si>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</si>
  <si>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</si>
  <si>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</si>
  <si>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</si>
  <si>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</si>
  <si>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</si>
  <si>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</si>
  <si>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</si>
  <si>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</si>
  <si>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</si>
  <si>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</si>
  <si>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</si>
  <si>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</si>
  <si>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</si>
  <si>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</si>
  <si>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</si>
  <si>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</si>
  <si>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</si>
  <si>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</si>
  <si>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</si>
  <si>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</si>
  <si>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</si>
  <si>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</si>
  <si>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</si>
  <si>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</si>
  <si>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</si>
  <si>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</si>
  <si>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</si>
  <si>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</si>
  <si>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</si>
  <si>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</si>
  <si>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</si>
  <si>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</si>
  <si>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</si>
  <si>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</si>
  <si>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</si>
  <si>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</si>
  <si>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</si>
  <si>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</si>
  <si>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</si>
  <si>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</si>
  <si>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序号</t>
    <phoneticPr fontId="135" type="noConversion"/>
  </si>
  <si>
    <t>坐落</t>
    <phoneticPr fontId="135" type="noConversion"/>
  </si>
  <si>
    <t>建筑面积</t>
    <phoneticPr fontId="135" type="noConversion"/>
  </si>
  <si>
    <t>商业、办公</t>
    <phoneticPr fontId="135" type="noConversion"/>
  </si>
  <si>
    <t>石景山区五一剧场路1号院1号楼1至4层101</t>
    <phoneticPr fontId="135" type="noConversion"/>
  </si>
  <si>
    <t>石景山区五一剧场路1号院2号楼1至6层101</t>
    <phoneticPr fontId="135" type="noConversion"/>
  </si>
  <si>
    <t>总楼层</t>
    <phoneticPr fontId="135" type="noConversion"/>
  </si>
  <si>
    <r>
      <t>1</t>
    </r>
    <r>
      <rPr>
        <sz val="11"/>
        <color theme="1"/>
        <rFont val="宋体"/>
        <family val="3"/>
        <charset val="134"/>
        <scheme val="minor"/>
      </rPr>
      <t>-4层</t>
    </r>
    <phoneticPr fontId="135" type="noConversion"/>
  </si>
  <si>
    <r>
      <t>1</t>
    </r>
    <r>
      <rPr>
        <sz val="11"/>
        <color theme="1"/>
        <rFont val="宋体"/>
        <family val="3"/>
        <charset val="134"/>
        <scheme val="minor"/>
      </rPr>
      <t>-6层</t>
    </r>
    <phoneticPr fontId="135" type="noConversion"/>
  </si>
  <si>
    <t>1-2层</t>
    <phoneticPr fontId="135" type="noConversion"/>
  </si>
  <si>
    <t>商业</t>
    <phoneticPr fontId="135" type="noConversion"/>
  </si>
  <si>
    <t>石景山区五一剧场路1号院3号楼1至2层101</t>
    <phoneticPr fontId="135" type="noConversion"/>
  </si>
  <si>
    <t>石景山区五一剧场路1号院4号楼1至2层101</t>
    <phoneticPr fontId="135" type="noConversion"/>
  </si>
  <si>
    <t>石景山区五一剧场路1号院5号楼1至6层101</t>
    <phoneticPr fontId="135" type="noConversion"/>
  </si>
  <si>
    <t>石景山区五一剧场路1号院6号楼1至2层101</t>
    <phoneticPr fontId="135" type="noConversion"/>
  </si>
  <si>
    <t>石景山区五一剧场路1号院7号楼1至2层101</t>
    <phoneticPr fontId="135" type="noConversion"/>
  </si>
  <si>
    <t>所属地块</t>
    <phoneticPr fontId="135" type="noConversion"/>
  </si>
  <si>
    <t>石景山区五一剧场路5号院1号楼1至6层101</t>
    <phoneticPr fontId="135" type="noConversion"/>
  </si>
  <si>
    <t>石景山区五一剧场路5号院2号楼1至6层101</t>
    <phoneticPr fontId="135" type="noConversion"/>
  </si>
  <si>
    <t>石景山区五一剧场路5号院3号楼1至5层101</t>
    <phoneticPr fontId="135" type="noConversion"/>
  </si>
  <si>
    <t>1-5层</t>
    <phoneticPr fontId="135" type="noConversion"/>
  </si>
  <si>
    <t>石景山区五一剧场路5号院4号楼1至4层101</t>
    <phoneticPr fontId="135" type="noConversion"/>
  </si>
  <si>
    <t>1层</t>
    <phoneticPr fontId="135" type="noConversion"/>
  </si>
  <si>
    <t>文体体验</t>
    <phoneticPr fontId="135" type="noConversion"/>
  </si>
  <si>
    <t>石景山区五一剧场路5号院5号楼1层101</t>
    <phoneticPr fontId="135" type="noConversion"/>
  </si>
  <si>
    <t>石景山区五一剧场南路1号院1号楼1至6层101</t>
    <phoneticPr fontId="135" type="noConversion"/>
  </si>
  <si>
    <t>文体体验、配套餐饮</t>
  </si>
  <si>
    <t>文体体验、配套餐饮</t>
    <phoneticPr fontId="135" type="noConversion"/>
  </si>
  <si>
    <t>石景山区五一剧场南路1号院3号楼1至3层101</t>
    <phoneticPr fontId="135" type="noConversion"/>
  </si>
  <si>
    <t>1-3层</t>
  </si>
  <si>
    <t>1-3层</t>
    <phoneticPr fontId="135" type="noConversion"/>
  </si>
  <si>
    <t>配套餐饮</t>
  </si>
  <si>
    <t>配套餐饮</t>
    <phoneticPr fontId="135" type="noConversion"/>
  </si>
  <si>
    <t>石景山区五一剧场南路1号院4号楼-1至6层101</t>
    <phoneticPr fontId="135" type="noConversion"/>
  </si>
  <si>
    <t>-1-6层</t>
    <phoneticPr fontId="135" type="noConversion"/>
  </si>
  <si>
    <t>文体体验、配套餐饮、设备机房</t>
  </si>
  <si>
    <t>石景山区五一剧场南路2号院1号楼1至9层101</t>
    <phoneticPr fontId="135" type="noConversion"/>
  </si>
  <si>
    <t>商业、文体体验、配套餐饮</t>
    <phoneticPr fontId="135" type="noConversion"/>
  </si>
  <si>
    <t>1-9层</t>
    <phoneticPr fontId="135" type="noConversion"/>
  </si>
  <si>
    <t>石景山区五一剧场南路4号院1号楼1至4层101</t>
    <phoneticPr fontId="135" type="noConversion"/>
  </si>
  <si>
    <t>石景山区五一剧场南路4号院2号楼1至3层101</t>
    <phoneticPr fontId="135" type="noConversion"/>
  </si>
  <si>
    <t>产权证土地用途</t>
    <phoneticPr fontId="135" type="noConversion"/>
  </si>
  <si>
    <t>商务金融用地，其他商服用地</t>
    <phoneticPr fontId="135" type="noConversion"/>
  </si>
  <si>
    <t>文体娱乐用地，商务金融用地，其他商服用地</t>
    <phoneticPr fontId="135" type="noConversion"/>
  </si>
  <si>
    <t>房屋用途</t>
    <phoneticPr fontId="135" type="noConversion"/>
  </si>
  <si>
    <t>文体娱乐用地</t>
    <phoneticPr fontId="135" type="noConversion"/>
  </si>
  <si>
    <t>文体娱乐用地，其他商服用地</t>
  </si>
  <si>
    <t>文体娱乐用地，其他商服用地</t>
    <phoneticPr fontId="135" type="noConversion"/>
  </si>
  <si>
    <t>739地块其他类多功能用地</t>
    <phoneticPr fontId="135" type="noConversion"/>
  </si>
  <si>
    <r>
      <t>738</t>
    </r>
    <r>
      <rPr>
        <sz val="11"/>
        <color theme="1"/>
        <rFont val="宋体"/>
        <family val="3"/>
        <charset val="134"/>
        <scheme val="minor"/>
      </rPr>
      <t>地块其他类多功能用地</t>
    </r>
    <phoneticPr fontId="135" type="noConversion"/>
  </si>
  <si>
    <t>749地块娱乐康体用地</t>
    <phoneticPr fontId="135" type="noConversion"/>
  </si>
  <si>
    <t>758地块娱乐康体用地</t>
    <phoneticPr fontId="135" type="noConversion"/>
  </si>
  <si>
    <t>755地块娱乐康体用地</t>
    <phoneticPr fontId="135" type="noConversion"/>
  </si>
  <si>
    <t>配套餐饮、分界室</t>
    <phoneticPr fontId="135" type="noConversion"/>
  </si>
  <si>
    <t>石景山区五一剧场南路4号院3号楼1至3层101</t>
    <phoneticPr fontId="135" type="noConversion"/>
  </si>
  <si>
    <t>石景山区五一剧场南路6号院3号楼1至3层101</t>
    <phoneticPr fontId="135" type="noConversion"/>
  </si>
  <si>
    <t>石景山区五一剧场南路6号院1号楼1至4层101</t>
    <phoneticPr fontId="135" type="noConversion"/>
  </si>
  <si>
    <r>
      <t>75</t>
    </r>
    <r>
      <rPr>
        <sz val="11"/>
        <color theme="1"/>
        <rFont val="宋体"/>
        <family val="3"/>
        <charset val="134"/>
        <scheme val="minor"/>
      </rPr>
      <t>4</t>
    </r>
    <r>
      <rPr>
        <sz val="11"/>
        <color theme="1"/>
        <rFont val="宋体"/>
        <family val="3"/>
        <charset val="134"/>
        <scheme val="minor"/>
      </rPr>
      <t>地块娱乐康体用地</t>
    </r>
    <phoneticPr fontId="135" type="noConversion"/>
  </si>
  <si>
    <t>石景山区五一剧场南路6号院2号楼1至6层101</t>
    <phoneticPr fontId="135" type="noConversion"/>
  </si>
  <si>
    <t>1-6层</t>
  </si>
  <si>
    <t>文体体验、分界室</t>
    <phoneticPr fontId="135" type="noConversion"/>
  </si>
  <si>
    <t>石景山区五一剧场南路6号院4号楼1至3层101</t>
    <phoneticPr fontId="135" type="noConversion"/>
  </si>
  <si>
    <t>总计</t>
    <phoneticPr fontId="135" type="noConversion"/>
  </si>
  <si>
    <t>地上建筑面积</t>
    <phoneticPr fontId="135" type="noConversion"/>
  </si>
  <si>
    <t>地下建筑面积</t>
    <phoneticPr fontId="135" type="noConversion"/>
  </si>
  <si>
    <t>成新度</t>
  </si>
  <si>
    <t>建安单价</t>
    <phoneticPr fontId="135" type="noConversion"/>
  </si>
  <si>
    <t>建安总价</t>
    <phoneticPr fontId="135" type="noConversion"/>
  </si>
  <si>
    <t>建成年代</t>
    <phoneticPr fontId="135" type="noConversion"/>
  </si>
  <si>
    <t>成新度</t>
    <phoneticPr fontId="135" type="noConversion"/>
  </si>
  <si>
    <t>是</t>
  </si>
  <si>
    <t>地上</t>
  </si>
  <si>
    <t>土地面积</t>
    <phoneticPr fontId="135" type="noConversion"/>
  </si>
  <si>
    <t>业态</t>
  </si>
  <si>
    <t>租户名称</t>
  </si>
  <si>
    <t>品牌</t>
  </si>
  <si>
    <t>抵押物楼层及房号</t>
  </si>
  <si>
    <t>经营现状（正常/空置/免租期）</t>
  </si>
  <si>
    <t>建筑面积(㎡)</t>
  </si>
  <si>
    <t>承租面积(㎡)</t>
  </si>
  <si>
    <t>交付日</t>
  </si>
  <si>
    <t>租赁起始日期</t>
  </si>
  <si>
    <t>租赁到期日期</t>
  </si>
  <si>
    <t>免租期</t>
  </si>
  <si>
    <t>租金缴交起始日期</t>
  </si>
  <si>
    <t>目前租金单价(元/㎡/月)</t>
  </si>
  <si>
    <t>折算日单价</t>
  </si>
  <si>
    <t>25年租金总额（元）</t>
  </si>
  <si>
    <t>租金支付频率</t>
  </si>
  <si>
    <t>租约增长率约定</t>
  </si>
  <si>
    <t>租金支付情况审查或抽查结果</t>
  </si>
  <si>
    <t>付款方式</t>
  </si>
  <si>
    <t>物业费（元/㎡/月）</t>
  </si>
  <si>
    <t>租户与权属人是否存在关联关系</t>
  </si>
  <si>
    <t>租金审查情况（核查凭证类型、租金覆盖期间等）</t>
  </si>
  <si>
    <t>租金缴交情况是否与合同约定一致</t>
  </si>
  <si>
    <t>北京尚美乐餐饮管理有限公司</t>
  </si>
  <si>
    <t>醉面</t>
  </si>
  <si>
    <t>D-3-304C</t>
  </si>
  <si>
    <t>正常</t>
  </si>
  <si>
    <t>/</t>
  </si>
  <si>
    <t>电汇</t>
  </si>
  <si>
    <t>否</t>
  </si>
  <si>
    <t>北京庆红之星汽车销售服务有限公司</t>
  </si>
  <si>
    <t>SMART</t>
  </si>
  <si>
    <t>D-1-101C</t>
  </si>
  <si>
    <t>250元/㎡/月-2025/6/17之前
272.5元/㎡/月-2026/6/30之前</t>
  </si>
  <si>
    <t>北京工汇有渔餐饮中心</t>
  </si>
  <si>
    <t>半天妖烤鱼</t>
  </si>
  <si>
    <t>D-3-304A</t>
  </si>
  <si>
    <t>225元/㎡/月-2025/6/17之前
239元/㎡/月-2026/6/17之前</t>
  </si>
  <si>
    <t>北京九木花道餐饮有限公司</t>
  </si>
  <si>
    <t>九本居酒屋</t>
  </si>
  <si>
    <t>D-1-101D</t>
  </si>
  <si>
    <t>248元/㎡/月-2025/6/17之前
263元/㎡/月-2026/6/17之前
278元/㎡/月-2027/6/17之前</t>
  </si>
  <si>
    <t>北京蔚来汽车销售服务有限公司</t>
  </si>
  <si>
    <t>蔚来汽车</t>
  </si>
  <si>
    <t>D-1-102-1F,2-102-2F</t>
  </si>
  <si>
    <t>无</t>
  </si>
  <si>
    <t>213.48元/㎡/月-2025/6/17之前
226.29元/㎡/月-2026/6/17之前
239.87元/㎡/月-2027/6/17之前</t>
  </si>
  <si>
    <t>北京比格送餐饮管理有限责任公司</t>
  </si>
  <si>
    <t>比格比萨</t>
  </si>
  <si>
    <t>D-4-412C</t>
  </si>
  <si>
    <t>112.36元/㎡/月-2025/6/17之前
150元/㎡/月-2026/6/17之前
159元/㎡/月-2027/6/17之前</t>
  </si>
  <si>
    <t>北京江边城外阳光餐饮管理有限公司</t>
  </si>
  <si>
    <t>江边城外</t>
  </si>
  <si>
    <t>D-4-410A</t>
  </si>
  <si>
    <t>240元/㎡/月-2025/6/17之前
250元/㎡/月-2026/6/17之前
260元/㎡/月-2027/6/17之前</t>
  </si>
  <si>
    <t>理想智造汽车销售服务（北京）有限公司</t>
  </si>
  <si>
    <t>理想汽车</t>
  </si>
  <si>
    <t>D-1-107B</t>
  </si>
  <si>
    <t>400元/㎡/月-2025/6/17之前
420元/㎡/月-2026/6/17之前
440元/㎡/月-2027/6/17之前</t>
  </si>
  <si>
    <t>北京秀池餐饮管理有限公司</t>
  </si>
  <si>
    <t>小吊梨汤</t>
  </si>
  <si>
    <t>D-4-409A</t>
  </si>
  <si>
    <t>25元/㎡/月-2025/6/17之前
30元/㎡/月-2028/6/17之前
35元/㎡/月-2030/6/17之前</t>
  </si>
  <si>
    <t>北京童馨水育文化发展有限公司</t>
  </si>
  <si>
    <t>马博士</t>
  </si>
  <si>
    <t>D-3-303（原304）</t>
  </si>
  <si>
    <t>北京瑞吉咖啡有限公司</t>
  </si>
  <si>
    <t>瑞幸咖啡-购物中心</t>
  </si>
  <si>
    <t>D-2-D1-2F-D06</t>
  </si>
  <si>
    <t>471.91元/㎡/月-2025/7/7之前
500.23元/㎡/月-2026/7/7之前</t>
  </si>
  <si>
    <t>万具浩特（北京）文化发展有限公司/趣玩之星（北京）文化发展有限公司</t>
  </si>
  <si>
    <t>奥曼之星</t>
  </si>
  <si>
    <t>D-4-D1-4F-D04</t>
  </si>
  <si>
    <t>瑞幸大师店</t>
  </si>
  <si>
    <t>B2-1-102B（原103B）</t>
  </si>
  <si>
    <t>北京一轻食品集团有限公司</t>
  </si>
  <si>
    <t xml:space="preserve">北平制冰厂 </t>
  </si>
  <si>
    <t>D-1-108B</t>
  </si>
  <si>
    <t>北京月蕾形象设计有限公司</t>
  </si>
  <si>
    <t>萌家baby</t>
  </si>
  <si>
    <t>E2-3-301,3-302A,3-302公区</t>
  </si>
  <si>
    <t>华夏银行股份有限公司北京分行</t>
  </si>
  <si>
    <t>华夏银行</t>
  </si>
  <si>
    <t>B5-1-102（原103+104）</t>
  </si>
  <si>
    <t>255.5元/㎡/月-2026/6/30之前
268.28元/㎡/月-2027/6/30之前</t>
  </si>
  <si>
    <t>北京涌鑫茂源餐饮管理有限公司</t>
  </si>
  <si>
    <t>THE WOODS CAFÉ</t>
  </si>
  <si>
    <t>D-1-108A</t>
  </si>
  <si>
    <t>北京星巴克咖啡有限公司</t>
  </si>
  <si>
    <t>星巴克</t>
  </si>
  <si>
    <t>D-1-106C（原117）</t>
  </si>
  <si>
    <t>晋三喜（北京）食品有限公司</t>
  </si>
  <si>
    <t>晋三喜</t>
  </si>
  <si>
    <t>C1-1-101B</t>
  </si>
  <si>
    <t>209.88元/㎡/月-2027/2/22之前
222.47元/㎡/月-2028/2/22之前</t>
  </si>
  <si>
    <t>北京蔚来能源科技有限公司</t>
  </si>
  <si>
    <t>蔚来能源</t>
  </si>
  <si>
    <t>F</t>
  </si>
  <si>
    <t>北京良子秀池汤泉健身服务有限公司</t>
  </si>
  <si>
    <t>汤泉良子</t>
  </si>
  <si>
    <t>C1-4-401-411,5-501-512,6-601-612</t>
  </si>
  <si>
    <t>23年2月-6月15日</t>
  </si>
  <si>
    <t>66.25元/㎡/月-2025/2/14之前
69.56元/㎡/月-2029/2/14之前
73.04元/㎡/月-2032/2/14之前
76.69元/㎡/月-2033/2/14之前</t>
  </si>
  <si>
    <t>无租金，经咨询因租户法人变更，故未支付租金</t>
  </si>
  <si>
    <t>北京骑车吧兄弟贸易有限公司</t>
  </si>
  <si>
    <t>MCC</t>
  </si>
  <si>
    <t>C4-1-102A</t>
  </si>
  <si>
    <t>23年3-4月</t>
  </si>
  <si>
    <t>183.41元/㎡/月-2026/2/28之前
195.58元/㎡/月-2027/2/29之前</t>
  </si>
  <si>
    <t>北京崔克自行车经销有限公司第八分公司</t>
  </si>
  <si>
    <t>Trek</t>
  </si>
  <si>
    <t>C1-1-101A</t>
  </si>
  <si>
    <t>300元/㎡/月-2026/2/11之前
320元/㎡/月-2027/2/11之前
360元/㎡/月-2028/2/11之前</t>
  </si>
  <si>
    <t>北京艾恰餐饮服务有限公司（纯抽）</t>
  </si>
  <si>
    <t>M Stand</t>
  </si>
  <si>
    <t>B2-1-101B</t>
  </si>
  <si>
    <t>157.5元/㎡/月-2027/4/30之前
165元/㎡/月-2028/4/30之前</t>
  </si>
  <si>
    <t>纯提成租户，近一年提成租金119897</t>
  </si>
  <si>
    <t>拉佤餐饮管理（北京）有限公司</t>
  </si>
  <si>
    <t>幸福里</t>
  </si>
  <si>
    <t>C4-1-101A</t>
  </si>
  <si>
    <t>170元/㎡/月-2025/5/31之前
190元/㎡/月-2026/5/31之前
215元/㎡/月-2027/5/31之前
225元/㎡/月-2028/5/31之前</t>
  </si>
  <si>
    <t>四条人（北京）餐饮有限公司</t>
  </si>
  <si>
    <t>唔哩家</t>
  </si>
  <si>
    <t>C1-1-102C,1-102C-ADD</t>
  </si>
  <si>
    <t>160元/㎡/月-2025/8/31之前
170元/㎡/月-2026/8/31之前</t>
  </si>
  <si>
    <t>北京肯德基有限公司（纯抽）</t>
  </si>
  <si>
    <t>KFC</t>
  </si>
  <si>
    <t>D-1-112B</t>
  </si>
  <si>
    <t>纯提成租户，近一年提成租金152217</t>
  </si>
  <si>
    <t>北京必胜客比萨饼有限公司（纯抽）</t>
  </si>
  <si>
    <t>Pizza Hut</t>
  </si>
  <si>
    <t>D-1-112A</t>
  </si>
  <si>
    <t>纯提成租户，近一年提成租金235338</t>
  </si>
  <si>
    <t>北京盛大荷蔚金福餐饮管理有限公司</t>
  </si>
  <si>
    <t>陕味食族</t>
  </si>
  <si>
    <t>D-2-204C</t>
  </si>
  <si>
    <t>256元/㎡/月-2025/9/14之前
281.6元/㎡/月-2026/9/14之前</t>
  </si>
  <si>
    <t>北京亿鼎兴餐饮有限公司</t>
  </si>
  <si>
    <t>一品生煎</t>
  </si>
  <si>
    <t>D-2-204ADD,2-204D</t>
  </si>
  <si>
    <t>170元/㎡/月-2025/9/14之前
180元/㎡/月-2026/9/14之前</t>
  </si>
  <si>
    <t>北京原食耀阳餐饮管理有限责任公司</t>
  </si>
  <si>
    <t xml:space="preserve">原食食堂 </t>
  </si>
  <si>
    <t>C1-2-201-209,2-210-ADD,3-301-312,3-313-ADD</t>
  </si>
  <si>
    <t>37.72元/㎡/天-2027/10/14之前
42.58元/㎡/天-2031/10/14之前</t>
  </si>
  <si>
    <t>六虎家（北京）餐饮管理有限公司</t>
  </si>
  <si>
    <t>六虎家</t>
  </si>
  <si>
    <t>C1-1-102A（原104B）</t>
  </si>
  <si>
    <t>180元/㎡/月-2025/12/19之前
190元/㎡/月-2027/12/19之前
200元/㎡/月-2028/12/19之前</t>
  </si>
  <si>
    <t>三合汇彩（北京）餐饮服务有限责任公司</t>
  </si>
  <si>
    <t>乐趣小炉子</t>
  </si>
  <si>
    <t>C4-1-103A（原101）</t>
  </si>
  <si>
    <t>212元/㎡/月-2025/11/24之前
224.72元/㎡/月-2026/11/24之前
238.2元/㎡/月-2027/11/24之前
252.5元/㎡/月-2028/11/24之前</t>
  </si>
  <si>
    <t>拾捌（北京）餐饮服务有限责任公司</t>
  </si>
  <si>
    <t>沅酒吧</t>
  </si>
  <si>
    <t>C4-1-101B（原104B）</t>
  </si>
  <si>
    <t>140元/㎡/月-2025/1/22之前
148.4元/㎡/月-2026/1/22之前
157.30元/㎡/月-2027/1/22之前</t>
  </si>
  <si>
    <t>北京合德顺餐饮管理有限公司</t>
  </si>
  <si>
    <t>果然居</t>
  </si>
  <si>
    <t>C3-1-101,1-102,1-103,2-201,3-301,3-C3-ADD</t>
  </si>
  <si>
    <t>60元/㎡/月-2026/10/31之前
70元/㎡/月-2028/10/31之前
73.5元/㎡/月-2030/10/31之前
77元/㎡/月-2032/10/31之前
80元/㎡/月-2034/1/24之前</t>
  </si>
  <si>
    <t>租金少，近一年租金约为50万元。</t>
  </si>
  <si>
    <t>北京新世纪青年餐饮管理有限公司</t>
  </si>
  <si>
    <t>徽苑</t>
  </si>
  <si>
    <t>B4-1-101,2-201</t>
  </si>
  <si>
    <t>60元/㎡/月-2027/1/19之前
65元/㎡/月-2029/1/19之前
70元/㎡/月-2031/1/19之前
75元/㎡/月-2033/1/19之前
80元/㎡/月-2034/1/19之前</t>
  </si>
  <si>
    <t>青年星厨</t>
  </si>
  <si>
    <t>B3-1-101,2-201</t>
  </si>
  <si>
    <t>北京伍合商贸有限公司</t>
  </si>
  <si>
    <t>Family Mart</t>
  </si>
  <si>
    <t xml:space="preserve">B2-1-102A </t>
  </si>
  <si>
    <t>95.4元/㎡/月-2026/1/31之前
101.12元/㎡/月-2027/1/31之前
107.19元/㎡/月-2028/1/31之前
113.62元/㎡/月-2029/1/31之前</t>
  </si>
  <si>
    <t xml:space="preserve">新森林五福茶寿（北京）文化科技有限公司  </t>
  </si>
  <si>
    <t>大荒茶叙</t>
  </si>
  <si>
    <t>B2-1-102C</t>
  </si>
  <si>
    <t>162元/㎡/月-2026/1/31之前
172元/㎡/月-2027/1/31之前</t>
  </si>
  <si>
    <t>北京露营风尚文化有限责任公司</t>
  </si>
  <si>
    <t>伯希和</t>
  </si>
  <si>
    <t>D-1-104A-1F</t>
  </si>
  <si>
    <t>纯提成租户，近一年提成租金226285</t>
  </si>
  <si>
    <t>北京麦达人餐饮管理有限公司</t>
  </si>
  <si>
    <t>原麦山丘</t>
  </si>
  <si>
    <t>D-1-109A1（原105）</t>
  </si>
  <si>
    <t>143.10元/㎡/月-2026/4/30之前
151.69元/㎡/月-2027/4/30之前
160.79元/㎡/月-2028/4/30之前</t>
  </si>
  <si>
    <t>北京印象视界传媒有限公司</t>
  </si>
  <si>
    <t>健康少年</t>
  </si>
  <si>
    <t>D-3-301A（原309）,3-301B</t>
  </si>
  <si>
    <t xml:space="preserve">北京森德伊特体育文化有限公司 </t>
  </si>
  <si>
    <t>Climb On</t>
  </si>
  <si>
    <t>D-1-101A,1-101B</t>
  </si>
  <si>
    <t>纯提成租户，近一年流水135692</t>
  </si>
  <si>
    <t>北京麦丰影业有限公司 （原苗永杰）</t>
  </si>
  <si>
    <t>保利影城</t>
  </si>
  <si>
    <t>E3-1-101,2-201,2-202,3-301,3-302</t>
  </si>
  <si>
    <t>北京玛琳柠檬体育文化发展有限公司</t>
  </si>
  <si>
    <t>玛琳柠檬</t>
  </si>
  <si>
    <t>D-3-306（原301）</t>
  </si>
  <si>
    <t>65元/㎡/月-2026/5/31之前
68.9元/㎡/月-2028/6/17之前</t>
  </si>
  <si>
    <t>北京俊利餐饮管理有限公司</t>
  </si>
  <si>
    <t>霸王茶姬</t>
  </si>
  <si>
    <t>D-1-106B</t>
  </si>
  <si>
    <t>106元/㎡/月-2026/6/20之前
112.36元/㎡/月-2027/6/20之前</t>
  </si>
  <si>
    <t>北京湘采隐小厨餐饮有限公司（原北京凯顺达餐饮有限公司）</t>
  </si>
  <si>
    <t>隐小厨</t>
  </si>
  <si>
    <t>D-4-413</t>
  </si>
  <si>
    <t>110元/㎡/月-2025/10/29之前
115.50元/㎡/月-2026/10/29之前
121.28元/㎡/月-2027/10/29之前
127.34元/㎡/月-2028/10/29之前
133.71元/㎡/月-2029/10/29之前</t>
  </si>
  <si>
    <t>北京荣盛祥瑞新能源汽车销售服务有限公司</t>
  </si>
  <si>
    <t>零跑</t>
  </si>
  <si>
    <t>D-1-105A（原109）</t>
  </si>
  <si>
    <t>北京首钢实业集团有限公司总部管理服务分公司</t>
  </si>
  <si>
    <t>首钢实业美好生活</t>
  </si>
  <si>
    <t>E3-1-102A（原101）</t>
  </si>
  <si>
    <t>152.08元/㎡/月-2025/9/30之前
164.25元/㎡/月-2026/9/30之前
177.39元/㎡/月-2027/9/30之前</t>
  </si>
  <si>
    <t>北京茵赫餐饮管理有限公司</t>
  </si>
  <si>
    <t>MANNER</t>
  </si>
  <si>
    <t>C1-1-102B（原104A）</t>
  </si>
  <si>
    <t>200元/㎡/月-2025/9/13之前
212元/㎡/月-2026/9/13之前
224.72元/㎡/月-2026/9/13之前
238.2元/㎡/月-2028/9/13之前
252.5元/㎡/月-2034/1/19之前</t>
  </si>
  <si>
    <t>北京六工餐饮有限公司</t>
  </si>
  <si>
    <t>野人先生</t>
  </si>
  <si>
    <t>D-1-109A2（原105）</t>
  </si>
  <si>
    <t>220元/㎡/月-2025/9/30之前
235元/㎡/月-2026/9/30之前
250元/㎡/月-2027/9/30之前</t>
  </si>
  <si>
    <t>北京广圣体育有限公司</t>
  </si>
  <si>
    <t>allstar</t>
  </si>
  <si>
    <t>D-2-201</t>
  </si>
  <si>
    <t>12元/㎡/月-2025/11/1之前
18元/㎡/月-2026/11/1之前
45元/㎡/月-2027/11/1之前</t>
  </si>
  <si>
    <t>宫宇</t>
  </si>
  <si>
    <t>Linlee</t>
  </si>
  <si>
    <t>D-2-D1-2F-D02</t>
  </si>
  <si>
    <t>405元/㎡/月-2025/9/30之前
420元/㎡/月-2026/9/30之前</t>
  </si>
  <si>
    <t>北京云森小筑商贸有限公司</t>
  </si>
  <si>
    <t>清筑自然</t>
  </si>
  <si>
    <t>D-2-203</t>
  </si>
  <si>
    <t>130元/㎡/月-2025/11/21之前
150元/㎡/月-2026/11/21之前</t>
  </si>
  <si>
    <t>鱼丰（北京）餐饮管理有限公司</t>
  </si>
  <si>
    <t>鱼丰·胶东小海鲜</t>
  </si>
  <si>
    <t>C4-1-103B,1-103C</t>
  </si>
  <si>
    <t>160元/㎡/月-2026/1/11之前
166.4元/㎡/月-2027/1/11之前
173.06元/㎡/月-2028/1/11之前
179.68元/㎡/月-2029/1/11之前</t>
  </si>
  <si>
    <t>北京创世飞翔科技有限公司</t>
  </si>
  <si>
    <t>大疆</t>
  </si>
  <si>
    <t>B2-1-101C</t>
  </si>
  <si>
    <t>200元/㎡/月-2026/3/12之前
212元/㎡/月-2027/3/12之前</t>
  </si>
  <si>
    <t>中青旅新域（北京）旅游有限公司</t>
  </si>
  <si>
    <t>中青旅遨游旅行社</t>
  </si>
  <si>
    <t>北京柒碗茶餐饮管理有限公司</t>
  </si>
  <si>
    <t>柒碗茶</t>
  </si>
  <si>
    <t>B2-1-101A</t>
  </si>
  <si>
    <t>170元/㎡/月-2026/4/20之前
180.2元/㎡/月-2027/4/20之前
191.01元/㎡/月-2028/4/20之前</t>
  </si>
  <si>
    <t>北京红石瑞升餐饮有限公司</t>
  </si>
  <si>
    <t>红石和风</t>
  </si>
  <si>
    <t>B7-1-101</t>
  </si>
  <si>
    <t>132元/㎡/月-2027/5/10之前
138.6元/㎡/月-2029/5/10之前
145.53元/㎡/月-2030/5/10之前</t>
  </si>
  <si>
    <t>北京绝对餐饮有限公司</t>
  </si>
  <si>
    <t>江北北</t>
  </si>
  <si>
    <t>D-2-206A</t>
  </si>
  <si>
    <t>2个月</t>
  </si>
  <si>
    <t>90元/㎡/月-2026/5/29之前
95元/㎡/月-2028/5/29之前
100.25元/㎡/月-2029/5/29之前</t>
  </si>
  <si>
    <t>舜德行（北京）科技发展有限公司</t>
  </si>
  <si>
    <t>华为</t>
  </si>
  <si>
    <t>D-1-106A</t>
  </si>
  <si>
    <t>北京爱彼童教育科技有限公司</t>
  </si>
  <si>
    <t>IBEETUBE双语小主持人</t>
  </si>
  <si>
    <t>D-3-307B（原302B）</t>
  </si>
  <si>
    <t>罗智勇</t>
  </si>
  <si>
    <t>超级小侦探</t>
  </si>
  <si>
    <t>D-3-02</t>
  </si>
  <si>
    <t>月</t>
  </si>
  <si>
    <t>90元/㎡/月-2026/9/8之前
95.4元/㎡/月-2027/9/8之前
101.12元/㎡/月-2028/9/8之前</t>
  </si>
  <si>
    <t>北京甜美一刻餐饮有限公司</t>
  </si>
  <si>
    <t>书亦烧仙草</t>
  </si>
  <si>
    <t>D-4F-D01</t>
  </si>
  <si>
    <t xml:space="preserve">360元/㎡/月-2026/9/20之前
370元/㎡/月-2027/8/31之前
</t>
  </si>
  <si>
    <t>王东强</t>
  </si>
  <si>
    <t>中国体彩</t>
  </si>
  <si>
    <t>D-2-09</t>
  </si>
  <si>
    <t>北京寰跳科技有限责任公司</t>
  </si>
  <si>
    <t>奈尔宝</t>
  </si>
  <si>
    <t>E1</t>
  </si>
  <si>
    <t>0元/㎡/月-2027/5/29之前
20元/㎡/月-2028/5/29之前
30元/㎡/月-2030/5/29之前
35元/㎡/月-2032/5/29之前
40元/㎡/月-2034/5/29之前
45元/㎡/月-2036/5/29之前</t>
  </si>
  <si>
    <t>商业租赁面积</t>
  </si>
  <si>
    <t>商业年租金总额</t>
  </si>
  <si>
    <t>可租赁商业总面积（机构落实）</t>
  </si>
  <si>
    <t>商业抽查金额</t>
  </si>
  <si>
    <t>出租率</t>
  </si>
  <si>
    <t>商业抽查比例</t>
  </si>
  <si>
    <t>异常租金</t>
  </si>
  <si>
    <t>总可出租面积</t>
  </si>
  <si>
    <t>异常租金比例</t>
  </si>
  <si>
    <t>总已出租面积</t>
  </si>
  <si>
    <t>综合出租率</t>
  </si>
  <si>
    <t>总租金</t>
  </si>
  <si>
    <t>总抽查金额</t>
  </si>
  <si>
    <t>总抽查比例</t>
  </si>
  <si>
    <t>25年预计租金总额（元）</t>
  </si>
  <si>
    <t>产业</t>
  </si>
  <si>
    <t>北京首钢基金有限公司-8303.56</t>
  </si>
  <si>
    <t>A1</t>
  </si>
  <si>
    <t>季</t>
  </si>
  <si>
    <t>根据首钢基金主合同来</t>
  </si>
  <si>
    <t>关联公司已支付631万元，客户介绍因面积调整，剩余租金7月底缴纳</t>
  </si>
  <si>
    <t>中国中金财富证券有限公司北京石景山证券营业部-396.92</t>
  </si>
  <si>
    <t>A1-1-103</t>
  </si>
  <si>
    <t>北京首钢基金有限公司/北京首程基石投资有限公司-207.69</t>
  </si>
  <si>
    <t>A1-6-606A/607B/608BC</t>
  </si>
  <si>
    <t>北京首程基石投资有限公司</t>
  </si>
  <si>
    <t>D1-6F（605/606/607B)</t>
  </si>
  <si>
    <t>2025年8月/2026年8月</t>
  </si>
  <si>
    <t>北京首钢基金有限公司-316.29</t>
  </si>
  <si>
    <t>-</t>
  </si>
  <si>
    <t>A1-4-408A/409/410C</t>
  </si>
  <si>
    <t>北京首钢基金有限公司-30.77</t>
  </si>
  <si>
    <t>京西商业保理有限公司-158.7</t>
  </si>
  <si>
    <t>A1-4-408C,4-410B</t>
  </si>
  <si>
    <t>北京市节能低碳环保产业服务协会-4.76</t>
  </si>
  <si>
    <t>A1-4-408D</t>
  </si>
  <si>
    <t>圣华盾（北京）防护科技有限公司-828.83</t>
  </si>
  <si>
    <t>D1-9-901-908</t>
  </si>
  <si>
    <t>23年1-2月</t>
  </si>
  <si>
    <t>5.0元/㎡/天-2027/2/28之前
6.0元/㎡/天-2030/2/28之前</t>
  </si>
  <si>
    <t>近一年支付175.9万元，剩余租金正在催收</t>
  </si>
  <si>
    <t>中国市政工程华北设计研究总院有限公司北京分公司-1146.53</t>
  </si>
  <si>
    <t>A2-2-201-205&amp;207A</t>
  </si>
  <si>
    <t>25年3-4月</t>
  </si>
  <si>
    <t>半年</t>
  </si>
  <si>
    <t>北京长峰科威光电技术有限公司-4691.98</t>
  </si>
  <si>
    <t>A5-1-101/A2-5-501-510,6-601-610</t>
  </si>
  <si>
    <t>121.67元/㎡/月-2027/12/31之前
128.97元/㎡/月-2030/12/31之前
136.71元/㎡/月-2032/12/31之前</t>
  </si>
  <si>
    <t>近一年支付800万元，剩余租金正在催收</t>
  </si>
  <si>
    <t>北方自动控制技术研究所(A4)-3485.57</t>
  </si>
  <si>
    <t>A4-1-101,2-201,3-301,4-401</t>
  </si>
  <si>
    <t>26年12月，27年12月</t>
  </si>
  <si>
    <t>年</t>
  </si>
  <si>
    <t>北京麦克斯韦科技有限公司-4016.29</t>
  </si>
  <si>
    <t>A3-1-101,2-201-203,3-301-303,4-401-403,5-501-503</t>
  </si>
  <si>
    <t>23年11-24年2月</t>
  </si>
  <si>
    <t>121.67元/㎡/月-2026/1/31之前
125.32元/㎡/月-2029/1/31之前
130.18元/㎡/月-2031/1/31之前
135.35元/㎡/月-2033/1/31之前</t>
  </si>
  <si>
    <t>北京航天拓普科技有限公司-558.97</t>
  </si>
  <si>
    <t>A2-1-101</t>
  </si>
  <si>
    <t>130.79元/㎡/月-2026/2/28之前
139.92元/㎡/月-2028/2/29之前</t>
  </si>
  <si>
    <t>已有29万元租金</t>
  </si>
  <si>
    <t>北京欢物网络科技有限公司 -151.95</t>
  </si>
  <si>
    <t>C4-4-405B/406/407A</t>
  </si>
  <si>
    <t>德鑫莱集团有限公司-181.47</t>
  </si>
  <si>
    <t>D1-6-602,6-603A</t>
  </si>
  <si>
    <t>精灵汽车销售（南宁）有限公司-489.65</t>
  </si>
  <si>
    <t>D1-4-401/402A/408</t>
  </si>
  <si>
    <t>缺少最新一季度租金</t>
  </si>
  <si>
    <t>首钢控股（香港）有限公司-54.54</t>
  </si>
  <si>
    <t>A1-4-401A</t>
  </si>
  <si>
    <t>栋梁国际照明设计（北京）中心有限公司-471.4</t>
  </si>
  <si>
    <t>C4-4-408-410</t>
  </si>
  <si>
    <t>105.85元/㎡/月-2026/1/15之前
111.93元/㎡/月-2028/4/15之前</t>
  </si>
  <si>
    <t>中外建工程设计与顾问有限公司-218.78</t>
  </si>
  <si>
    <t>C4-4-407B</t>
  </si>
  <si>
    <t>中化学（北京）建设投资有限公司-8509.76</t>
  </si>
  <si>
    <t>B5/B6-1-101B1,1-101C1,1-101D,2-201-205,2-206,2-207,2-208A,3-305-308A,4-401-408,5-501-508,6-601-608,1-101A,2-201</t>
  </si>
  <si>
    <t>近一年支付1014万元，正在催收</t>
  </si>
  <si>
    <t>中化学建设投资集团北京科贸有限公司-1050.97</t>
  </si>
  <si>
    <t>B5/B6-1-101C2,2-208B,3-301-304,1-101B</t>
  </si>
  <si>
    <t>近一年支付138.8万元，正在催收</t>
  </si>
  <si>
    <t>中化学冷链物流有限公司-112.35</t>
  </si>
  <si>
    <t>B5/B6-1-101C3,2-208C,3-308B,1-101C</t>
  </si>
  <si>
    <t>北京达尔文细胞生物科技有限公司-6520</t>
  </si>
  <si>
    <t>B1-1-101-104,2-201-209,3-301-310,4-401-408</t>
  </si>
  <si>
    <t>121.67元/㎡/月-2025/2/28之前
130.79元/㎡/月-2026/2/28之前
132.31元/㎡/月-2028/2/29之前
136.27元/㎡/月-2029/2/28之前
140.22元/㎡/月-2030/2/28之前
144.48元/㎡/月-2031/2/28之前</t>
  </si>
  <si>
    <t>北京易谷联体科技有限公司-114.7</t>
  </si>
  <si>
    <t>C4-4-402</t>
  </si>
  <si>
    <t>北京华铁瑞通技术有限公司-238.95</t>
  </si>
  <si>
    <t>C4-4-403</t>
  </si>
  <si>
    <t>北京众艾信息技术有限公司-134.41</t>
  </si>
  <si>
    <t>C4-4-404</t>
  </si>
  <si>
    <t>易谷网络科技股份有限公司-125.35</t>
  </si>
  <si>
    <t>C4-4-405A,4-405A-ADD</t>
  </si>
  <si>
    <t>北京雪格传媒科技有限公司-1469.23</t>
  </si>
  <si>
    <t>C4-2-201-204&amp;206B-20,2-205,2-206A</t>
  </si>
  <si>
    <t>近一年支付113.9万元，正在催收</t>
  </si>
  <si>
    <t>北京方州科技有限公司-3863.76</t>
  </si>
  <si>
    <t>C4-5-501-512,6-601-612</t>
  </si>
  <si>
    <t>121.67元/㎡/月-2025/7/31之前
127.75元/㎡/月-2026/7/31之前
144.48元/㎡/月-2027/7/31之前
157.56元/㎡/月-2028/7/31之前</t>
  </si>
  <si>
    <t>北京市石景山区人民政府古城街道办事处-134.41</t>
  </si>
  <si>
    <t>C4-4-412</t>
  </si>
  <si>
    <t>北方自动控制技术研究所（A5配楼）-2254.31</t>
  </si>
  <si>
    <t>A5-1-102-106A,2-201,2-202,2-203,2-204,2-205,2-206,2-207,2-208,3-301,3-302,3-303,3-304,3-305,3-306,4-401,4-402,4-403</t>
  </si>
  <si>
    <t>正常（23年一次收2年租金）</t>
  </si>
  <si>
    <t>北京元客方舟科技有限公司-1322.15</t>
  </si>
  <si>
    <t>F2-3-301-310</t>
  </si>
  <si>
    <t>121.67元/㎡/月-2025/9/30之前
124.1元/㎡/月-2026/9/30之前
129.27元/㎡/月-2028/9/30之前</t>
  </si>
  <si>
    <t>北京数喆数据科技有限公司-620.75</t>
  </si>
  <si>
    <t>F2-4-407,4-408,4-409,4-410</t>
  </si>
  <si>
    <t>136.88元/㎡/月-2025/9/30之前
152.08元/㎡/月-2026/9/30之前</t>
  </si>
  <si>
    <t>提赛环科仪器贸易（北京）有限公司-340.63</t>
  </si>
  <si>
    <t>D1-5-504,5-505A</t>
  </si>
  <si>
    <t>首颐医疗健康投资管理有限公司-234.01</t>
  </si>
  <si>
    <t>A1-4-405B</t>
  </si>
  <si>
    <t>北京首颐德常医疗科技有限公司-561.81</t>
  </si>
  <si>
    <t>A1-4-401B,4-401C-405A</t>
  </si>
  <si>
    <t>北京理工亘舒科技有限公司-1663.71</t>
  </si>
  <si>
    <t>C4-3-306</t>
  </si>
  <si>
    <t>106.46元/㎡/月-2025/10/19之前
115.58元/㎡/月-2027/10/19之前
121.67元/㎡/月-2028/10/19之前</t>
  </si>
  <si>
    <t>欠最新一季度</t>
  </si>
  <si>
    <t>北京亘芯科技有限公司-134.45</t>
  </si>
  <si>
    <t>C4-3-305</t>
  </si>
  <si>
    <t>北京理工亘天科技有限公司-133.72</t>
  </si>
  <si>
    <t>河南德兆供应链管理有限公司-940.97</t>
  </si>
  <si>
    <t>F2-1-102,1-103</t>
  </si>
  <si>
    <t>142.35元/㎡/月-2026/10/31之前
157.56元/㎡/月-2028/10/31之前</t>
  </si>
  <si>
    <t>无租金</t>
  </si>
  <si>
    <t>航天开元科技有限公司-2912.66</t>
  </si>
  <si>
    <t>F4-1-101,1-102,2-201,2-202,3-301,3-302</t>
  </si>
  <si>
    <t>4元/㎡/天-2026/10/31之前
4.13元/㎡/天-2028/10/31之前</t>
  </si>
  <si>
    <t>巨掌互动科技(北京)有限公司-954.49</t>
  </si>
  <si>
    <t>F2-4-402,4-403,4-404,4-405,4-406</t>
  </si>
  <si>
    <t>近一年支付38万元租金，正在催缴</t>
  </si>
  <si>
    <t>北方自动控制技术研究所（A2）-3855.76</t>
  </si>
  <si>
    <t>A2-3-301-310,4-401-410</t>
  </si>
  <si>
    <t>北京恒泰盛源投资管理有限公司-25.41</t>
  </si>
  <si>
    <t>D1-7-701B</t>
  </si>
  <si>
    <t>首程融石（北京）基金管理有限公司-448.99</t>
  </si>
  <si>
    <t>D1-7-701C,7-702-704</t>
  </si>
  <si>
    <t>驿停车（北京）科技有限公司-25.41</t>
  </si>
  <si>
    <t>D1-7-701D,8-801A</t>
  </si>
  <si>
    <t>驿泊（北京）私募基金管理有限公司-15.38</t>
  </si>
  <si>
    <t>D1-7-701AB</t>
  </si>
  <si>
    <t>中译语通科技股份有限公司-5766.55</t>
  </si>
  <si>
    <t>F1-1-101,1-102,1-103A,1-103B,1-104A,1-104B-分割,1-105,2-201,2-202A,2-206A,2-207,2-208,2-209,3-301,3-302,3-303,3-304,3-305,3-306,3-307,3-308,3-309,3-310B,4-401,4-402,4-403,4-404,4-405,4-406</t>
  </si>
  <si>
    <t>132.31元/㎡/月-2027/4/30之前
138.93元/㎡/月-22029/4/30之前</t>
  </si>
  <si>
    <t>中译文娱科技（青岛）有限公司北京分公司-140</t>
  </si>
  <si>
    <t>F1-1-104B</t>
  </si>
  <si>
    <t>中国对外翻译有限公司-720</t>
  </si>
  <si>
    <t>F1-2-202B-206B</t>
  </si>
  <si>
    <t>国科电雷（北京）电子装备技术有限公司-844.24</t>
  </si>
  <si>
    <t>F1-3-310A,3-311</t>
  </si>
  <si>
    <t>132.31元/㎡/月-2026/5/31之前
152.08元/㎡/月-2028/5/31之前
167.29元/㎡/月-2029/5/31之前</t>
  </si>
  <si>
    <t>厦门市美亚柏科信息安全研究所有限公司-385.39</t>
  </si>
  <si>
    <t>D1-6-603B,6-604A,6-604B</t>
  </si>
  <si>
    <t>25年无租金，往年交过，到期后不再续租</t>
  </si>
  <si>
    <t>北京九天探索科技有限公司-233.76</t>
  </si>
  <si>
    <t>D1-4-402B,4-403</t>
  </si>
  <si>
    <t>127.75元/㎡/月-2026/8/31之前
134.14元/㎡/月-2028/5/31之前
140.83元/㎡/月-2029/8/31之前</t>
  </si>
  <si>
    <t>北京九天探索科技有限公司-385.66</t>
  </si>
  <si>
    <t>D1-4-404,4-405</t>
  </si>
  <si>
    <t>北京万润新能碳科技有限公司-299.99</t>
  </si>
  <si>
    <t>D1-6-607A,6-608B</t>
  </si>
  <si>
    <t>环球航通信息服务有限公司-852</t>
  </si>
  <si>
    <t>F2-6-601A、607-610</t>
  </si>
  <si>
    <t>环球航通信息服务有限公司-1043.36</t>
  </si>
  <si>
    <t>F2-6-601B、602-606</t>
  </si>
  <si>
    <t>北京保景和筑置业有限公司-1838.25</t>
  </si>
  <si>
    <t>F3-1F&amp;2F</t>
  </si>
  <si>
    <t>北京德智航创科技有限公司</t>
  </si>
  <si>
    <t>D1-5-505B\206\507</t>
  </si>
  <si>
    <t>2026年10月、2027年10月</t>
  </si>
  <si>
    <t>深圳市道通智能航空技术股份有限公司</t>
  </si>
  <si>
    <t>F2-501B\502\503\504\505\506</t>
  </si>
  <si>
    <t>2026年11月、2027年10-11月、2028年11月</t>
  </si>
  <si>
    <t>北京创业公社产业运营管理股份有限公司</t>
  </si>
  <si>
    <t>D1-705B</t>
  </si>
  <si>
    <t>2025年2月、2026年2月</t>
  </si>
  <si>
    <t>首程非思(北京)运营管理有限公司</t>
  </si>
  <si>
    <t>D1-7-705C-708\8-801B</t>
  </si>
  <si>
    <t>首程创合(北京)建筑管理咨询有限公司</t>
  </si>
  <si>
    <t>D1-8-802-808</t>
  </si>
  <si>
    <t>办公租赁面积</t>
  </si>
  <si>
    <t>办公年租金总额</t>
  </si>
  <si>
    <r>
      <rPr>
        <sz val="12"/>
        <color theme="1"/>
        <rFont val="宋体"/>
        <family val="3"/>
        <charset val="134"/>
      </rPr>
      <t>可租赁</t>
    </r>
    <r>
      <rPr>
        <sz val="12"/>
        <color rgb="FF000000"/>
        <rFont val="宋体"/>
        <family val="3"/>
        <charset val="134"/>
      </rPr>
      <t>办公总面积</t>
    </r>
  </si>
  <si>
    <t>办公抽查金额</t>
  </si>
  <si>
    <t>办公抽查比例</t>
  </si>
  <si>
    <t>异常租户对应租金</t>
  </si>
  <si>
    <t>异常租户对应租金比例</t>
  </si>
  <si>
    <t>规证商业面积</t>
    <phoneticPr fontId="135" type="noConversion"/>
  </si>
  <si>
    <t>规证总面积</t>
    <phoneticPr fontId="135" type="noConversion"/>
  </si>
  <si>
    <t>规证办公面积</t>
    <phoneticPr fontId="135" type="noConversion"/>
  </si>
  <si>
    <t>商业面积</t>
    <phoneticPr fontId="135" type="noConversion"/>
  </si>
  <si>
    <t>办公面积</t>
    <phoneticPr fontId="135" type="noConversion"/>
  </si>
  <si>
    <t>商业楼层</t>
    <phoneticPr fontId="135" type="noConversion"/>
  </si>
  <si>
    <t>1层商业</t>
    <phoneticPr fontId="135" type="noConversion"/>
  </si>
  <si>
    <t>2层商业</t>
    <phoneticPr fontId="135" type="noConversion"/>
  </si>
  <si>
    <t>商业</t>
    <phoneticPr fontId="8" type="noConversion"/>
  </si>
  <si>
    <t>办公</t>
    <phoneticPr fontId="8" type="noConversion"/>
  </si>
  <si>
    <t>未包含在土地购买价格中</t>
  </si>
  <si>
    <t>全部缴纳</t>
  </si>
  <si>
    <t>已包含在土地取得成本中</t>
  </si>
  <si>
    <t>宗地容积率</t>
  </si>
  <si>
    <t>不临65条商业街</t>
  </si>
  <si>
    <t>与级别开发程度一致</t>
  </si>
  <si>
    <t>按公示增长率计算</t>
  </si>
  <si>
    <t>中心城区</t>
  </si>
  <si>
    <t>楼层修正</t>
  </si>
  <si>
    <t>一般</t>
  </si>
  <si>
    <t>较好</t>
  </si>
  <si>
    <t>好</t>
  </si>
  <si>
    <t>基准地价修正-商业</t>
  </si>
  <si>
    <t>基准地价修正-商业</t>
    <phoneticPr fontId="17" type="noConversion"/>
  </si>
  <si>
    <t>基准地价修正-办公</t>
  </si>
  <si>
    <t>基准地价修正-办公</t>
    <phoneticPr fontId="17" type="noConversion"/>
  </si>
  <si>
    <t>基准地价修正-公服</t>
    <phoneticPr fontId="17" type="noConversion"/>
  </si>
  <si>
    <t>收益法-商业</t>
  </si>
  <si>
    <t>收益法-商业</t>
    <phoneticPr fontId="17" type="noConversion"/>
  </si>
  <si>
    <t>收益法-办公</t>
  </si>
  <si>
    <t>收益法-办公</t>
    <phoneticPr fontId="17" type="noConversion"/>
  </si>
  <si>
    <t>收益法-公服</t>
    <phoneticPr fontId="17" type="noConversion"/>
  </si>
  <si>
    <t>成本法</t>
  </si>
  <si>
    <t>收益法（汇总）</t>
  </si>
  <si>
    <t>面积</t>
    <phoneticPr fontId="135" type="noConversion"/>
  </si>
  <si>
    <t>楼层</t>
    <phoneticPr fontId="135" type="noConversion"/>
  </si>
  <si>
    <t>系数</t>
    <phoneticPr fontId="135" type="noConversion"/>
  </si>
  <si>
    <t>租金</t>
    <phoneticPr fontId="135" type="noConversion"/>
  </si>
  <si>
    <t>押一</t>
  </si>
  <si>
    <t>钢混</t>
  </si>
  <si>
    <t>非生产用房</t>
  </si>
  <si>
    <t>现房</t>
  </si>
  <si>
    <t>项目局部</t>
  </si>
  <si>
    <t>总价</t>
  </si>
  <si>
    <t>成本比率</t>
  </si>
  <si>
    <t>情况3</t>
  </si>
  <si>
    <t>自行开发建设</t>
  </si>
  <si>
    <t>非个人房产</t>
  </si>
  <si>
    <t>仅含出让金</t>
  </si>
  <si>
    <t>文体娱乐</t>
  </si>
  <si>
    <r>
      <t>7</t>
    </r>
    <r>
      <rPr>
        <sz val="11"/>
        <color theme="1"/>
        <rFont val="宋体"/>
        <family val="3"/>
        <charset val="134"/>
        <scheme val="minor"/>
      </rPr>
      <t>38地块</t>
    </r>
    <phoneticPr fontId="135" type="noConversion"/>
  </si>
  <si>
    <r>
      <t>A</t>
    </r>
    <r>
      <rPr>
        <sz val="11"/>
        <color theme="1"/>
        <rFont val="宋体"/>
        <family val="3"/>
        <charset val="134"/>
        <scheme val="minor"/>
      </rPr>
      <t>1</t>
    </r>
    <phoneticPr fontId="135" type="noConversion"/>
  </si>
  <si>
    <r>
      <t>A</t>
    </r>
    <r>
      <rPr>
        <sz val="11"/>
        <color theme="1"/>
        <rFont val="宋体"/>
        <family val="3"/>
        <charset val="134"/>
        <scheme val="minor"/>
      </rPr>
      <t>2</t>
    </r>
    <r>
      <rPr>
        <sz val="11"/>
        <color theme="1"/>
        <rFont val="宋体"/>
        <family val="2"/>
        <scheme val="minor"/>
      </rPr>
      <t/>
    </r>
  </si>
  <si>
    <r>
      <t>A</t>
    </r>
    <r>
      <rPr>
        <sz val="11"/>
        <color theme="1"/>
        <rFont val="宋体"/>
        <family val="3"/>
        <charset val="134"/>
        <scheme val="minor"/>
      </rPr>
      <t>3</t>
    </r>
    <r>
      <rPr>
        <sz val="11"/>
        <color theme="1"/>
        <rFont val="宋体"/>
        <family val="2"/>
        <scheme val="minor"/>
      </rPr>
      <t/>
    </r>
  </si>
  <si>
    <r>
      <t>A</t>
    </r>
    <r>
      <rPr>
        <sz val="11"/>
        <color theme="1"/>
        <rFont val="宋体"/>
        <family val="3"/>
        <charset val="134"/>
        <scheme val="minor"/>
      </rPr>
      <t>4</t>
    </r>
    <r>
      <rPr>
        <sz val="11"/>
        <color theme="1"/>
        <rFont val="宋体"/>
        <family val="2"/>
        <scheme val="minor"/>
      </rPr>
      <t/>
    </r>
  </si>
  <si>
    <r>
      <t>A</t>
    </r>
    <r>
      <rPr>
        <sz val="11"/>
        <color theme="1"/>
        <rFont val="宋体"/>
        <family val="3"/>
        <charset val="134"/>
        <scheme val="minor"/>
      </rPr>
      <t>5</t>
    </r>
    <r>
      <rPr>
        <sz val="11"/>
        <color theme="1"/>
        <rFont val="宋体"/>
        <family val="2"/>
        <scheme val="minor"/>
      </rPr>
      <t/>
    </r>
  </si>
  <si>
    <r>
      <rPr>
        <sz val="11"/>
        <color rgb="FFFF0000"/>
        <rFont val="楷体_GB2312"/>
        <family val="3"/>
        <charset val="134"/>
      </rPr>
      <t>范围：5</t>
    </r>
    <r>
      <rPr>
        <sz val="11"/>
        <color rgb="FFFF0000"/>
        <rFont val="Arial"/>
        <family val="2"/>
      </rPr>
      <t>%-10%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</si>
  <si>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</si>
  <si>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</si>
  <si>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</si>
  <si>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</si>
  <si>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</si>
  <si>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</si>
  <si>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商办楼</t>
    <phoneticPr fontId="135" type="noConversion"/>
  </si>
  <si>
    <t>商业楼</t>
    <phoneticPr fontId="135" type="noConversion"/>
  </si>
  <si>
    <t>文体体验楼</t>
    <phoneticPr fontId="135" type="noConversion"/>
  </si>
  <si>
    <t>分摊土地面积</t>
    <phoneticPr fontId="135" type="noConversion"/>
  </si>
  <si>
    <r>
      <t>B</t>
    </r>
    <r>
      <rPr>
        <sz val="11"/>
        <color theme="1"/>
        <rFont val="宋体"/>
        <family val="3"/>
        <charset val="134"/>
        <scheme val="minor"/>
      </rPr>
      <t>1</t>
    </r>
    <phoneticPr fontId="135" type="noConversion"/>
  </si>
  <si>
    <r>
      <t>B</t>
    </r>
    <r>
      <rPr>
        <sz val="11"/>
        <color theme="1"/>
        <rFont val="宋体"/>
        <family val="3"/>
        <charset val="134"/>
        <scheme val="minor"/>
      </rPr>
      <t>2</t>
    </r>
    <r>
      <rPr>
        <sz val="11"/>
        <color theme="1"/>
        <rFont val="宋体"/>
        <family val="2"/>
        <scheme val="minor"/>
      </rPr>
      <t/>
    </r>
  </si>
  <si>
    <r>
      <t>B</t>
    </r>
    <r>
      <rPr>
        <sz val="11"/>
        <color theme="1"/>
        <rFont val="宋体"/>
        <family val="3"/>
        <charset val="134"/>
        <scheme val="minor"/>
      </rPr>
      <t>3</t>
    </r>
    <r>
      <rPr>
        <sz val="11"/>
        <color theme="1"/>
        <rFont val="宋体"/>
        <family val="2"/>
        <scheme val="minor"/>
      </rPr>
      <t/>
    </r>
  </si>
  <si>
    <r>
      <t>B</t>
    </r>
    <r>
      <rPr>
        <sz val="11"/>
        <color theme="1"/>
        <rFont val="宋体"/>
        <family val="3"/>
        <charset val="134"/>
        <scheme val="minor"/>
      </rPr>
      <t>4</t>
    </r>
    <r>
      <rPr>
        <sz val="11"/>
        <color theme="1"/>
        <rFont val="宋体"/>
        <family val="2"/>
        <scheme val="minor"/>
      </rPr>
      <t/>
    </r>
  </si>
  <si>
    <r>
      <t>B</t>
    </r>
    <r>
      <rPr>
        <sz val="11"/>
        <color theme="1"/>
        <rFont val="宋体"/>
        <family val="3"/>
        <charset val="134"/>
        <scheme val="minor"/>
      </rPr>
      <t>5</t>
    </r>
    <r>
      <rPr>
        <sz val="11"/>
        <color theme="1"/>
        <rFont val="宋体"/>
        <family val="2"/>
        <scheme val="minor"/>
      </rPr>
      <t/>
    </r>
  </si>
  <si>
    <r>
      <t>B</t>
    </r>
    <r>
      <rPr>
        <sz val="11"/>
        <color theme="1"/>
        <rFont val="宋体"/>
        <family val="3"/>
        <charset val="134"/>
        <scheme val="minor"/>
      </rPr>
      <t>6</t>
    </r>
    <r>
      <rPr>
        <sz val="11"/>
        <color theme="1"/>
        <rFont val="宋体"/>
        <family val="2"/>
        <scheme val="minor"/>
      </rPr>
      <t/>
    </r>
  </si>
  <si>
    <r>
      <t>B</t>
    </r>
    <r>
      <rPr>
        <sz val="11"/>
        <color theme="1"/>
        <rFont val="宋体"/>
        <family val="3"/>
        <charset val="134"/>
        <scheme val="minor"/>
      </rPr>
      <t>7</t>
    </r>
    <r>
      <rPr>
        <sz val="11"/>
        <color theme="1"/>
        <rFont val="宋体"/>
        <family val="2"/>
        <scheme val="minor"/>
      </rPr>
      <t/>
    </r>
  </si>
  <si>
    <t>净值单价</t>
    <phoneticPr fontId="25" type="noConversion"/>
  </si>
  <si>
    <t>净值总价</t>
    <phoneticPr fontId="25" type="noConversion"/>
  </si>
  <si>
    <t>总价</t>
    <phoneticPr fontId="135" type="noConversion"/>
  </si>
  <si>
    <t>抵押价值</t>
    <phoneticPr fontId="135" type="noConversion"/>
  </si>
  <si>
    <t>抵押净值</t>
    <phoneticPr fontId="135" type="noConversion"/>
  </si>
  <si>
    <t>单价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</si>
</sst>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 #,##0.00_ ;_ * \-#,##0.00_ ;_ * &quot;-&quot;??.0_ ;_ @_ "/>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6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0" fillId="26" borderId="1" xfId="0" applyFill="1" applyBorder="1" applyAlignment="1">
      <alignment horizontal="left" vertical="center"/>
    </xf>
    <xf numFmtId="0" fontId="96" fillId="26" borderId="1" xfId="0" applyFont="1" applyFill="1" applyBorder="1" applyAlignment="1">
      <alignment horizontal="left" vertical="center"/>
    </xf>
    <xf numFmtId="0" fontId="0" fillId="25" borderId="1" xfId="0" applyFill="1" applyBorder="1" applyAlignment="1">
      <alignment horizontal="left" vertical="center"/>
    </xf>
    <xf numFmtId="0" fontId="96" fillId="25" borderId="1" xfId="0" applyFont="1" applyFill="1" applyBorder="1" applyAlignment="1">
      <alignment horizontal="left" vertical="center"/>
    </xf>
    <xf numFmtId="0" fontId="0" fillId="24" borderId="1" xfId="0" applyFill="1" applyBorder="1" applyAlignment="1">
      <alignment horizontal="left" vertical="center"/>
    </xf>
    <xf numFmtId="0" fontId="96" fillId="24" borderId="1" xfId="0" applyFont="1" applyFill="1" applyBorder="1" applyAlignment="1">
      <alignment horizontal="left" vertical="center"/>
    </xf>
    <xf numFmtId="0" fontId="96" fillId="24" borderId="1" xfId="0" quotePrefix="1" applyFont="1" applyFill="1" applyBorder="1" applyAlignment="1">
      <alignment horizontal="left" vertical="center"/>
    </xf>
    <xf numFmtId="0" fontId="0" fillId="23" borderId="1" xfId="0" applyFill="1" applyBorder="1" applyAlignment="1">
      <alignment horizontal="left" vertical="center"/>
    </xf>
    <xf numFmtId="0" fontId="96" fillId="23" borderId="1" xfId="0" applyFont="1" applyFill="1" applyBorder="1" applyAlignment="1">
      <alignment horizontal="left" vertical="center"/>
    </xf>
    <xf numFmtId="0" fontId="0" fillId="22" borderId="1" xfId="0" applyFill="1" applyBorder="1" applyAlignment="1">
      <alignment horizontal="left" vertical="center"/>
    </xf>
    <xf numFmtId="0" fontId="96" fillId="22" borderId="1" xfId="0" applyFont="1" applyFill="1" applyBorder="1" applyAlignment="1">
      <alignment horizontal="left" vertical="center"/>
    </xf>
    <xf numFmtId="0" fontId="0" fillId="0" borderId="1" xfId="0" applyBorder="1" applyAlignment="1">
      <alignment horizontal="left" vertical="center"/>
    </xf>
    <xf numFmtId="0" fontId="0" fillId="27" borderId="1" xfId="0" applyFill="1" applyBorder="1" applyAlignment="1">
      <alignment horizontal="left" vertical="center"/>
    </xf>
    <xf numFmtId="0" fontId="96" fillId="27" borderId="1" xfId="0" applyFont="1" applyFill="1" applyBorder="1" applyAlignment="1">
      <alignment horizontal="left" vertical="center"/>
    </xf>
    <xf numFmtId="0" fontId="96" fillId="5" borderId="1" xfId="0" applyFont="1" applyFill="1" applyBorder="1" applyAlignment="1">
      <alignment horizontal="left" vertical="center"/>
    </xf>
    <xf numFmtId="0" fontId="96" fillId="0" borderId="15" xfId="0" applyFont="1" applyBorder="1" applyAlignment="1">
      <alignment horizontal="left" vertical="center"/>
    </xf>
    <xf numFmtId="0" fontId="0" fillId="0" borderId="1" xfId="0" applyBorder="1">
      <alignment vertical="center"/>
    </xf>
    <xf numFmtId="9" fontId="0" fillId="0" borderId="1" xfId="17" applyFont="1" applyBorder="1" applyAlignment="1">
      <alignment horizontal="left" vertical="center"/>
    </xf>
    <xf numFmtId="0" fontId="0" fillId="5" borderId="1" xfId="0" applyFill="1" applyBorder="1" applyAlignment="1">
      <alignment horizontal="left" vertical="center"/>
    </xf>
    <xf numFmtId="9" fontId="0" fillId="5" borderId="1" xfId="17" applyFont="1" applyFill="1" applyBorder="1" applyAlignment="1">
      <alignment horizontal="left" vertical="center"/>
    </xf>
    <xf numFmtId="1" fontId="0" fillId="0" borderId="1" xfId="0" applyNumberFormat="1" applyBorder="1" applyAlignment="1">
      <alignment horizontal="left" vertical="center"/>
    </xf>
    <xf numFmtId="0" fontId="78" fillId="0" borderId="1" xfId="0" applyFont="1" applyBorder="1" applyAlignment="1" applyProtection="1">
      <alignment horizontal="center" vertical="center" wrapText="1"/>
      <protection locked="0"/>
    </xf>
    <xf numFmtId="197" fontId="123" fillId="0" borderId="1" xfId="2" applyNumberFormat="1" applyFont="1" applyBorder="1" applyAlignment="1">
      <alignment horizontal="left" vertical="center"/>
    </xf>
    <xf numFmtId="43" fontId="123" fillId="0" borderId="1" xfId="2" applyNumberFormat="1" applyFont="1" applyBorder="1" applyAlignment="1">
      <alignment horizontal="right" vertical="center"/>
    </xf>
    <xf numFmtId="14" fontId="123" fillId="0" borderId="1" xfId="2" applyNumberFormat="1" applyFont="1" applyBorder="1" applyAlignment="1">
      <alignment horizontal="left" vertical="center"/>
    </xf>
    <xf numFmtId="197" fontId="20" fillId="0" borderId="1" xfId="2" applyNumberFormat="1" applyFont="1" applyBorder="1" applyAlignment="1">
      <alignment horizontal="left" vertical="center"/>
    </xf>
    <xf numFmtId="43" fontId="20" fillId="0" borderId="1" xfId="2" applyNumberFormat="1" applyFont="1" applyBorder="1" applyAlignment="1">
      <alignment horizontal="right" vertical="center"/>
    </xf>
    <xf numFmtId="14" fontId="20" fillId="0" borderId="1" xfId="2" applyNumberFormat="1" applyFont="1" applyBorder="1" applyAlignment="1">
      <alignment horizontal="left" vertical="center"/>
    </xf>
    <xf numFmtId="197" fontId="123" fillId="5" borderId="1" xfId="2" applyNumberFormat="1" applyFont="1" applyFill="1" applyBorder="1" applyAlignment="1">
      <alignment horizontal="left" vertical="center"/>
    </xf>
    <xf numFmtId="43" fontId="123" fillId="5" borderId="1" xfId="2" applyNumberFormat="1" applyFont="1" applyFill="1" applyBorder="1" applyAlignment="1">
      <alignment horizontal="right" vertical="center"/>
    </xf>
    <xf numFmtId="0" fontId="123" fillId="0" borderId="1" xfId="2" applyFont="1" applyBorder="1" applyAlignment="1">
      <alignment horizontal="left" vertical="center" wrapText="1"/>
    </xf>
    <xf numFmtId="43" fontId="123" fillId="0" borderId="1" xfId="2" applyNumberFormat="1" applyFont="1" applyBorder="1" applyAlignment="1">
      <alignment horizontal="right" vertical="center" wrapText="1"/>
    </xf>
    <xf numFmtId="189" fontId="123" fillId="0" borderId="1" xfId="2" applyNumberFormat="1" applyFont="1" applyBorder="1" applyAlignment="1">
      <alignment horizontal="left" vertical="center" wrapText="1"/>
    </xf>
    <xf numFmtId="43" fontId="123" fillId="0" borderId="1" xfId="2" applyNumberFormat="1" applyFont="1" applyBorder="1" applyAlignment="1">
      <alignment horizontal="left" vertical="center" wrapText="1"/>
    </xf>
    <xf numFmtId="0" fontId="123" fillId="0" borderId="1" xfId="2" applyFont="1" applyBorder="1" applyAlignment="1">
      <alignment horizontal="left" vertical="top" wrapText="1"/>
    </xf>
    <xf numFmtId="0" fontId="123" fillId="0" borderId="0" xfId="2" applyFont="1" applyAlignment="1">
      <alignment wrapText="1"/>
    </xf>
    <xf numFmtId="0" fontId="123" fillId="0" borderId="1" xfId="2" applyFont="1" applyBorder="1"/>
    <xf numFmtId="189" fontId="123" fillId="0" borderId="1" xfId="2" applyNumberFormat="1" applyFont="1" applyBorder="1" applyAlignment="1">
      <alignment horizontal="justify" vertical="center"/>
    </xf>
    <xf numFmtId="189" fontId="123" fillId="0" borderId="1" xfId="2" applyNumberFormat="1" applyFont="1" applyBorder="1"/>
    <xf numFmtId="43" fontId="123" fillId="0" borderId="1" xfId="2" applyNumberFormat="1" applyFont="1" applyBorder="1"/>
    <xf numFmtId="198" fontId="123" fillId="0" borderId="1" xfId="2" applyNumberFormat="1" applyFont="1" applyBorder="1" applyAlignment="1">
      <alignment horizontal="left"/>
    </xf>
    <xf numFmtId="0" fontId="123" fillId="0" borderId="1" xfId="2" applyFont="1" applyBorder="1" applyAlignment="1">
      <alignment vertical="top" wrapText="1"/>
    </xf>
    <xf numFmtId="0" fontId="123" fillId="0" borderId="1" xfId="2" applyFont="1" applyBorder="1" applyAlignment="1">
      <alignment horizontal="justify" vertical="center"/>
    </xf>
    <xf numFmtId="0" fontId="20" fillId="0" borderId="1" xfId="2" applyFont="1" applyBorder="1"/>
    <xf numFmtId="189" fontId="20" fillId="0" borderId="1" xfId="2" applyNumberFormat="1" applyFont="1" applyBorder="1" applyAlignment="1">
      <alignment horizontal="justify" vertical="center"/>
    </xf>
    <xf numFmtId="189" fontId="20" fillId="0" borderId="1" xfId="2" applyNumberFormat="1" applyFont="1" applyBorder="1"/>
    <xf numFmtId="43" fontId="20" fillId="0" borderId="1" xfId="2" applyNumberFormat="1" applyFont="1" applyBorder="1"/>
    <xf numFmtId="198" fontId="20" fillId="0" borderId="1" xfId="2" applyNumberFormat="1" applyFont="1" applyBorder="1" applyAlignment="1">
      <alignment horizontal="left"/>
    </xf>
    <xf numFmtId="0" fontId="20" fillId="0" borderId="1" xfId="2" applyFont="1" applyBorder="1" applyAlignment="1">
      <alignment vertical="top" wrapText="1"/>
    </xf>
    <xf numFmtId="0" fontId="20" fillId="0" borderId="1" xfId="2" applyFont="1" applyBorder="1" applyAlignment="1">
      <alignment horizontal="justify" vertical="center"/>
    </xf>
    <xf numFmtId="0" fontId="123" fillId="5" borderId="1" xfId="2" applyFont="1" applyFill="1" applyBorder="1"/>
    <xf numFmtId="0" fontId="137" fillId="0" borderId="0" xfId="2" applyFont="1"/>
    <xf numFmtId="43" fontId="137" fillId="0" borderId="0" xfId="2" applyNumberFormat="1" applyFont="1" applyAlignment="1">
      <alignment horizontal="right"/>
    </xf>
    <xf numFmtId="189" fontId="123" fillId="0" borderId="0" xfId="2" applyNumberFormat="1" applyFont="1"/>
    <xf numFmtId="43" fontId="123" fillId="0" borderId="0" xfId="2" applyNumberFormat="1" applyFont="1"/>
    <xf numFmtId="43" fontId="137" fillId="0" borderId="0" xfId="2" applyNumberFormat="1" applyFont="1"/>
    <xf numFmtId="0" fontId="123" fillId="0" borderId="0" xfId="2" applyFont="1" applyAlignment="1">
      <alignment vertical="top" wrapText="1"/>
    </xf>
    <xf numFmtId="10" fontId="137" fillId="0" borderId="0" xfId="2" applyNumberFormat="1" applyFont="1"/>
    <xf numFmtId="43" fontId="123" fillId="0" borderId="0" xfId="2" applyNumberFormat="1" applyFont="1" applyAlignment="1">
      <alignment horizontal="right"/>
    </xf>
    <xf numFmtId="0" fontId="96" fillId="0" borderId="0" xfId="2"/>
    <xf numFmtId="179" fontId="123" fillId="0" borderId="1" xfId="2" applyNumberFormat="1" applyFont="1" applyBorder="1" applyAlignment="1">
      <alignment horizontal="left" vertical="center" wrapText="1"/>
    </xf>
    <xf numFmtId="0" fontId="123" fillId="0" borderId="0" xfId="2" applyFont="1" applyAlignment="1">
      <alignment vertical="center"/>
    </xf>
    <xf numFmtId="0" fontId="123" fillId="0" borderId="1" xfId="2" applyFont="1" applyBorder="1" applyAlignment="1">
      <alignment vertical="center"/>
    </xf>
    <xf numFmtId="179" fontId="123" fillId="5" borderId="1" xfId="2" applyNumberFormat="1" applyFont="1" applyFill="1" applyBorder="1" applyAlignment="1">
      <alignment horizontal="justify" vertical="center" wrapText="1"/>
    </xf>
    <xf numFmtId="0" fontId="123" fillId="5" borderId="1" xfId="2" applyFont="1" applyFill="1" applyBorder="1" applyAlignment="1">
      <alignment vertical="center"/>
    </xf>
    <xf numFmtId="189" fontId="123" fillId="0" borderId="1" xfId="2" applyNumberFormat="1" applyFont="1" applyBorder="1" applyAlignment="1">
      <alignment vertical="center"/>
    </xf>
    <xf numFmtId="43" fontId="123" fillId="0" borderId="1" xfId="2" applyNumberFormat="1" applyFont="1" applyBorder="1" applyAlignment="1">
      <alignment vertical="center"/>
    </xf>
    <xf numFmtId="198" fontId="123" fillId="0" borderId="1" xfId="2" applyNumberFormat="1" applyFont="1" applyBorder="1" applyAlignment="1">
      <alignment horizontal="left" vertical="center"/>
    </xf>
    <xf numFmtId="0" fontId="123" fillId="0" borderId="1" xfId="2" applyFont="1" applyBorder="1" applyAlignment="1">
      <alignment horizontal="justify" vertical="center" wrapText="1"/>
    </xf>
    <xf numFmtId="0" fontId="123" fillId="0" borderId="1" xfId="2" applyFont="1" applyBorder="1" applyAlignment="1">
      <alignment vertical="center" wrapText="1"/>
    </xf>
    <xf numFmtId="0" fontId="123" fillId="0" borderId="1" xfId="2" applyFont="1" applyBorder="1" applyAlignment="1">
      <alignment horizontal="center" vertical="center" wrapText="1"/>
    </xf>
    <xf numFmtId="179" fontId="123" fillId="0" borderId="1" xfId="2" applyNumberFormat="1" applyFont="1" applyBorder="1" applyAlignment="1">
      <alignment horizontal="justify" vertical="center" wrapText="1"/>
    </xf>
    <xf numFmtId="179" fontId="123" fillId="5" borderId="1" xfId="2" applyNumberFormat="1" applyFont="1" applyFill="1" applyBorder="1" applyAlignment="1">
      <alignment vertical="center"/>
    </xf>
    <xf numFmtId="0" fontId="123" fillId="0" borderId="1" xfId="2" applyFont="1" applyBorder="1" applyAlignment="1">
      <alignment horizontal="center" vertical="center"/>
    </xf>
    <xf numFmtId="0" fontId="123" fillId="5" borderId="1" xfId="2" applyFont="1" applyFill="1" applyBorder="1" applyAlignment="1">
      <alignment horizontal="left" vertical="center"/>
    </xf>
    <xf numFmtId="0" fontId="123" fillId="0" borderId="1" xfId="2" applyFont="1" applyBorder="1" applyAlignment="1">
      <alignment horizontal="left" vertical="center"/>
    </xf>
    <xf numFmtId="179" fontId="123" fillId="0" borderId="1" xfId="2" applyNumberFormat="1" applyFont="1" applyBorder="1" applyAlignment="1">
      <alignment vertical="center"/>
    </xf>
    <xf numFmtId="0" fontId="20" fillId="0" borderId="1" xfId="2" applyFont="1" applyBorder="1" applyAlignment="1">
      <alignment vertical="center"/>
    </xf>
    <xf numFmtId="0" fontId="20" fillId="5" borderId="1" xfId="2" applyFont="1" applyFill="1" applyBorder="1" applyAlignment="1">
      <alignment horizontal="left" vertical="center"/>
    </xf>
    <xf numFmtId="179" fontId="20" fillId="5" borderId="1" xfId="2" applyNumberFormat="1" applyFont="1" applyFill="1" applyBorder="1" applyAlignment="1">
      <alignment vertical="center"/>
    </xf>
    <xf numFmtId="0" fontId="20" fillId="5" borderId="1" xfId="2" applyFont="1" applyFill="1" applyBorder="1" applyAlignment="1">
      <alignment vertical="center"/>
    </xf>
    <xf numFmtId="43" fontId="20" fillId="5" borderId="1" xfId="2" applyNumberFormat="1" applyFont="1" applyFill="1" applyBorder="1" applyAlignment="1">
      <alignment horizontal="right" vertical="center"/>
    </xf>
    <xf numFmtId="189" fontId="20" fillId="0" borderId="1" xfId="2" applyNumberFormat="1" applyFont="1" applyBorder="1" applyAlignment="1">
      <alignment vertical="center"/>
    </xf>
    <xf numFmtId="43" fontId="20" fillId="0" borderId="1" xfId="2" applyNumberFormat="1" applyFont="1" applyBorder="1" applyAlignment="1">
      <alignment vertical="center"/>
    </xf>
    <xf numFmtId="198" fontId="20" fillId="0" borderId="1" xfId="2" applyNumberFormat="1" applyFont="1" applyBorder="1" applyAlignment="1">
      <alignment horizontal="left" vertical="center"/>
    </xf>
    <xf numFmtId="0" fontId="20" fillId="0" borderId="1" xfId="2" applyFont="1" applyBorder="1" applyAlignment="1">
      <alignment vertical="center" wrapText="1"/>
    </xf>
    <xf numFmtId="0" fontId="20" fillId="0" borderId="1" xfId="2" applyFont="1" applyBorder="1" applyAlignment="1">
      <alignment horizontal="justify" vertical="center" wrapText="1"/>
    </xf>
    <xf numFmtId="0" fontId="20" fillId="0" borderId="1" xfId="2" applyFont="1" applyBorder="1" applyAlignment="1">
      <alignment horizontal="center" vertical="center"/>
    </xf>
    <xf numFmtId="0" fontId="20" fillId="0" borderId="0" xfId="2" applyFont="1" applyAlignment="1">
      <alignment vertical="center"/>
    </xf>
    <xf numFmtId="0" fontId="20" fillId="0" borderId="1" xfId="2" applyFont="1" applyBorder="1" applyAlignment="1">
      <alignment horizontal="left" vertical="center"/>
    </xf>
    <xf numFmtId="179" fontId="123" fillId="0" borderId="0" xfId="2" applyNumberFormat="1" applyFont="1" applyAlignment="1">
      <alignment vertical="center"/>
    </xf>
    <xf numFmtId="43" fontId="123" fillId="0" borderId="0" xfId="2" applyNumberFormat="1" applyFont="1" applyAlignment="1">
      <alignment horizontal="right" vertical="center"/>
    </xf>
    <xf numFmtId="189" fontId="123" fillId="0" borderId="0" xfId="2" applyNumberFormat="1" applyFont="1" applyAlignment="1">
      <alignment vertical="center"/>
    </xf>
    <xf numFmtId="43" fontId="137" fillId="0" borderId="0" xfId="2" applyNumberFormat="1" applyFont="1" applyAlignment="1">
      <alignment vertical="center"/>
    </xf>
    <xf numFmtId="0" fontId="123" fillId="0" borderId="0" xfId="2" applyFont="1" applyAlignment="1">
      <alignment vertical="center" wrapText="1"/>
    </xf>
    <xf numFmtId="0" fontId="179" fillId="0" borderId="0" xfId="2" applyFont="1" applyAlignment="1">
      <alignment horizontal="justify" vertical="center"/>
    </xf>
    <xf numFmtId="0" fontId="137" fillId="0" borderId="0" xfId="2" applyFont="1" applyAlignment="1">
      <alignment vertical="center"/>
    </xf>
    <xf numFmtId="179" fontId="137" fillId="0" borderId="0" xfId="2" applyNumberFormat="1" applyFont="1" applyAlignment="1">
      <alignment vertical="center"/>
    </xf>
    <xf numFmtId="10" fontId="137" fillId="0" borderId="0" xfId="2" applyNumberFormat="1" applyFont="1" applyAlignment="1">
      <alignment vertical="center"/>
    </xf>
    <xf numFmtId="189" fontId="137" fillId="0" borderId="0" xfId="2" applyNumberFormat="1" applyFont="1" applyAlignment="1">
      <alignment vertical="center"/>
    </xf>
    <xf numFmtId="0" fontId="137" fillId="0" borderId="0" xfId="2" applyFont="1" applyAlignment="1">
      <alignment vertical="center" wrapText="1"/>
    </xf>
    <xf numFmtId="43" fontId="137" fillId="0" borderId="0" xfId="2" applyNumberFormat="1" applyFont="1" applyAlignment="1">
      <alignment horizontal="right" vertical="center"/>
    </xf>
    <xf numFmtId="43" fontId="123" fillId="0" borderId="0" xfId="2" applyNumberFormat="1" applyFont="1" applyAlignment="1">
      <alignment vertical="center"/>
    </xf>
    <xf numFmtId="0" fontId="96" fillId="0" borderId="0" xfId="2" applyAlignment="1">
      <alignment vertical="center"/>
    </xf>
    <xf numFmtId="43" fontId="123" fillId="0" borderId="1" xfId="2" applyNumberFormat="1" applyFont="1" applyBorder="1" applyAlignment="1">
      <alignment vertical="center" wrapText="1"/>
    </xf>
    <xf numFmtId="0" fontId="0" fillId="0" borderId="15" xfId="0" applyBorder="1" applyAlignment="1">
      <alignment horizontal="left" vertical="center"/>
    </xf>
    <xf numFmtId="198" fontId="137" fillId="0" borderId="0" xfId="2" applyNumberFormat="1" applyFont="1"/>
    <xf numFmtId="198" fontId="0" fillId="0" borderId="0" xfId="0" applyNumberFormat="1">
      <alignment vertical="center"/>
    </xf>
    <xf numFmtId="43" fontId="0" fillId="0" borderId="0" xfId="0" applyNumberFormat="1">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49"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96" fillId="25" borderId="0" xfId="0" applyFont="1" applyFill="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22" borderId="1" xfId="0" applyFont="1" applyFill="1" applyBorder="1" applyAlignment="1">
      <alignment horizontal="left" vertical="center"/>
    </xf>
    <xf numFmtId="0" fontId="0" fillId="22" borderId="1" xfId="0" applyFill="1" applyBorder="1" applyAlignment="1">
      <alignment horizontal="left" vertical="center"/>
    </xf>
    <xf numFmtId="0" fontId="0" fillId="27" borderId="13" xfId="0" applyFill="1" applyBorder="1" applyAlignment="1">
      <alignment horizontal="left" vertical="center"/>
    </xf>
    <xf numFmtId="0" fontId="0" fillId="27" borderId="15" xfId="0" applyFill="1" applyBorder="1" applyAlignment="1">
      <alignment horizontal="left" vertical="center"/>
    </xf>
    <xf numFmtId="0" fontId="0" fillId="27" borderId="2" xfId="0" applyFill="1" applyBorder="1" applyAlignment="1">
      <alignment horizontal="left" vertical="center"/>
    </xf>
    <xf numFmtId="0" fontId="96" fillId="27" borderId="13" xfId="0" applyFont="1" applyFill="1" applyBorder="1" applyAlignment="1">
      <alignment horizontal="left" vertical="center"/>
    </xf>
    <xf numFmtId="0" fontId="96" fillId="26" borderId="1" xfId="0" applyFont="1" applyFill="1" applyBorder="1" applyAlignment="1">
      <alignment horizontal="left" vertical="center"/>
    </xf>
    <xf numFmtId="0" fontId="96" fillId="25" borderId="1" xfId="0" applyFont="1" applyFill="1" applyBorder="1" applyAlignment="1">
      <alignment horizontal="left" vertical="center"/>
    </xf>
    <xf numFmtId="0" fontId="0" fillId="25" borderId="1" xfId="0" applyFill="1" applyBorder="1" applyAlignment="1">
      <alignment horizontal="left" vertical="center"/>
    </xf>
    <xf numFmtId="0" fontId="96" fillId="24" borderId="1" xfId="0" applyFont="1" applyFill="1" applyBorder="1" applyAlignment="1">
      <alignment horizontal="left" vertical="center"/>
    </xf>
    <xf numFmtId="0" fontId="0" fillId="24" borderId="1" xfId="0" applyFill="1" applyBorder="1" applyAlignment="1">
      <alignment horizontal="left" vertical="center"/>
    </xf>
    <xf numFmtId="0" fontId="0" fillId="26" borderId="1" xfId="0"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78" fillId="7" borderId="0" xfId="0" applyFont="1" applyFill="1" applyAlignment="1" applyProtection="1">
      <alignment horizontal="center" vertical="center" wrapText="1"/>
      <protection locked="0"/>
    </xf>
    <xf numFmtId="0" fontId="96" fillId="0" borderId="58" xfId="0" applyFont="1" applyFill="1" applyBorder="1" applyAlignment="1">
      <alignment horizontal="left" vertical="center"/>
    </xf>
    <xf numFmtId="0" fontId="96" fillId="0" borderId="15" xfId="0" applyFont="1" applyFill="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7">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13</xdr:row>
      <xdr:rowOff>75912</xdr:rowOff>
    </xdr:to>
    <xdr:pic>
      <xdr:nvPicPr>
        <xdr:cNvPr id="2" name="图片 1">
          <a:extLst>
            <a:ext uri="{FF2B5EF4-FFF2-40B4-BE49-F238E27FC236}">
              <a16:creationId xmlns:a16="http://schemas.microsoft.com/office/drawing/2014/main" id="{B2BA7CB3-C77E-943F-51E4-3C7C9F9A1231}"/>
            </a:ext>
          </a:extLst>
        </xdr:cNvPr>
        <xdr:cNvPicPr>
          <a:picLocks noChangeAspect="1"/>
        </xdr:cNvPicPr>
      </xdr:nvPicPr>
      <xdr:blipFill>
        <a:blip xmlns:r="http://schemas.openxmlformats.org/officeDocument/2006/relationships" r:embed="rId1"/>
        <a:stretch>
          <a:fillRect/>
        </a:stretch>
      </xdr:blipFill>
      <xdr:spPr>
        <a:xfrm>
          <a:off x="0" y="0"/>
          <a:ext cx="6571429" cy="2304762"/>
        </a:xfrm>
        <a:prstGeom prst="rect">
          <a:avLst/>
        </a:prstGeom>
      </xdr:spPr>
    </xdr:pic>
    <xdr:clientData/>
  </xdr:twoCellAnchor>
  <xdr:twoCellAnchor editAs="oneCell">
    <xdr:from>
      <xdr:col>9</xdr:col>
      <xdr:colOff>400050</xdr:colOff>
      <xdr:row>0</xdr:row>
      <xdr:rowOff>0</xdr:rowOff>
    </xdr:from>
    <xdr:to>
      <xdr:col>18</xdr:col>
      <xdr:colOff>646898</xdr:colOff>
      <xdr:row>7</xdr:row>
      <xdr:rowOff>9374</xdr:rowOff>
    </xdr:to>
    <xdr:pic>
      <xdr:nvPicPr>
        <xdr:cNvPr id="3" name="图片 2">
          <a:extLst>
            <a:ext uri="{FF2B5EF4-FFF2-40B4-BE49-F238E27FC236}">
              <a16:creationId xmlns:a16="http://schemas.microsoft.com/office/drawing/2014/main" id="{640082CC-4EA8-A027-74D7-4C2523562006}"/>
            </a:ext>
          </a:extLst>
        </xdr:cNvPr>
        <xdr:cNvPicPr>
          <a:picLocks noChangeAspect="1"/>
        </xdr:cNvPicPr>
      </xdr:nvPicPr>
      <xdr:blipFill>
        <a:blip xmlns:r="http://schemas.openxmlformats.org/officeDocument/2006/relationships" r:embed="rId2"/>
        <a:stretch>
          <a:fillRect/>
        </a:stretch>
      </xdr:blipFill>
      <xdr:spPr>
        <a:xfrm>
          <a:off x="6572250" y="0"/>
          <a:ext cx="6419048" cy="1209524"/>
        </a:xfrm>
        <a:prstGeom prst="rect">
          <a:avLst/>
        </a:prstGeom>
      </xdr:spPr>
    </xdr:pic>
    <xdr:clientData/>
  </xdr:twoCellAnchor>
  <xdr:twoCellAnchor editAs="oneCell">
    <xdr:from>
      <xdr:col>0</xdr:col>
      <xdr:colOff>0</xdr:colOff>
      <xdr:row>13</xdr:row>
      <xdr:rowOff>142875</xdr:rowOff>
    </xdr:from>
    <xdr:to>
      <xdr:col>9</xdr:col>
      <xdr:colOff>684943</xdr:colOff>
      <xdr:row>47</xdr:row>
      <xdr:rowOff>104051</xdr:rowOff>
    </xdr:to>
    <xdr:pic>
      <xdr:nvPicPr>
        <xdr:cNvPr id="4" name="图片 3">
          <a:extLst>
            <a:ext uri="{FF2B5EF4-FFF2-40B4-BE49-F238E27FC236}">
              <a16:creationId xmlns:a16="http://schemas.microsoft.com/office/drawing/2014/main" id="{9184AC6A-BDB9-FEBF-0F23-6FCB9B602FDA}"/>
            </a:ext>
          </a:extLst>
        </xdr:cNvPr>
        <xdr:cNvPicPr>
          <a:picLocks noChangeAspect="1"/>
        </xdr:cNvPicPr>
      </xdr:nvPicPr>
      <xdr:blipFill>
        <a:blip xmlns:r="http://schemas.openxmlformats.org/officeDocument/2006/relationships" r:embed="rId3"/>
        <a:stretch>
          <a:fillRect/>
        </a:stretch>
      </xdr:blipFill>
      <xdr:spPr>
        <a:xfrm>
          <a:off x="0" y="2371725"/>
          <a:ext cx="6857143" cy="5790476"/>
        </a:xfrm>
        <a:prstGeom prst="rect">
          <a:avLst/>
        </a:prstGeom>
      </xdr:spPr>
    </xdr:pic>
    <xdr:clientData/>
  </xdr:twoCellAnchor>
  <xdr:twoCellAnchor editAs="oneCell">
    <xdr:from>
      <xdr:col>9</xdr:col>
      <xdr:colOff>447675</xdr:colOff>
      <xdr:row>7</xdr:row>
      <xdr:rowOff>142875</xdr:rowOff>
    </xdr:from>
    <xdr:to>
      <xdr:col>19</xdr:col>
      <xdr:colOff>18246</xdr:colOff>
      <xdr:row>18</xdr:row>
      <xdr:rowOff>171211</xdr:rowOff>
    </xdr:to>
    <xdr:pic>
      <xdr:nvPicPr>
        <xdr:cNvPr id="5" name="图片 4">
          <a:extLst>
            <a:ext uri="{FF2B5EF4-FFF2-40B4-BE49-F238E27FC236}">
              <a16:creationId xmlns:a16="http://schemas.microsoft.com/office/drawing/2014/main" id="{587CD398-E078-2559-3CD7-1CDD99A56ED2}"/>
            </a:ext>
          </a:extLst>
        </xdr:cNvPr>
        <xdr:cNvPicPr>
          <a:picLocks noChangeAspect="1"/>
        </xdr:cNvPicPr>
      </xdr:nvPicPr>
      <xdr:blipFill>
        <a:blip xmlns:r="http://schemas.openxmlformats.org/officeDocument/2006/relationships" r:embed="rId4"/>
        <a:stretch>
          <a:fillRect/>
        </a:stretch>
      </xdr:blipFill>
      <xdr:spPr>
        <a:xfrm>
          <a:off x="6619875" y="1343025"/>
          <a:ext cx="6428571" cy="1914286"/>
        </a:xfrm>
        <a:prstGeom prst="rect">
          <a:avLst/>
        </a:prstGeom>
      </xdr:spPr>
    </xdr:pic>
    <xdr:clientData/>
  </xdr:twoCellAnchor>
  <xdr:twoCellAnchor editAs="oneCell">
    <xdr:from>
      <xdr:col>9</xdr:col>
      <xdr:colOff>676275</xdr:colOff>
      <xdr:row>19</xdr:row>
      <xdr:rowOff>28575</xdr:rowOff>
    </xdr:from>
    <xdr:to>
      <xdr:col>19</xdr:col>
      <xdr:colOff>437323</xdr:colOff>
      <xdr:row>69</xdr:row>
      <xdr:rowOff>46551</xdr:rowOff>
    </xdr:to>
    <xdr:pic>
      <xdr:nvPicPr>
        <xdr:cNvPr id="6" name="图片 5">
          <a:extLst>
            <a:ext uri="{FF2B5EF4-FFF2-40B4-BE49-F238E27FC236}">
              <a16:creationId xmlns:a16="http://schemas.microsoft.com/office/drawing/2014/main" id="{6A5A75DE-562E-FDA1-8D80-E7350832F967}"/>
            </a:ext>
          </a:extLst>
        </xdr:cNvPr>
        <xdr:cNvPicPr>
          <a:picLocks noChangeAspect="1"/>
        </xdr:cNvPicPr>
      </xdr:nvPicPr>
      <xdr:blipFill>
        <a:blip xmlns:r="http://schemas.openxmlformats.org/officeDocument/2006/relationships" r:embed="rId5"/>
        <a:stretch>
          <a:fillRect/>
        </a:stretch>
      </xdr:blipFill>
      <xdr:spPr>
        <a:xfrm>
          <a:off x="6848475" y="3286125"/>
          <a:ext cx="6619048" cy="8590476"/>
        </a:xfrm>
        <a:prstGeom prst="rect">
          <a:avLst/>
        </a:prstGeom>
      </xdr:spPr>
    </xdr:pic>
    <xdr:clientData/>
  </xdr:twoCellAnchor>
  <xdr:twoCellAnchor editAs="oneCell">
    <xdr:from>
      <xdr:col>18</xdr:col>
      <xdr:colOff>676275</xdr:colOff>
      <xdr:row>0</xdr:row>
      <xdr:rowOff>0</xdr:rowOff>
    </xdr:from>
    <xdr:to>
      <xdr:col>25</xdr:col>
      <xdr:colOff>466151</xdr:colOff>
      <xdr:row>10</xdr:row>
      <xdr:rowOff>133119</xdr:rowOff>
    </xdr:to>
    <xdr:pic>
      <xdr:nvPicPr>
        <xdr:cNvPr id="7" name="图片 6">
          <a:extLst>
            <a:ext uri="{FF2B5EF4-FFF2-40B4-BE49-F238E27FC236}">
              <a16:creationId xmlns:a16="http://schemas.microsoft.com/office/drawing/2014/main" id="{E9BC6E9E-C572-6A78-505F-2B1C1961B619}"/>
            </a:ext>
          </a:extLst>
        </xdr:cNvPr>
        <xdr:cNvPicPr>
          <a:picLocks noChangeAspect="1"/>
        </xdr:cNvPicPr>
      </xdr:nvPicPr>
      <xdr:blipFill>
        <a:blip xmlns:r="http://schemas.openxmlformats.org/officeDocument/2006/relationships" r:embed="rId6"/>
        <a:stretch>
          <a:fillRect/>
        </a:stretch>
      </xdr:blipFill>
      <xdr:spPr>
        <a:xfrm>
          <a:off x="13020675" y="0"/>
          <a:ext cx="4590476" cy="1847619"/>
        </a:xfrm>
        <a:prstGeom prst="rect">
          <a:avLst/>
        </a:prstGeom>
      </xdr:spPr>
    </xdr:pic>
    <xdr:clientData/>
  </xdr:twoCellAnchor>
  <xdr:twoCellAnchor editAs="oneCell">
    <xdr:from>
      <xdr:col>19</xdr:col>
      <xdr:colOff>609600</xdr:colOff>
      <xdr:row>22</xdr:row>
      <xdr:rowOff>123825</xdr:rowOff>
    </xdr:from>
    <xdr:to>
      <xdr:col>33</xdr:col>
      <xdr:colOff>522686</xdr:colOff>
      <xdr:row>63</xdr:row>
      <xdr:rowOff>75327</xdr:rowOff>
    </xdr:to>
    <xdr:pic>
      <xdr:nvPicPr>
        <xdr:cNvPr id="8" name="图片 7">
          <a:extLst>
            <a:ext uri="{FF2B5EF4-FFF2-40B4-BE49-F238E27FC236}">
              <a16:creationId xmlns:a16="http://schemas.microsoft.com/office/drawing/2014/main" id="{599092D9-7820-11F5-A582-06981BB9D706}"/>
            </a:ext>
          </a:extLst>
        </xdr:cNvPr>
        <xdr:cNvPicPr>
          <a:picLocks noChangeAspect="1"/>
        </xdr:cNvPicPr>
      </xdr:nvPicPr>
      <xdr:blipFill>
        <a:blip xmlns:r="http://schemas.openxmlformats.org/officeDocument/2006/relationships" r:embed="rId7"/>
        <a:stretch>
          <a:fillRect/>
        </a:stretch>
      </xdr:blipFill>
      <xdr:spPr>
        <a:xfrm>
          <a:off x="13639800" y="3895725"/>
          <a:ext cx="9514286" cy="6980952"/>
        </a:xfrm>
        <a:prstGeom prst="rect">
          <a:avLst/>
        </a:prstGeom>
      </xdr:spPr>
    </xdr:pic>
    <xdr:clientData/>
  </xdr:twoCellAnchor>
  <xdr:twoCellAnchor editAs="oneCell">
    <xdr:from>
      <xdr:col>6</xdr:col>
      <xdr:colOff>447675</xdr:colOff>
      <xdr:row>47</xdr:row>
      <xdr:rowOff>57150</xdr:rowOff>
    </xdr:from>
    <xdr:to>
      <xdr:col>9</xdr:col>
      <xdr:colOff>342656</xdr:colOff>
      <xdr:row>63</xdr:row>
      <xdr:rowOff>113950</xdr:rowOff>
    </xdr:to>
    <xdr:pic>
      <xdr:nvPicPr>
        <xdr:cNvPr id="9" name="图片 8">
          <a:extLst>
            <a:ext uri="{FF2B5EF4-FFF2-40B4-BE49-F238E27FC236}">
              <a16:creationId xmlns:a16="http://schemas.microsoft.com/office/drawing/2014/main" id="{5BCCF0FB-ECDC-9C6E-BDE5-8DC6D1AB7859}"/>
            </a:ext>
          </a:extLst>
        </xdr:cNvPr>
        <xdr:cNvPicPr>
          <a:picLocks noChangeAspect="1"/>
        </xdr:cNvPicPr>
      </xdr:nvPicPr>
      <xdr:blipFill>
        <a:blip xmlns:r="http://schemas.openxmlformats.org/officeDocument/2006/relationships" r:embed="rId8"/>
        <a:stretch>
          <a:fillRect/>
        </a:stretch>
      </xdr:blipFill>
      <xdr:spPr>
        <a:xfrm>
          <a:off x="4562475" y="8115300"/>
          <a:ext cx="1952381" cy="2800000"/>
        </a:xfrm>
        <a:prstGeom prst="rect">
          <a:avLst/>
        </a:prstGeom>
      </xdr:spPr>
    </xdr:pic>
    <xdr:clientData/>
  </xdr:twoCellAnchor>
  <xdr:twoCellAnchor editAs="oneCell">
    <xdr:from>
      <xdr:col>0</xdr:col>
      <xdr:colOff>0</xdr:colOff>
      <xdr:row>47</xdr:row>
      <xdr:rowOff>152400</xdr:rowOff>
    </xdr:from>
    <xdr:to>
      <xdr:col>3</xdr:col>
      <xdr:colOff>180695</xdr:colOff>
      <xdr:row>63</xdr:row>
      <xdr:rowOff>161581</xdr:rowOff>
    </xdr:to>
    <xdr:pic>
      <xdr:nvPicPr>
        <xdr:cNvPr id="10" name="图片 9">
          <a:extLst>
            <a:ext uri="{FF2B5EF4-FFF2-40B4-BE49-F238E27FC236}">
              <a16:creationId xmlns:a16="http://schemas.microsoft.com/office/drawing/2014/main" id="{AC60516A-EAF8-A3B8-D9C8-6FF6133E6058}"/>
            </a:ext>
          </a:extLst>
        </xdr:cNvPr>
        <xdr:cNvPicPr>
          <a:picLocks noChangeAspect="1"/>
        </xdr:cNvPicPr>
      </xdr:nvPicPr>
      <xdr:blipFill>
        <a:blip xmlns:r="http://schemas.openxmlformats.org/officeDocument/2006/relationships" r:embed="rId9"/>
        <a:stretch>
          <a:fillRect/>
        </a:stretch>
      </xdr:blipFill>
      <xdr:spPr>
        <a:xfrm>
          <a:off x="0" y="8210550"/>
          <a:ext cx="2238095" cy="2752381"/>
        </a:xfrm>
        <a:prstGeom prst="rect">
          <a:avLst/>
        </a:prstGeom>
      </xdr:spPr>
    </xdr:pic>
    <xdr:clientData/>
  </xdr:twoCellAnchor>
  <xdr:twoCellAnchor editAs="oneCell">
    <xdr:from>
      <xdr:col>3</xdr:col>
      <xdr:colOff>447675</xdr:colOff>
      <xdr:row>47</xdr:row>
      <xdr:rowOff>152400</xdr:rowOff>
    </xdr:from>
    <xdr:to>
      <xdr:col>6</xdr:col>
      <xdr:colOff>295037</xdr:colOff>
      <xdr:row>63</xdr:row>
      <xdr:rowOff>47295</xdr:rowOff>
    </xdr:to>
    <xdr:pic>
      <xdr:nvPicPr>
        <xdr:cNvPr id="11" name="图片 10">
          <a:extLst>
            <a:ext uri="{FF2B5EF4-FFF2-40B4-BE49-F238E27FC236}">
              <a16:creationId xmlns:a16="http://schemas.microsoft.com/office/drawing/2014/main" id="{DB2B14A5-A717-F329-1E3D-A3C0982A7B03}"/>
            </a:ext>
          </a:extLst>
        </xdr:cNvPr>
        <xdr:cNvPicPr>
          <a:picLocks noChangeAspect="1"/>
        </xdr:cNvPicPr>
      </xdr:nvPicPr>
      <xdr:blipFill>
        <a:blip xmlns:r="http://schemas.openxmlformats.org/officeDocument/2006/relationships" r:embed="rId10"/>
        <a:stretch>
          <a:fillRect/>
        </a:stretch>
      </xdr:blipFill>
      <xdr:spPr>
        <a:xfrm>
          <a:off x="2505075" y="8210550"/>
          <a:ext cx="1904762" cy="2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58271</xdr:rowOff>
    </xdr:from>
    <xdr:to>
      <xdr:col>4</xdr:col>
      <xdr:colOff>1646992</xdr:colOff>
      <xdr:row>71</xdr:row>
      <xdr:rowOff>9687</xdr:rowOff>
    </xdr:to>
    <xdr:pic>
      <xdr:nvPicPr>
        <xdr:cNvPr id="2" name="图片 1">
          <a:extLst>
            <a:ext uri="{FF2B5EF4-FFF2-40B4-BE49-F238E27FC236}">
              <a16:creationId xmlns:a16="http://schemas.microsoft.com/office/drawing/2014/main" id="{97AB0CD6-8A26-506C-85C7-53F2F8C800A8}"/>
            </a:ext>
          </a:extLst>
        </xdr:cNvPr>
        <xdr:cNvPicPr>
          <a:picLocks noChangeAspect="1"/>
        </xdr:cNvPicPr>
      </xdr:nvPicPr>
      <xdr:blipFill>
        <a:blip xmlns:r="http://schemas.openxmlformats.org/officeDocument/2006/relationships" r:embed="rId1"/>
        <a:stretch>
          <a:fillRect/>
        </a:stretch>
      </xdr:blipFill>
      <xdr:spPr>
        <a:xfrm>
          <a:off x="0" y="4428565"/>
          <a:ext cx="6667227" cy="75153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002&#24180;&#20915;&#31639;\Section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4494;&#20449;\20241211\WeChat%20Files\vwang136513\FileStorage\File\2025-09\&#31199;&#36161;&#28165;&#21333;091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0&#24180;&#24180;&#25253;\2000&#24180;&#24180;&#25253;&#38468;&#27880;&#26684;&#24335;&#304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yh\LOCALS~1\Temp\Rar$DI00.103\&#21512;&#24182;&#35797;&#31639;&#24179;&#34913;&#34920;-&#21326;&#28304;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1512;&#24182;&#20250;&#35745;&#25253;&#34920;&#38468;&#27880;&#24213;&#312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lycai\01&#24448;&#26469;&#21512;&#21516;\&#22253;&#21306;&#33258;&#29992;&#34920;&#26684;\20220314&#22253;&#21306;&#22522;&#37329;%20&#26126;&#32454;%20&#33258;&#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24037;&#20316;\&#30707;&#26223;&#23665;&#21306;&#20116;&#19968;&#21095;&#22330;&#36335;&#21830;&#19994;&#21150;&#20844;&#39033;&#30446;\&#30707;&#26223;&#23665;&#21306;&#20116;&#19968;&#21095;&#22330;&#36335;-&#25991;&#20307;&#20307;&#39564;&#27004;.xlsx" TargetMode="External"/><Relationship Id="rId1" Type="http://schemas.openxmlformats.org/officeDocument/2006/relationships/externalLinkPath" Target="&#30707;&#26223;&#23665;&#21306;&#20116;&#19968;&#21095;&#22330;&#36335;-&#25991;&#20307;&#20307;&#39564;&#27004;.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D:\&#24037;&#20316;\&#30707;&#26223;&#23665;&#21306;&#20116;&#19968;&#21095;&#22330;&#36335;&#21830;&#19994;&#21150;&#20844;&#39033;&#30446;\&#30707;&#26223;&#23665;&#21306;&#20116;&#19968;&#21095;&#22330;&#36335;-&#21830;&#19994;&#27004;.xlsx" TargetMode="External"/><Relationship Id="rId1" Type="http://schemas.openxmlformats.org/officeDocument/2006/relationships/externalLinkPath" Target="&#30707;&#26223;&#23665;&#21306;&#20116;&#19968;&#21095;&#22330;&#36335;-&#21830;&#19994;&#27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linlin\Documents\WXWorkLocal\1688849881310950_1970325022440915\Cache\File\2025-07\&#39318;&#29422;&#26124;&#27888;%20&#21830;&#19994;%20&#20135;&#19994;%20&#31199;&#36161;&#28165;&#21333;%202025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三部分"/>
      <sheetName val="一、财务报告.财务情况说明书 "/>
      <sheetName val="二、审计报告"/>
      <sheetName val="三、合并或汇总会计报表"/>
      <sheetName val="1、合并（汇总）报表部分"/>
      <sheetName val="（1）合并资产"/>
      <sheetName val="合并资产续"/>
      <sheetName val="（2）合并利润"/>
      <sheetName val="（3）合并现金流量"/>
      <sheetName val="合并现金流量附注"/>
      <sheetName val="2、个别会计报表部分"/>
      <sheetName val="（1）资产负债表"/>
      <sheetName val="资产续"/>
      <sheetName val="（2）利润表"/>
      <sheetName val="（3）现金流量表"/>
      <sheetName val="流量表附注"/>
      <sheetName val="四、报表附注"/>
      <sheetName val="1、主要会计政策"/>
      <sheetName val="主要会计政策续"/>
      <sheetName val="2、会计报表项目注释"/>
      <sheetName val="（1）货币资金"/>
      <sheetName val="(2)货币资金有关资料"/>
      <sheetName val="(3)短期投资"/>
      <sheetName val="（4）应收账款"/>
      <sheetName val="（5）预付账款"/>
      <sheetName val="（6）其他应收款"/>
      <sheetName val="（7）存货"/>
      <sheetName val="（8）待摊费用"/>
      <sheetName val="（9）长期股权投资"/>
      <sheetName val="（10）长期债权投资"/>
      <sheetName val="（11）固定资产"/>
      <sheetName val="（12）在建工程"/>
      <sheetName val="（13）在建工程有关资料"/>
      <sheetName val="在建工程有关资料续"/>
      <sheetName val="（14）无形资产"/>
      <sheetName val="（15）递延资产"/>
      <sheetName val="（16）其他长期资产"/>
      <sheetName val="（17）待处理财产损益"/>
      <sheetName val="(18)借款"/>
      <sheetName val="（19）借款（外币）"/>
      <sheetName val="（20）应付和预收账款"/>
      <sheetName val="（21）应付利润或股利"/>
      <sheetName val="（22）应付工资及福利费"/>
      <sheetName val="（23）其他应付款"/>
      <sheetName val="（24）应上交应弥补款项表"/>
      <sheetName val="（25）预提费用"/>
      <sheetName val="（26）其他流动资产、负债"/>
      <sheetName val="（27）实收资本"/>
      <sheetName val="（28）资本公积变动"/>
      <sheetName val="（29）分部信息"/>
      <sheetName val="（30）主营业务收入"/>
      <sheetName val="（31）产品成本"/>
      <sheetName val="（32）营业费用"/>
      <sheetName val="（33）管理费用"/>
      <sheetName val="（34）财务费用"/>
      <sheetName val="(35)其他业务利润"/>
      <sheetName val="(36)投资收益"/>
      <sheetName val="(37)营业外收支"/>
      <sheetName val="(38)其他"/>
      <sheetName val="五、其他需要披露的事项"/>
      <sheetName val="1、关联方关系及其交易 "/>
      <sheetName val="2、资产负债表日后事项"/>
      <sheetName val="3、国有资产总量及保值"/>
      <sheetName val="4、非货币性交易事项"/>
      <sheetName val="5、债务重组事项"/>
      <sheetName val="6、年末不良资产"/>
      <sheetName val="7、资产减值准备表"/>
      <sheetName val="8、担保"/>
      <sheetName val="9、对外投资（一）"/>
      <sheetName val="10、对外投资（二）"/>
      <sheetName val="11、对外借款"/>
      <sheetName val="12、对外开证"/>
      <sheetName val="13、利益冲突声明"/>
      <sheetName val="14、其他"/>
      <sheetName val="III-1-10"/>
      <sheetName val="在执行（房间）-权责"/>
      <sheetName val="续租（房间）-权责"/>
      <sheetName val="新租（房间）-权责"/>
      <sheetName val="在执行（工位）-权责"/>
      <sheetName val="续租（工位）-权责"/>
      <sheetName val="新租（工位）-权责"/>
      <sheetName val="在执行（注册）-权责"/>
      <sheetName val="续租（注册）-权责"/>
      <sheetName val="新租（注册）-权责"/>
      <sheetName val="在执行（房间）-现金流"/>
      <sheetName val="续租（房间）-现金流"/>
      <sheetName val="新租（房间）-现金流"/>
      <sheetName val="在执行（工位）-现金流"/>
      <sheetName val="续租（工位）-现金流"/>
      <sheetName val="新租（工位）-现金流"/>
      <sheetName val="在执行（注册）-现金流"/>
      <sheetName val="续租（注册）-现金流"/>
      <sheetName val="新租（注册）-现金流"/>
      <sheetName val="工时统计"/>
      <sheetName val="Assumptions"/>
      <sheetName val="Scenarios"/>
      <sheetName val="III-1-7"/>
      <sheetName val="III-1-9"/>
      <sheetName val="III-1-6"/>
      <sheetName val="III-1-1"/>
      <sheetName val="III-1-8"/>
      <sheetName val="III-1-2-1"/>
      <sheetName val="III-1-5"/>
      <sheetName val="III-1-4"/>
      <sheetName val="Ref"/>
      <sheetName val="科目代码"/>
      <sheetName val="Cashflow(Scenario)"/>
      <sheetName val="Consolidated 03"/>
      <sheetName val="余额原始数据"/>
      <sheetName val="材料汇总表"/>
      <sheetName val="Summary"/>
      <sheetName val="RefData"/>
      <sheetName val="Sheet1"/>
      <sheetName val="799"/>
      <sheetName val="PRIOR DATA"/>
      <sheetName val="original"/>
      <sheetName val="2022年预算PPT取数"/>
      <sheetName val="担保"/>
      <sheetName val="0010"/>
      <sheetName val="0112"/>
      <sheetName val="1"/>
      <sheetName val="商铺销售收款台帐"/>
      <sheetName val="住宅销售收款"/>
      <sheetName val="P2 AHS"/>
      <sheetName val="CU"/>
      <sheetName val="QUARTERLY PULP"/>
      <sheetName val="Assum"/>
      <sheetName val="安全服务"/>
      <sheetName val="prod.inventory"/>
      <sheetName val="1.合同台账"/>
      <sheetName val="Asset balance"/>
      <sheetName val="Asset full l ist"/>
      <sheetName val="SHFMA"/>
      <sheetName val="ws9"/>
      <sheetName val="CDFMA"/>
      <sheetName val="WHFMA"/>
      <sheetName val="KMFMA"/>
      <sheetName val="spirit"/>
      <sheetName val="FMT"/>
      <sheetName val="营业收入变动分析13-14"/>
      <sheetName val="Auswertung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缴率总表"/>
      <sheetName val="商业-现金流"/>
      <sheetName val="产业-现金流"/>
      <sheetName val="加总"/>
      <sheetName val="办公"/>
      <sheetName val="商业"/>
      <sheetName val="欠缴"/>
      <sheetName val="合同"/>
      <sheetName val="收款额"/>
      <sheetName val="汇总"/>
      <sheetName val="还款"/>
      <sheetName val="还款-TISH退"/>
    </sheetNames>
    <sheetDataSet>
      <sheetData sheetId="0" refreshError="1"/>
      <sheetData sheetId="1" refreshError="1"/>
      <sheetData sheetId="2" refreshError="1"/>
      <sheetData sheetId="3" refreshError="1"/>
      <sheetData sheetId="4" refreshError="1">
        <row r="65">
          <cell r="H65">
            <v>81292.479999999996</v>
          </cell>
          <cell r="O65" t="str">
            <v>办公年租金总额</v>
          </cell>
          <cell r="P65">
            <v>144379956.3132</v>
          </cell>
        </row>
        <row r="66">
          <cell r="H66">
            <v>96000</v>
          </cell>
          <cell r="O66" t="str">
            <v>办公抽查金额</v>
          </cell>
          <cell r="P66">
            <v>129431208.32916</v>
          </cell>
        </row>
        <row r="67">
          <cell r="O67" t="str">
            <v>办公抽查比例</v>
          </cell>
          <cell r="P67">
            <v>0.89646244280880605</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BS报告"/>
      <sheetName val="表头"/>
      <sheetName val="程序表"/>
      <sheetName val="note"/>
      <sheetName val="空白版"/>
      <sheetName val="INV"/>
      <sheetName val="INV-ARP"/>
      <sheetName val="倒轧"/>
      <sheetName val="委托加工"/>
      <sheetName val="存货账表"/>
      <sheetName val="材料分析"/>
      <sheetName val="产品成本分析"/>
      <sheetName val="生产说明"/>
      <sheetName val="存货暂估"/>
      <sheetName val="计价测试"/>
      <sheetName val="跌价准备"/>
      <sheetName val="COST"/>
      <sheetName val="MOH"/>
      <sheetName val="盘点"/>
      <sheetName val="计价"/>
      <sheetName val="计价tt"/>
      <sheetName val="利润"/>
      <sheetName val="盈余"/>
      <sheetName val="资本积"/>
      <sheetName val="询证函清单"/>
      <sheetName val="AR-"/>
      <sheetName val="OR-"/>
      <sheetName val="AR分析"/>
      <sheetName val="AR账令"/>
      <sheetName val="ap总分析"/>
      <sheetName val="应付账款"/>
      <sheetName val="LOAN"/>
      <sheetName val="invest"/>
      <sheetName val="TAX"/>
      <sheetName val="VAT"/>
      <sheetName val="O-TAX"/>
      <sheetName val="FA"/>
      <sheetName val="depr"/>
      <sheetName val="IC"/>
      <sheetName val="III-1-10"/>
      <sheetName val="III-1-6"/>
      <sheetName val="III-1-9"/>
      <sheetName val="III-1-8"/>
      <sheetName val="III-1-2-1"/>
      <sheetName val="III-1-5"/>
      <sheetName val="III-1-4"/>
      <sheetName val="CF审定"/>
      <sheetName val="BS报告（国资委）"/>
      <sheetName val="（27）实收资本"/>
      <sheetName val="mr1"/>
      <sheetName val="㬀&quot;"/>
      <sheetName val="科目代码"/>
      <sheetName val="担保"/>
      <sheetName val="Cashflow(Scenario)"/>
      <sheetName val="Consolidated 03"/>
      <sheetName val="RefData"/>
      <sheetName val="Sheet1"/>
      <sheetName val="Assumptions"/>
      <sheetName val="Scenarios"/>
      <sheetName val="余额原始数据"/>
      <sheetName val="公关外联部"/>
      <sheetName val="Budget 2006"/>
      <sheetName val="Akomodasi"/>
      <sheetName val="Parameters"/>
      <sheetName val="WFOE"/>
      <sheetName val="AccDil"/>
      <sheetName val="LAR-DATA"/>
      <sheetName val="DETAIL"/>
      <sheetName val="Gemstar"/>
      <sheetName val="Consolidation"/>
      <sheetName val="㬀&quot;_xffff_䀕䀕⁄⸀㯀&quot;_xffff_䀘䀘͂ř嬓_x0016_[合并试算平衡"/>
      <sheetName val="㬀&quot;_xffff_䀕"/>
      <sheetName val="QTLY"/>
      <sheetName val="UNCTD WHITE &amp; CONVRTG"/>
      <sheetName val="G"/>
      <sheetName val="This Year"/>
      <sheetName val="Budget"/>
      <sheetName val="Input"/>
      <sheetName val="Last Year"/>
      <sheetName val="Summary"/>
      <sheetName val="1133041102"/>
      <sheetName val="Scoping"/>
      <sheetName val="人力资源部"/>
      <sheetName val="毛利率分析表"/>
      <sheetName val="进口设备FOB总价表"/>
      <sheetName val="0010"/>
      <sheetName val="OpRev"/>
      <sheetName val="Taxation"/>
      <sheetName val="FinAsmp"/>
      <sheetName val="Price"/>
      <sheetName val="GenAsmp"/>
      <sheetName val="CpEx"/>
      <sheetName val="0112"/>
      <sheetName val="0011"/>
      <sheetName val="#REF"/>
      <sheetName val="det-RM"/>
      <sheetName val="PRIOR DATA"/>
      <sheetName val="AFEMAI"/>
      <sheetName val="BALANCE SHEET"/>
      <sheetName val="MasterList"/>
      <sheetName val="base"/>
      <sheetName val="U40"/>
      <sheetName val="eva"/>
      <sheetName val="GY"/>
      <sheetName val="Sheet2"/>
      <sheetName val="dm"/>
      <sheetName val="UFPrn20090209091738"/>
      <sheetName val="UFPrn20090217100422"/>
      <sheetName val="UFPrn20090217100717"/>
      <sheetName val="source"/>
      <sheetName val="企业表一"/>
      <sheetName val="M-5C"/>
      <sheetName val="M-5A"/>
      <sheetName val="会计科目设置"/>
      <sheetName val="#REF!"/>
      <sheetName val="ZA-730"/>
      <sheetName val="UFPrn20081103134324"/>
      <sheetName val="UFPrn20090217095917"/>
      <sheetName val="固定资产经贸公司数据"/>
      <sheetName val="DJ"/>
      <sheetName val="设定"/>
      <sheetName val="参数"/>
      <sheetName val="清单"/>
      <sheetName val="UFPrn20090209091406"/>
      <sheetName val="检查汇总"/>
      <sheetName val="AP1998KX(estimated)"/>
      <sheetName val="版权方2004年度频道分布总表"/>
      <sheetName val="基本信息"/>
      <sheetName val="应收帐款"/>
      <sheetName val="A430"/>
      <sheetName val="短期投资股票投资.dbf"/>
      <sheetName val="短期投资国债投资.dbf"/>
      <sheetName val="股票投资收益.dbf"/>
      <sheetName val="其他货币海通.dbf"/>
      <sheetName val="其他货币零领路.dbf"/>
      <sheetName val="投资收益债券.dbf"/>
      <sheetName val="QTH发货未结合计"/>
      <sheetName val="应收余额"/>
      <sheetName val="清单12.31"/>
      <sheetName val="UFPrn20090217100451"/>
      <sheetName val="数量金额总账"/>
      <sheetName val="ZO-300"/>
      <sheetName val="应付职工薪酬"/>
      <sheetName val="B"/>
      <sheetName val="10色母料"/>
      <sheetName val="Sheet9"/>
      <sheetName val="UFPrn20081230144300"/>
      <sheetName val="QQ"/>
      <sheetName val="UFPrn20090223104227"/>
      <sheetName val="未展开"/>
      <sheetName val="其他应付款科目余额2005.12.31"/>
      <sheetName val="调整分录集"/>
      <sheetName val="其他应付款"/>
      <sheetName val="PER SALES ORG"/>
      <sheetName val="Sheet3"/>
      <sheetName val="关联交易-存款"/>
      <sheetName val="INVDAYS"/>
      <sheetName val="NBCF"/>
      <sheetName val="盘点检查情况表"/>
      <sheetName val="资产负债表"/>
      <sheetName val="利润表"/>
      <sheetName val="现金流量表"/>
      <sheetName val="XL4Poppy"/>
      <sheetName val=""/>
      <sheetName val="申报表封面"/>
      <sheetName val="tiaojian"/>
      <sheetName val="名称"/>
      <sheetName val="KKKKKKKK"/>
      <sheetName val="Financ. Overview"/>
      <sheetName val="Toolbox"/>
      <sheetName val="收入"/>
      <sheetName val="模板参数"/>
      <sheetName val="_x005f_x0000__x005f_x0000__x005f_x0000__x005f_x0000__x0"/>
      <sheetName val="_x005f_x005f_x005f_x0000__x005f_x005f_x005f_x0000__x005"/>
      <sheetName val="________"/>
      <sheetName val="YS02-02"/>
      <sheetName val="_x005f_x0000__x005f_x0000__x005"/>
      <sheetName val="????????"/>
      <sheetName val="_x0"/>
      <sheetName val="Sales Data"/>
      <sheetName val="Balance Sheets"/>
      <sheetName val="Control Download"/>
      <sheetName val="科目余额表_2016_10"/>
      <sheetName val="科目余额表_2016_11_综合本位币"/>
      <sheetName val="科目余额表2016_8"/>
      <sheetName val="Lead"/>
      <sheetName val="Links"/>
      <sheetName val="Cover"/>
      <sheetName val="Model"/>
      <sheetName val="Collateral"/>
      <sheetName val="CNF"/>
      <sheetName val="JobDetails"/>
      <sheetName val="BJ"/>
      <sheetName val="gz"/>
      <sheetName val="sh"/>
      <sheetName val="Assum"/>
      <sheetName val="㬀&quot;_xffff_䀕䀕⁄⸀㯀&quot;_xffff_䀘䀘͂ř嬓_x0016__合并试算平衡"/>
      <sheetName val="List "/>
      <sheetName val="ProArcInfo"/>
      <sheetName val="CRITERIA1"/>
      <sheetName val="CRITERIA2"/>
      <sheetName val="Timed Plan"/>
      <sheetName val="米支付TB"/>
      <sheetName val="synthgraph COMPS"/>
      <sheetName val="SOHO销售收款"/>
      <sheetName val="商铺销售收款台帐"/>
      <sheetName val="住宅销售收款"/>
      <sheetName val="original"/>
      <sheetName val="2022年预算PPT取数"/>
      <sheetName val="prod.inventory"/>
      <sheetName val="测算表"/>
      <sheetName val="Berechnen"/>
      <sheetName val="Calculation"/>
      <sheetName val="Dropdown list"/>
      <sheetName val="dxnsjtempsheet"/>
      <sheetName val="目录"/>
      <sheetName val="ZD2应收账款明细表"/>
      <sheetName val="披露表(国资)"/>
      <sheetName val="开票明细"/>
      <sheetName val="科目名称及代码"/>
      <sheetName val="审计底稿目录"/>
      <sheetName val="初步业务"/>
      <sheetName val="ZD8-6-1银行账户类别"/>
      <sheetName val="ZD8-6-1-1营业部账户统计及分类"/>
      <sheetName val="合并现金流量表"/>
      <sheetName val="披露表(标准)"/>
      <sheetName val="披露表(上市)"/>
      <sheetName val="_x005f_x005f_x005f_x005f_x005f_x005f_x005f_x0000__x005f"/>
      <sheetName val="ZI存货实质性程序"/>
      <sheetName val="AD-1"/>
      <sheetName val="AD-4"/>
      <sheetName val="AD-2"/>
      <sheetName val="AD-5-1"/>
      <sheetName val="AD-3"/>
      <sheetName val="合并抵销-内部总承包"/>
      <sheetName val="集团内"/>
      <sheetName val="委贷利息"/>
      <sheetName val="_x005f_x005f_x005f_x005f_x005f_x005f_x005f_x005f_x005f_x005f_"/>
      <sheetName val="_x005f_x005f_x005f_x0000__x005f"/>
      <sheetName val="SD销售费用实质性程序"/>
      <sheetName val="XSL"/>
      <sheetName val="FJ其他应付款实质性程序"/>
      <sheetName val="FJ2其他应付款明细表"/>
      <sheetName val="其他项目工作底稿"/>
      <sheetName val="_x005f_x005f_x005f_x005f_"/>
      <sheetName val="财务成本"/>
      <sheetName val="_x005f_x0000__x005f"/>
      <sheetName val="_x005f_x005f_"/>
      <sheetName val="E1020"/>
      <sheetName val="科目表"/>
      <sheetName val="信息"/>
      <sheetName val="销售6.13"/>
      <sheetName val="其他货币资金.dbf"/>
      <sheetName val="银行存款.dbf"/>
      <sheetName val="_x005f_x005f_x005f_x005f_x005f_x005f_x005f_x005f_"/>
      <sheetName val="利润分析"/>
      <sheetName val="资产负债分析"/>
      <sheetName val="G.1R-Shou COP Gf"/>
      <sheetName val="5折旧预测ok"/>
      <sheetName val="Financial Statement"/>
      <sheetName val="表21 净利润调节表"/>
      <sheetName val="XREF"/>
      <sheetName val="开发支出资本化"/>
      <sheetName val="开发支出"/>
      <sheetName val="核算项目余额表"/>
      <sheetName val="应交税金"/>
      <sheetName val="专项应付款2"/>
      <sheetName val="财务费用"/>
      <sheetName val="UFPrn20061113135115"/>
      <sheetName val="银行存款核对表"/>
      <sheetName val="其他应收05"/>
      <sheetName val="基本信息输入"/>
      <sheetName val="Sheet186"/>
      <sheetName val="Ref"/>
      <sheetName val="Partners' Capital"/>
      <sheetName val="Detail Loan Move. &amp; Listing"/>
      <sheetName val="Non-Statistical Sampling"/>
      <sheetName val="利润表（停车权益法核算）-2019"/>
      <sheetName val="Title"/>
      <sheetName val="AR Drop Downs"/>
      <sheetName val="DropDown"/>
      <sheetName val="Exh B-5"/>
      <sheetName val="Exh B-2"/>
      <sheetName val="Exh B-4"/>
      <sheetName val="Exh B-1"/>
      <sheetName val="Exh B-7"/>
      <sheetName val="IS Summary-96"/>
      <sheetName val="Divisional"/>
      <sheetName val="Holland"/>
      <sheetName val="Hungary"/>
      <sheetName val="Malaysia"/>
      <sheetName val="Mexico"/>
      <sheetName val="Precision"/>
      <sheetName val="Suzhou"/>
      <sheetName val="UK"/>
      <sheetName val="USA"/>
      <sheetName val="FY02"/>
      <sheetName val="LOCAL CURR"/>
      <sheetName val="Ass"/>
      <sheetName val="Q-SHEET"/>
      <sheetName val="剥离前"/>
      <sheetName val="Manufacturing"/>
      <sheetName val="Drawdowns"/>
      <sheetName val="TB"/>
      <sheetName val="培训选项"/>
      <sheetName val="Library Procedures"/>
      <sheetName val="安全服务"/>
      <sheetName val="Sales Contribution"/>
      <sheetName val="Recv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填表必读"/>
      <sheetName val="报出－资产负债表"/>
      <sheetName val="报出－利润及利润分配表"/>
      <sheetName val="报出－现金流量表"/>
      <sheetName val="05合并"/>
      <sheetName val="05抵销"/>
      <sheetName val="利润表附表-2005"/>
      <sheetName val="利润表附表2004"/>
      <sheetName val="资定"/>
      <sheetName val="利定"/>
      <sheetName val="现定"/>
      <sheetName val="减定"/>
      <sheetName val="非定"/>
      <sheetName val="科目代码"/>
      <sheetName val="基本信息"/>
      <sheetName val="合并备忘事项"/>
      <sheetName val="05年抵销分录"/>
      <sheetName val="04合并"/>
      <sheetName val="04抵销"/>
      <sheetName val="04年抵销分录"/>
      <sheetName val="03合并"/>
      <sheetName val="03抵销"/>
      <sheetName val="减值表"/>
      <sheetName val="非经常损益"/>
      <sheetName val="担保"/>
      <sheetName val="III-1-10"/>
      <sheetName val="III-1-7"/>
      <sheetName val="III-1-9"/>
      <sheetName val="III-1-6"/>
      <sheetName val="III-1-1"/>
      <sheetName val="III-1-8"/>
      <sheetName val="III-1-2-1"/>
      <sheetName val="III-1-5"/>
      <sheetName val="III-1-4"/>
      <sheetName val="工时统计"/>
      <sheetName val="Cashflow(Scenario)"/>
      <sheetName val="Sheet1"/>
      <sheetName val="Consolidated 03"/>
      <sheetName val="RefData"/>
      <sheetName val="Ref"/>
      <sheetName val="QTLY"/>
      <sheetName val="UNCTD WHITE &amp; CONVRTG"/>
      <sheetName val="G"/>
      <sheetName val="QUARTERLY PULP"/>
      <sheetName val="Collateral"/>
      <sheetName val="Q015a"/>
      <sheetName val="U40"/>
      <sheetName val="Library Procedures"/>
      <sheetName val="Re test depreciation"/>
      <sheetName val="MAP"/>
      <sheetName val="Links"/>
      <sheetName val="DropDown"/>
      <sheetName val="Bank"/>
      <sheetName val="参数表"/>
      <sheetName val="运输收入"/>
      <sheetName val="Info"/>
      <sheetName val="XREF"/>
      <sheetName val="__"/>
      <sheetName val="CNF"/>
      <sheetName val="#REF"/>
      <sheetName val="Parameters"/>
      <sheetName val="Controls Testing Matrix"/>
      <sheetName val="List "/>
      <sheetName val="Data"/>
      <sheetName val="Abbreviation"/>
      <sheetName val="Ass"/>
      <sheetName val="Main"/>
      <sheetName val="Assumptions"/>
      <sheetName val="Scenarios"/>
      <sheetName val="Validation source"/>
      <sheetName val="0112"/>
      <sheetName val="AP"/>
      <sheetName val="Tax adjustment"/>
      <sheetName val="FA-Movement"/>
      <sheetName val="Accrued Expenses"/>
      <sheetName val="06基础BS"/>
      <sheetName val="Sensivity workings"/>
      <sheetName val="Q-SHEET"/>
      <sheetName val="进口设备FOB总价表"/>
      <sheetName val="Currency"/>
      <sheetName val="Non-Statistical Sampling"/>
      <sheetName val="项目投资现金流量表"/>
      <sheetName val="基本参数1.XLS "/>
      <sheetName val="DDETABLE "/>
      <sheetName val="PL"/>
      <sheetName val="Summary"/>
      <sheetName val="Calculation"/>
      <sheetName val="Performance_Assumptions"/>
      <sheetName val="C"/>
      <sheetName val="TBM"/>
      <sheetName val="Tables"/>
      <sheetName val="Package"/>
      <sheetName val="ProArcInfo"/>
      <sheetName val="WACC (LB_Y)"/>
      <sheetName val="盈余公积"/>
      <sheetName val="BKD-启润保理"/>
      <sheetName val="22-公益性捐赠"/>
      <sheetName val="General"/>
      <sheetName val="Non-Statistical Sampling Master"/>
      <sheetName val="Two Step Revenue Testing Master"/>
      <sheetName val="Global Data"/>
      <sheetName val="玛赛软件合同总价表"/>
      <sheetName val="CONTENTS"/>
      <sheetName val="内贸采购合同总价表"/>
      <sheetName val="Input"/>
      <sheetName val="COVER"/>
      <sheetName val="PRIOR DATA"/>
      <sheetName val="Auswertung (2)"/>
      <sheetName val="2022年预算PPT取数"/>
      <sheetName val="Assum"/>
      <sheetName val="（27）实收资本"/>
      <sheetName val="GiaVL"/>
      <sheetName val="Cashbook"/>
      <sheetName val="材料汇总表"/>
      <sheetName val="AKR_BCSUMM0706"/>
      <sheetName val="米支付TB"/>
      <sheetName val="Elect (2)"/>
      <sheetName val="XLR_NoRangeSheet"/>
      <sheetName val="TP (Sch A)"/>
      <sheetName val="AFEMAI"/>
      <sheetName val="Tax"/>
      <sheetName val="Thailand"/>
      <sheetName val="Other Au P"/>
      <sheetName val="AuP"/>
      <sheetName val="CGCSL"/>
      <sheetName val="DC KL"/>
      <sheetName val="N Z"/>
      <sheetName val="Malaysia"/>
      <sheetName val="Philippines"/>
      <sheetName val="Singapore"/>
      <sheetName val="Singapur"/>
      <sheetName val="Taiwan"/>
      <sheetName val="Sri Lanka"/>
      <sheetName val="设备部房屋"/>
      <sheetName val="#RIF"/>
      <sheetName val="graph"/>
      <sheetName val="sbu_list"/>
      <sheetName val="A6"/>
      <sheetName val="Cost Bucket List"/>
      <sheetName val="Mfg_Var List"/>
      <sheetName val="Profit_Loss List"/>
      <sheetName val="DONGIA"/>
      <sheetName val="DON GIA"/>
      <sheetName val="DG"/>
      <sheetName val="TNHCHINH"/>
      <sheetName val="TONGKE3p "/>
      <sheetName val="CHITIET VL-NC"/>
      <sheetName val="chitiet"/>
      <sheetName val="Tiepdia"/>
      <sheetName val="TDTKP"/>
      <sheetName val="VCV-BE-TONG"/>
      <sheetName val="人力资源部"/>
      <sheetName val="Hard Cost Codes"/>
      <sheetName val="Months"/>
      <sheetName val="Production Volume Assumption"/>
      <sheetName val="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说明"/>
      <sheetName val="货币资金（定）"/>
      <sheetName val="银行存款1"/>
      <sheetName val="银行存款2"/>
      <sheetName val="资产减值准备、投资及固定资产情况表(定)"/>
      <sheetName val="国有资产总量及保值增值情况表"/>
      <sheetName val="不良资产、潜亏及挂账"/>
      <sheetName val="短期投资（定）"/>
      <sheetName val="应收票据（定）"/>
      <sheetName val="应收账款（定）"/>
      <sheetName val="坏账准备（定）"/>
      <sheetName val="其他应收款（定）"/>
      <sheetName val="预付账款（定）"/>
      <sheetName val="期货保证金（定）"/>
      <sheetName val="应收补贴款（定）"/>
      <sheetName val="应收出口退税（定）"/>
      <sheetName val="存货及跌价准备(定)"/>
      <sheetName val="待摊费用(定)"/>
      <sheetName val="待处理流动资产净损失(定)"/>
      <sheetName val="其他流动资产(定)"/>
      <sheetName val="长期投资（定）"/>
      <sheetName val="长期股权投资（定）"/>
      <sheetName val="长期债权投资（定）"/>
      <sheetName val="其他长期投资（定） "/>
      <sheetName val="固定资产（定）"/>
      <sheetName val="累计折旧（定）"/>
      <sheetName val="工程物资（定）"/>
      <sheetName val="在建工程（定）"/>
      <sheetName val="无形资产（定）"/>
      <sheetName val="长期待摊费用及递延资产（定）"/>
      <sheetName val="待处理固定资产净损失（定）"/>
      <sheetName val="其他长期资产（定）"/>
      <sheetName val="短期借款（定）"/>
      <sheetName val="应付票据（定）"/>
      <sheetName val="应付账款（定）"/>
      <sheetName val="应付利润或股利"/>
      <sheetName val="预收账款（定）"/>
      <sheetName val="应交税金（定）"/>
      <sheetName val="其他应付款（定）"/>
      <sheetName val="其他应交款（定）"/>
      <sheetName val="预提费用（定）"/>
      <sheetName val="预计负债（定）"/>
      <sheetName val="一年内到期的长期负债（定）"/>
      <sheetName val="其他流动负债（定）"/>
      <sheetName val="长期借款（定）"/>
      <sheetName val="长期应付款(定)"/>
      <sheetName val="专项应付款(定)"/>
      <sheetName val="其他长期负债(定)"/>
      <sheetName val="未分配利润(定)"/>
      <sheetName val="盈余公积（定）"/>
      <sheetName val="主营业务收入及成本、利润（定）"/>
      <sheetName val="主营业务税金及附加(定)"/>
      <sheetName val="其他业务利润(定)"/>
      <sheetName val="财务费用(定)"/>
      <sheetName val="经营费用(定)"/>
      <sheetName val="管理费用(定)"/>
      <sheetName val="补贴收入(定)"/>
      <sheetName val="投资收益(定)"/>
      <sheetName val="营业外收入(定)"/>
      <sheetName val="营业外支出(定)"/>
      <sheetName val="关联方"/>
      <sheetName val="合并范围内部往来"/>
      <sheetName val="合并范围内部销售"/>
      <sheetName val="关联方其他交易"/>
      <sheetName val="或有负债及重要事项"/>
      <sheetName val="资产负债表日后事项"/>
      <sheetName val="非货币性交易"/>
      <sheetName val="债务重组事项"/>
      <sheetName val="担保"/>
      <sheetName val="科目代码"/>
      <sheetName val="Consolidated 03"/>
      <sheetName val="III-1-10"/>
      <sheetName val="III-1-7"/>
      <sheetName val="III-1-9"/>
      <sheetName val="III-1-6"/>
      <sheetName val="III-1-1"/>
      <sheetName val="III-1-8"/>
      <sheetName val="III-1-2-1"/>
      <sheetName val="III-1-5"/>
      <sheetName val="III-1-4"/>
      <sheetName val="（27）实收资本"/>
      <sheetName val="Assumptions"/>
      <sheetName val="Scenarios"/>
      <sheetName val="RefData"/>
      <sheetName val="ar"/>
      <sheetName val="det-RM"/>
      <sheetName val="0011"/>
      <sheetName val="0010"/>
      <sheetName val="0112"/>
      <sheetName val="Cashflow(Scenario)"/>
      <sheetName val="Sheet1"/>
      <sheetName val="Lookup"/>
      <sheetName val="Input"/>
      <sheetName val="Library Procedures"/>
      <sheetName val="Systempage"/>
      <sheetName val="This Year"/>
      <sheetName val="Budget"/>
      <sheetName val="Last Year"/>
      <sheetName val="Summary"/>
      <sheetName val="Akomodasi"/>
      <sheetName val="TBM"/>
      <sheetName val="Non-Statistical Sampling Master"/>
      <sheetName val="Defaults"/>
      <sheetName val="prod"/>
      <sheetName val="Korea"/>
      <sheetName val="Canada"/>
      <sheetName val="盈余公积"/>
      <sheetName val="Non-Statistical Sampling"/>
      <sheetName val="Two Step Revenue Testing Master"/>
      <sheetName val="Ass"/>
      <sheetName val="Global Data"/>
      <sheetName val="Index"/>
      <sheetName val="项目投资现金流量表"/>
      <sheetName val="基本参数1.XLS "/>
      <sheetName val="COVER"/>
      <sheetName val="Harvesting-Total"/>
      <sheetName val="Partners' Capital"/>
      <sheetName val="Master"/>
      <sheetName val="DropDown"/>
      <sheetName val="Lon_AP"/>
      <sheetName val="Namelist"/>
      <sheetName val="0112-含薪"/>
      <sheetName val="Depreciation Re-test old"/>
      <sheetName val="Info"/>
      <sheetName val="Budget 2006"/>
      <sheetName val="A_Fin&amp;Acc Admin"/>
      <sheetName val="Parameters"/>
      <sheetName val="Inventory List"/>
      <sheetName val="工时统计"/>
      <sheetName val="玛赛软件合同总价表"/>
      <sheetName val="内贸采购合同总价表"/>
      <sheetName val="Malaysia"/>
      <sheetName val="Taiwan"/>
      <sheetName val="Department"/>
      <sheetName val="Performance_Assumptions"/>
      <sheetName val="jun94"/>
      <sheetName val="#REF"/>
      <sheetName val="选择报表"/>
      <sheetName val="original"/>
      <sheetName val="LOCAL CURR"/>
      <sheetName val="0112-车队"/>
      <sheetName val="0112-行政部"/>
      <sheetName val="SOHO销售收款"/>
      <sheetName val="商铺销售收款台帐"/>
      <sheetName val="住宅销售收款"/>
      <sheetName val="Überleitung_15"/>
      <sheetName val="Consolidation Adjustments-EJE2"/>
      <sheetName val="XREF"/>
      <sheetName val="Tax"/>
      <sheetName val="Series Calculation"/>
      <sheetName val="Data Entry"/>
      <sheetName val="进口设备FOB总价表"/>
      <sheetName val="CC"/>
      <sheetName val="Premises"/>
      <sheetName val="Sales Contribution"/>
      <sheetName val="CRITERIA1"/>
      <sheetName val="CRITERIA2"/>
      <sheetName val="科目名称表"/>
      <sheetName val="0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目录"/>
      <sheetName val="汇总表"/>
      <sheetName val="基金管理费汇总"/>
      <sheetName val="基金管理费 2020"/>
      <sheetName val="基金管理费 2019"/>
      <sheetName val="铁狮门项目"/>
      <sheetName val="首狮铭智 基金"/>
      <sheetName val="首狮昌泰-股东借款利息  9.6借款"/>
      <sheetName val="首狮昌泰-股东借款利息  4.65借款"/>
      <sheetName val="首狮管理 利息  首狮昌泰-建行"/>
      <sheetName val="首狮昌泰-银行借款利息"/>
      <sheetName val="首狮管理-股东借款利息 "/>
      <sheetName val="首狮昌泰 借款合同"/>
      <sheetName val="纳税申报信息"/>
      <sheetName val="统计报表"/>
      <sheetName val="银行汇总"/>
      <sheetName val="铁狮门项目面积"/>
      <sheetName val="首狮铭智架构"/>
      <sheetName val="首狮铭智2019 费用支付"/>
      <sheetName val="个税申报"/>
      <sheetName val="首狮铭智"/>
      <sheetName val="科目代码"/>
      <sheetName val="Cashflow(Scenario)"/>
      <sheetName val="Anagrafica"/>
      <sheetName val="CONTENTS"/>
      <sheetName val="Mkt"/>
      <sheetName val="2007Q1"/>
      <sheetName val="Index"/>
      <sheetName val="Notes"/>
      <sheetName val="DropDown"/>
      <sheetName val="AFEMAI"/>
      <sheetName val="GRAL_OCT"/>
      <sheetName val="DATES"/>
      <sheetName val="Summary"/>
      <sheetName val="Tax adjustment"/>
      <sheetName val="MAP"/>
      <sheetName val="1.Comparable Companies"/>
      <sheetName val="Two Step Revenue Testing Master"/>
      <sheetName val="Segment"/>
      <sheetName val="Product Summary (2)"/>
      <sheetName val="Volatility"/>
      <sheetName val="Input 6_Invest "/>
      <sheetName val="Input 1_Volume"/>
      <sheetName val="Input 4_Wages"/>
      <sheetName val="Input 5_CKD Type Calculation"/>
      <sheetName val="Input 7_Overhead"/>
      <sheetName val="Input 0_Macro_eco"/>
      <sheetName val="Referenzen"/>
      <sheetName val="MAIN"/>
      <sheetName val="GiaVL"/>
      <sheetName val="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739地块商业租金"/>
      <sheetName val="739地块办公租金"/>
      <sheetName val="商业"/>
      <sheetName val="738商业租金"/>
      <sheetName val="办公"/>
      <sheetName val="738办公租金"/>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5391.64</v>
          </cell>
          <cell r="C14">
            <v>4976.83</v>
          </cell>
          <cell r="D14">
            <v>11017</v>
          </cell>
          <cell r="G14">
            <v>11017</v>
          </cell>
          <cell r="I14">
            <v>8831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成本法 (元)"/>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收益法 (元)"/>
      <sheetName val="739地块商业租金"/>
      <sheetName val="739地块办公租金"/>
      <sheetName val="商业"/>
      <sheetName val="738商业租金"/>
      <sheetName val="办公"/>
      <sheetName val="738办公租金"/>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576.54999999999995</v>
          </cell>
          <cell r="C14">
            <v>478.78</v>
          </cell>
          <cell r="D14">
            <v>1380</v>
          </cell>
          <cell r="G14">
            <v>1380</v>
          </cell>
          <cell r="I14">
            <v>1097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收缴率总表"/>
      <sheetName val="商业-现金流"/>
      <sheetName val="产业-现金流"/>
      <sheetName val="加总"/>
      <sheetName val="Sheet1"/>
      <sheetName val="总行格式"/>
    </sheetNames>
    <sheetDataSet>
      <sheetData sheetId="0" refreshError="1"/>
      <sheetData sheetId="1" refreshError="1"/>
      <sheetData sheetId="2" refreshError="1"/>
      <sheetData sheetId="3" refreshError="1"/>
      <sheetData sheetId="4" refreshError="1"/>
      <sheetData sheetId="5" refreshError="1">
        <row r="1">
          <cell r="B1" t="str">
            <v>租户名称</v>
          </cell>
          <cell r="C1" t="str">
            <v>品牌</v>
          </cell>
          <cell r="D1" t="str">
            <v>抵押物楼层及房号</v>
          </cell>
          <cell r="E1" t="str">
            <v>经营现状（正常/空置/免租期）</v>
          </cell>
          <cell r="F1" t="str">
            <v>建筑面积(㎡)</v>
          </cell>
          <cell r="G1" t="str">
            <v>承租面积(㎡)</v>
          </cell>
          <cell r="H1" t="str">
            <v>交付日</v>
          </cell>
          <cell r="I1" t="str">
            <v>租赁起始日期</v>
          </cell>
          <cell r="J1" t="str">
            <v>租赁到期日期</v>
          </cell>
          <cell r="K1" t="str">
            <v>免租期</v>
          </cell>
          <cell r="L1" t="str">
            <v>租金缴交起始日期</v>
          </cell>
          <cell r="M1" t="str">
            <v>目前租金单价(元/㎡/日)</v>
          </cell>
          <cell r="N1" t="str">
            <v>25年租金总额（元）</v>
          </cell>
          <cell r="O1" t="str">
            <v>租金支付频率</v>
          </cell>
          <cell r="P1" t="str">
            <v>租约增长率约定</v>
          </cell>
          <cell r="Q1" t="str">
            <v>租金支付情况审查或抽查结果</v>
          </cell>
          <cell r="R1" t="str">
            <v>付款方式</v>
          </cell>
          <cell r="S1" t="str">
            <v>物业费（元/㎡/日）</v>
          </cell>
          <cell r="T1" t="str">
            <v>租户与权属人是否存在关联关系</v>
          </cell>
          <cell r="U1" t="str">
            <v>租金审查情况（核查凭证类型、租金覆盖期间等）</v>
          </cell>
        </row>
        <row r="2">
          <cell r="B2" t="str">
            <v>北京首钢基金有限公司/璟鑫达-316.29</v>
          </cell>
          <cell r="C2" t="str">
            <v>-</v>
          </cell>
          <cell r="D2" t="str">
            <v>A1-4-408A/409/410C</v>
          </cell>
          <cell r="E2" t="str">
            <v>正常</v>
          </cell>
          <cell r="G2">
            <v>316.29000000000002</v>
          </cell>
          <cell r="H2">
            <v>45493</v>
          </cell>
          <cell r="I2">
            <v>45493</v>
          </cell>
          <cell r="J2">
            <v>45857</v>
          </cell>
          <cell r="M2" t="str">
            <v>265.23元/㎡/月</v>
          </cell>
          <cell r="N2">
            <v>303085.01</v>
          </cell>
          <cell r="O2" t="str">
            <v>季</v>
          </cell>
          <cell r="P2" t="str">
            <v>根据首钢基金主合同来</v>
          </cell>
          <cell r="R2" t="str">
            <v>电汇</v>
          </cell>
          <cell r="S2" t="str">
            <v>物业公司</v>
          </cell>
          <cell r="T2" t="str">
            <v>是</v>
          </cell>
        </row>
        <row r="3">
          <cell r="B3" t="str">
            <v>北京首钢基金有限公司-316.29</v>
          </cell>
          <cell r="C3" t="str">
            <v>-</v>
          </cell>
          <cell r="D3" t="str">
            <v>A1-4-408A/409/410C</v>
          </cell>
          <cell r="E3" t="str">
            <v>正常</v>
          </cell>
          <cell r="G3">
            <v>316.29000000000002</v>
          </cell>
          <cell r="H3">
            <v>45858</v>
          </cell>
          <cell r="I3">
            <v>45858</v>
          </cell>
          <cell r="J3">
            <v>48263</v>
          </cell>
          <cell r="M3" t="str">
            <v>265.23元/㎡/月</v>
          </cell>
          <cell r="N3">
            <v>700806.94</v>
          </cell>
          <cell r="O3" t="str">
            <v>季</v>
          </cell>
          <cell r="P3" t="str">
            <v>根据首钢基金主合同来</v>
          </cell>
          <cell r="R3" t="str">
            <v>电汇</v>
          </cell>
          <cell r="S3" t="str">
            <v>物业公司</v>
          </cell>
          <cell r="T3" t="str">
            <v>是</v>
          </cell>
        </row>
        <row r="4">
          <cell r="B4" t="str">
            <v>京西商业保理有限公司-158.7</v>
          </cell>
          <cell r="C4" t="str">
            <v>-</v>
          </cell>
          <cell r="D4" t="str">
            <v>A1-4-408C,4-410B</v>
          </cell>
          <cell r="E4" t="str">
            <v>正常</v>
          </cell>
          <cell r="G4">
            <v>158.69999999999999</v>
          </cell>
          <cell r="H4">
            <v>45708</v>
          </cell>
          <cell r="I4">
            <v>45708</v>
          </cell>
          <cell r="J4">
            <v>46072</v>
          </cell>
          <cell r="M4" t="str">
            <v>265.23元/㎡/月</v>
          </cell>
          <cell r="N4">
            <v>505104</v>
          </cell>
          <cell r="O4" t="str">
            <v>季</v>
          </cell>
          <cell r="R4" t="str">
            <v>电汇</v>
          </cell>
          <cell r="S4" t="str">
            <v>物业公司</v>
          </cell>
          <cell r="T4" t="str">
            <v>否</v>
          </cell>
        </row>
        <row r="5">
          <cell r="B5" t="str">
            <v>北京市节能低碳环保产业服务协会-4.76</v>
          </cell>
          <cell r="C5" t="str">
            <v>-</v>
          </cell>
          <cell r="D5" t="str">
            <v>A1-4-408D</v>
          </cell>
          <cell r="E5" t="str">
            <v>正常</v>
          </cell>
          <cell r="G5">
            <v>4.76</v>
          </cell>
          <cell r="H5">
            <v>45708</v>
          </cell>
          <cell r="I5">
            <v>45708</v>
          </cell>
          <cell r="J5">
            <v>48263</v>
          </cell>
          <cell r="M5" t="str">
            <v>265.23元/㎡/月</v>
          </cell>
          <cell r="N5">
            <v>16767.009999999998</v>
          </cell>
          <cell r="O5" t="str">
            <v>季</v>
          </cell>
          <cell r="P5" t="str">
            <v>根据首钢基金主合同来</v>
          </cell>
          <cell r="R5" t="str">
            <v>电汇</v>
          </cell>
          <cell r="S5" t="str">
            <v>物业公司</v>
          </cell>
          <cell r="T5" t="str">
            <v>否</v>
          </cell>
        </row>
        <row r="6">
          <cell r="B6" t="str">
            <v>圣华盾（北京）防护科技有限公司-828.83</v>
          </cell>
          <cell r="C6" t="str">
            <v>-</v>
          </cell>
          <cell r="D6" t="str">
            <v>D1-9-901-908</v>
          </cell>
          <cell r="E6" t="str">
            <v>正常</v>
          </cell>
          <cell r="G6">
            <v>1446.18</v>
          </cell>
          <cell r="H6">
            <v>44620</v>
          </cell>
          <cell r="I6">
            <v>44621</v>
          </cell>
          <cell r="J6">
            <v>47542</v>
          </cell>
          <cell r="M6" t="str">
            <v>152.08元/㎡/月</v>
          </cell>
          <cell r="N6">
            <v>1888128</v>
          </cell>
          <cell r="O6" t="str">
            <v>月</v>
          </cell>
          <cell r="P6" t="str">
            <v>152.08元/㎡/月-2027/2/28之前
184.02元/㎡/月-2027/3/1之后</v>
          </cell>
          <cell r="R6" t="str">
            <v>电汇</v>
          </cell>
          <cell r="S6" t="str">
            <v>物业公司</v>
          </cell>
          <cell r="T6" t="str">
            <v>否</v>
          </cell>
        </row>
        <row r="7">
          <cell r="B7" t="str">
            <v>中国市政工程华北设计研究总院有限公司北京分公司-1146.53</v>
          </cell>
          <cell r="C7" t="str">
            <v>-</v>
          </cell>
          <cell r="D7" t="str">
            <v>A2-2-201-205&amp;207A</v>
          </cell>
          <cell r="E7" t="str">
            <v>正常</v>
          </cell>
          <cell r="G7">
            <v>1597.48</v>
          </cell>
          <cell r="H7">
            <v>44621</v>
          </cell>
          <cell r="I7">
            <v>44682</v>
          </cell>
          <cell r="J7">
            <v>46873</v>
          </cell>
          <cell r="M7" t="str">
            <v>142.35元/㎡/月</v>
          </cell>
          <cell r="N7">
            <v>2501414.08</v>
          </cell>
          <cell r="O7" t="str">
            <v>半年</v>
          </cell>
          <cell r="R7" t="str">
            <v>电汇</v>
          </cell>
          <cell r="S7" t="str">
            <v>物业公司</v>
          </cell>
          <cell r="T7" t="str">
            <v>否</v>
          </cell>
        </row>
        <row r="8">
          <cell r="B8" t="str">
            <v>北京成功领行汽车技术有限责任公司-257.99</v>
          </cell>
          <cell r="C8" t="str">
            <v>-</v>
          </cell>
          <cell r="D8" t="str">
            <v>D1-6-601,6-608A</v>
          </cell>
          <cell r="E8" t="str">
            <v>正常</v>
          </cell>
          <cell r="G8">
            <v>257.99</v>
          </cell>
          <cell r="H8">
            <v>44652</v>
          </cell>
          <cell r="I8">
            <v>44713</v>
          </cell>
          <cell r="J8">
            <v>45808</v>
          </cell>
          <cell r="M8" t="str">
            <v>152.08元/㎡/月</v>
          </cell>
          <cell r="N8">
            <v>117705.36</v>
          </cell>
          <cell r="O8" t="str">
            <v>季</v>
          </cell>
          <cell r="R8" t="str">
            <v>电汇</v>
          </cell>
          <cell r="S8" t="str">
            <v>物业公司</v>
          </cell>
          <cell r="T8" t="str">
            <v>否</v>
          </cell>
        </row>
        <row r="9">
          <cell r="B9" t="str">
            <v>北京长峰科威光电技术有限公司-6619.86</v>
          </cell>
          <cell r="C9" t="str">
            <v>-</v>
          </cell>
          <cell r="D9" t="str">
            <v>A5-1-101/A2-5-501-510,6-601-610</v>
          </cell>
          <cell r="E9" t="str">
            <v>正常</v>
          </cell>
          <cell r="G9">
            <v>6619.86</v>
          </cell>
          <cell r="H9">
            <v>44774</v>
          </cell>
          <cell r="I9">
            <v>44927</v>
          </cell>
          <cell r="J9">
            <v>48579</v>
          </cell>
          <cell r="M9" t="str">
            <v>121.67元/㎡/月</v>
          </cell>
          <cell r="N9">
            <v>9665260.4399999995</v>
          </cell>
          <cell r="O9" t="str">
            <v>季</v>
          </cell>
          <cell r="P9" t="str">
            <v>121.67元/㎡/月-2027/12/31之前
128.97元/㎡/月-2030/12/31之前
136.71元/㎡/月-2032/12/31之前</v>
          </cell>
          <cell r="R9" t="str">
            <v>电汇</v>
          </cell>
          <cell r="S9" t="str">
            <v>25/平米/月</v>
          </cell>
          <cell r="T9" t="str">
            <v>否</v>
          </cell>
        </row>
        <row r="10">
          <cell r="B10" t="str">
            <v>北方自动控制技术研究所(A4)-3485.57</v>
          </cell>
          <cell r="C10" t="str">
            <v>-</v>
          </cell>
          <cell r="D10" t="str">
            <v>A4-1-101,2-201,3-301,4-401</v>
          </cell>
          <cell r="E10" t="str">
            <v>正常</v>
          </cell>
          <cell r="G10">
            <v>3485.57</v>
          </cell>
          <cell r="H10">
            <v>44927</v>
          </cell>
          <cell r="I10">
            <v>44927</v>
          </cell>
          <cell r="J10">
            <v>46752</v>
          </cell>
          <cell r="M10" t="str">
            <v>5.68元/㎡/天</v>
          </cell>
          <cell r="N10">
            <v>6624093.4100000001</v>
          </cell>
          <cell r="O10" t="str">
            <v>年</v>
          </cell>
          <cell r="R10" t="str">
            <v>电汇</v>
          </cell>
          <cell r="S10" t="str">
            <v>物业公司</v>
          </cell>
          <cell r="T10" t="str">
            <v>否</v>
          </cell>
        </row>
        <row r="11">
          <cell r="B11" t="str">
            <v>北京麦克斯韦科技有限公司-4016.29</v>
          </cell>
          <cell r="C11" t="str">
            <v>-</v>
          </cell>
          <cell r="D11" t="str">
            <v>A3-1-101,2-201-203,3-301-303,4-401-403,5-501-503</v>
          </cell>
          <cell r="E11" t="str">
            <v>正常</v>
          </cell>
          <cell r="G11">
            <v>4016.29</v>
          </cell>
          <cell r="H11">
            <v>44835</v>
          </cell>
          <cell r="I11">
            <v>44958</v>
          </cell>
          <cell r="J11">
            <v>48610</v>
          </cell>
          <cell r="M11" t="str">
            <v>121.67元/㎡/月</v>
          </cell>
          <cell r="N11">
            <v>5863944</v>
          </cell>
          <cell r="O11" t="str">
            <v>季</v>
          </cell>
          <cell r="P11" t="str">
            <v>121.67元/㎡/月-2026/1/31之前
125.32元/㎡/月-2029/1/31之前
130.18元/㎡/月-2031/1/31之前
135.35元/㎡/月-2033/1/31之前</v>
          </cell>
          <cell r="R11" t="str">
            <v>电汇</v>
          </cell>
          <cell r="S11" t="str">
            <v>25/平米/月</v>
          </cell>
          <cell r="T11" t="str">
            <v>否</v>
          </cell>
        </row>
        <row r="12">
          <cell r="B12" t="str">
            <v>北京航天拓普科技有限公司-558.97</v>
          </cell>
          <cell r="C12" t="str">
            <v>-</v>
          </cell>
          <cell r="D12" t="str">
            <v>A2-1-101</v>
          </cell>
          <cell r="E12" t="str">
            <v>正常</v>
          </cell>
          <cell r="G12">
            <v>558.97</v>
          </cell>
          <cell r="H12">
            <v>44958</v>
          </cell>
          <cell r="I12">
            <v>44986</v>
          </cell>
          <cell r="J12">
            <v>46812</v>
          </cell>
          <cell r="M12" t="str">
            <v>130.79元/㎡/月</v>
          </cell>
          <cell r="N12">
            <v>877292.28</v>
          </cell>
          <cell r="O12" t="str">
            <v>月</v>
          </cell>
          <cell r="P12" t="str">
            <v>130.79元/㎡/月-2026/2/28之前
139.92元/㎡/月-2028/2/29之前</v>
          </cell>
          <cell r="R12" t="str">
            <v>电汇</v>
          </cell>
          <cell r="S12" t="str">
            <v>物业公司</v>
          </cell>
          <cell r="T12" t="str">
            <v>否</v>
          </cell>
        </row>
        <row r="13">
          <cell r="B13" t="str">
            <v>北京欢物网络科技有限公司 -151.95</v>
          </cell>
          <cell r="C13" t="str">
            <v>-</v>
          </cell>
          <cell r="D13" t="str">
            <v>C4-4-405B/406/407A</v>
          </cell>
          <cell r="E13" t="str">
            <v>正常</v>
          </cell>
          <cell r="G13">
            <v>151.94999999999999</v>
          </cell>
          <cell r="H13">
            <v>44970</v>
          </cell>
          <cell r="I13">
            <v>45017</v>
          </cell>
          <cell r="J13">
            <v>46112</v>
          </cell>
          <cell r="M13" t="str">
            <v>118.02元/㎡/月</v>
          </cell>
          <cell r="N13">
            <v>215197.68</v>
          </cell>
          <cell r="O13" t="str">
            <v>季</v>
          </cell>
          <cell r="R13" t="str">
            <v>电汇</v>
          </cell>
          <cell r="S13" t="str">
            <v>物业公司</v>
          </cell>
          <cell r="T13" t="str">
            <v>否</v>
          </cell>
        </row>
        <row r="14">
          <cell r="B14" t="str">
            <v>德鑫莱集团有限公司-181.47</v>
          </cell>
          <cell r="C14" t="str">
            <v>-</v>
          </cell>
          <cell r="D14" t="str">
            <v>D1-6-602,6-603A</v>
          </cell>
          <cell r="E14" t="str">
            <v>正常</v>
          </cell>
          <cell r="G14">
            <v>181.47</v>
          </cell>
          <cell r="H14">
            <v>44986</v>
          </cell>
          <cell r="I14">
            <v>45017</v>
          </cell>
          <cell r="J14">
            <v>46112</v>
          </cell>
          <cell r="M14" t="str">
            <v>136.88元/㎡/月</v>
          </cell>
          <cell r="N14">
            <v>298075.32</v>
          </cell>
          <cell r="O14" t="str">
            <v>季</v>
          </cell>
          <cell r="R14" t="str">
            <v>电汇</v>
          </cell>
          <cell r="S14" t="str">
            <v>物业公司</v>
          </cell>
          <cell r="T14" t="str">
            <v>否</v>
          </cell>
        </row>
        <row r="15">
          <cell r="B15" t="str">
            <v>精灵汽车销售（南宁）有限公司-489.65</v>
          </cell>
          <cell r="C15" t="str">
            <v>-</v>
          </cell>
          <cell r="D15" t="str">
            <v>D1-4-401/402A/408</v>
          </cell>
          <cell r="E15" t="str">
            <v>正常</v>
          </cell>
          <cell r="G15">
            <v>489.65</v>
          </cell>
          <cell r="H15">
            <v>45017</v>
          </cell>
          <cell r="I15">
            <v>45017</v>
          </cell>
          <cell r="J15">
            <v>46112</v>
          </cell>
          <cell r="M15" t="str">
            <v>172.77元/㎡/月</v>
          </cell>
          <cell r="N15">
            <v>1015161.96</v>
          </cell>
          <cell r="O15" t="str">
            <v>季</v>
          </cell>
          <cell r="R15" t="str">
            <v>电汇</v>
          </cell>
          <cell r="S15" t="str">
            <v>物业公司</v>
          </cell>
          <cell r="T15" t="str">
            <v>否</v>
          </cell>
        </row>
        <row r="16">
          <cell r="B16" t="str">
            <v>首钢控股（香港）有限公司-54.54</v>
          </cell>
          <cell r="C16" t="str">
            <v>-</v>
          </cell>
          <cell r="D16" t="str">
            <v>A1-4-401A</v>
          </cell>
          <cell r="E16" t="str">
            <v>正常</v>
          </cell>
          <cell r="G16">
            <v>54.54</v>
          </cell>
          <cell r="H16">
            <v>45017</v>
          </cell>
          <cell r="I16">
            <v>45017</v>
          </cell>
          <cell r="J16">
            <v>48263</v>
          </cell>
          <cell r="M16" t="str">
            <v>265.23元/㎡/月</v>
          </cell>
          <cell r="N16">
            <v>174161.41</v>
          </cell>
          <cell r="O16" t="str">
            <v>季</v>
          </cell>
          <cell r="P16" t="str">
            <v>根据首钢基金主合同来</v>
          </cell>
          <cell r="R16" t="str">
            <v>电汇</v>
          </cell>
          <cell r="S16" t="str">
            <v>物业公司</v>
          </cell>
          <cell r="T16" t="str">
            <v>是</v>
          </cell>
        </row>
        <row r="17">
          <cell r="B17" t="str">
            <v>栋梁国际照明设计（北京）中心有限公司-471.4</v>
          </cell>
          <cell r="C17" t="str">
            <v>-</v>
          </cell>
          <cell r="D17" t="str">
            <v>C4-4-408-410</v>
          </cell>
          <cell r="E17" t="str">
            <v>正常</v>
          </cell>
          <cell r="G17">
            <v>471.4</v>
          </cell>
          <cell r="H17">
            <v>45001</v>
          </cell>
          <cell r="I17">
            <v>45032</v>
          </cell>
          <cell r="J17">
            <v>46858</v>
          </cell>
          <cell r="M17" t="str">
            <v>105.85元/㎡/月</v>
          </cell>
          <cell r="N17">
            <v>548874.59</v>
          </cell>
          <cell r="O17" t="str">
            <v>季</v>
          </cell>
          <cell r="P17" t="str">
            <v>105.85元/㎡/月-2026/1/15之前
111.93元/㎡/月-2028/4/15之前</v>
          </cell>
          <cell r="R17" t="str">
            <v>电汇</v>
          </cell>
          <cell r="S17" t="str">
            <v>物业公司</v>
          </cell>
          <cell r="T17" t="str">
            <v>否</v>
          </cell>
        </row>
        <row r="18">
          <cell r="B18" t="str">
            <v>中外建工程设计与顾问有限公司-218.78</v>
          </cell>
          <cell r="C18" t="str">
            <v>-</v>
          </cell>
          <cell r="D18" t="str">
            <v>C4-4-407B</v>
          </cell>
          <cell r="E18" t="str">
            <v>正常</v>
          </cell>
          <cell r="G18">
            <v>218.78</v>
          </cell>
          <cell r="H18">
            <v>45001</v>
          </cell>
          <cell r="I18">
            <v>45032</v>
          </cell>
          <cell r="J18">
            <v>46858</v>
          </cell>
          <cell r="M18" t="str">
            <v>105.85元/㎡/月</v>
          </cell>
          <cell r="N18">
            <v>254736.46</v>
          </cell>
          <cell r="O18" t="str">
            <v>季</v>
          </cell>
          <cell r="P18" t="str">
            <v>105.85元/㎡/月-2026/1/15之前
111.93元/㎡/月-2028/4/15之前</v>
          </cell>
          <cell r="R18" t="str">
            <v>电汇</v>
          </cell>
          <cell r="S18" t="str">
            <v>物业公司</v>
          </cell>
          <cell r="T18" t="str">
            <v>否</v>
          </cell>
        </row>
        <row r="19">
          <cell r="B19" t="str">
            <v>北京市海格装饰设计工程有限公司-207.53</v>
          </cell>
          <cell r="C19" t="str">
            <v>-</v>
          </cell>
          <cell r="D19" t="str">
            <v>C4-4-401</v>
          </cell>
          <cell r="E19" t="str">
            <v>正常</v>
          </cell>
          <cell r="G19">
            <v>207.53</v>
          </cell>
          <cell r="H19">
            <v>44986</v>
          </cell>
          <cell r="I19">
            <v>45047</v>
          </cell>
          <cell r="J19">
            <v>46142</v>
          </cell>
          <cell r="M19" t="str">
            <v>121.67元/㎡/月</v>
          </cell>
          <cell r="N19">
            <v>303002.15999999997</v>
          </cell>
          <cell r="O19" t="str">
            <v>季</v>
          </cell>
          <cell r="R19" t="str">
            <v>电汇</v>
          </cell>
          <cell r="S19" t="str">
            <v>物业公司</v>
          </cell>
          <cell r="T19" t="str">
            <v>否</v>
          </cell>
        </row>
        <row r="20">
          <cell r="B20" t="str">
            <v>中化学（北京）建设投资有限公司-8509.76</v>
          </cell>
          <cell r="C20" t="str">
            <v>-</v>
          </cell>
          <cell r="D20" t="str">
            <v>B5/B6-1-101B1,1-101C1,1-101D,2-201-205,2-206,2-207,2-208A,3-305-308A,4-401-408,5-501-508,6-601-608,1-101A,2-201</v>
          </cell>
          <cell r="E20" t="str">
            <v>正常</v>
          </cell>
          <cell r="G20">
            <v>8509.7579999999998</v>
          </cell>
          <cell r="H20">
            <v>44986</v>
          </cell>
          <cell r="I20">
            <v>45078</v>
          </cell>
          <cell r="J20">
            <v>46173</v>
          </cell>
          <cell r="M20" t="str">
            <v>121.67元/㎡/月</v>
          </cell>
          <cell r="N20">
            <v>12424587.070320001</v>
          </cell>
          <cell r="O20" t="str">
            <v>月</v>
          </cell>
          <cell r="R20" t="str">
            <v>电汇</v>
          </cell>
          <cell r="S20" t="str">
            <v>物业公司</v>
          </cell>
          <cell r="T20" t="str">
            <v>否</v>
          </cell>
        </row>
        <row r="21">
          <cell r="B21" t="str">
            <v>中化学建设投资集团北京科贸有限公司-1050.97</v>
          </cell>
          <cell r="C21" t="str">
            <v>-</v>
          </cell>
          <cell r="D21" t="str">
            <v>B5/B6-1-101C2,2-208B,3-301-304,1-101B</v>
          </cell>
          <cell r="E21" t="str">
            <v>正常</v>
          </cell>
          <cell r="G21">
            <v>1050.971</v>
          </cell>
          <cell r="H21">
            <v>44986</v>
          </cell>
          <cell r="I21">
            <v>45078</v>
          </cell>
          <cell r="J21">
            <v>46173</v>
          </cell>
          <cell r="M21" t="str">
            <v>121.67元/㎡/月</v>
          </cell>
          <cell r="N21">
            <v>1534459.69884</v>
          </cell>
          <cell r="O21" t="str">
            <v>月</v>
          </cell>
          <cell r="R21" t="str">
            <v>电汇</v>
          </cell>
          <cell r="S21" t="str">
            <v>物业公司</v>
          </cell>
          <cell r="T21" t="str">
            <v>否</v>
          </cell>
        </row>
        <row r="22">
          <cell r="B22" t="str">
            <v>中化学冷链物流有限公司-112.35</v>
          </cell>
          <cell r="C22" t="str">
            <v>-</v>
          </cell>
          <cell r="D22" t="str">
            <v>B5/B6-1-101C3,2-208C,3-308B,1-101C</v>
          </cell>
          <cell r="E22" t="str">
            <v>正常</v>
          </cell>
          <cell r="G22">
            <v>112.351</v>
          </cell>
          <cell r="H22">
            <v>44986</v>
          </cell>
          <cell r="I22">
            <v>45078</v>
          </cell>
          <cell r="J22">
            <v>46173</v>
          </cell>
          <cell r="M22" t="str">
            <v>121.67元/㎡/月</v>
          </cell>
          <cell r="N22">
            <v>164036.95404000001</v>
          </cell>
          <cell r="O22" t="str">
            <v>月</v>
          </cell>
          <cell r="R22" t="str">
            <v>电汇</v>
          </cell>
          <cell r="S22" t="str">
            <v>物业公司</v>
          </cell>
          <cell r="T22" t="str">
            <v>否</v>
          </cell>
        </row>
        <row r="23">
          <cell r="B23" t="str">
            <v>北京达尔文细胞生物科技有限公司-6520</v>
          </cell>
          <cell r="C23" t="str">
            <v>-</v>
          </cell>
          <cell r="D23" t="str">
            <v>B1-1-101-104,2-201-209,3-301-310,4-401-408</v>
          </cell>
          <cell r="E23" t="str">
            <v>正常</v>
          </cell>
          <cell r="G23">
            <v>6520</v>
          </cell>
          <cell r="H23">
            <v>45097</v>
          </cell>
          <cell r="I23">
            <v>45311</v>
          </cell>
          <cell r="J23">
            <v>47907</v>
          </cell>
          <cell r="M23" t="str">
            <v>130.79元/㎡/月</v>
          </cell>
          <cell r="N23">
            <v>10173547.199999999</v>
          </cell>
          <cell r="O23" t="str">
            <v>月</v>
          </cell>
          <cell r="P23" t="str">
            <v>121.67元/㎡/月-2025/2/28之前
130.79元/㎡/月-2026/2/28之前
132.31元/㎡/月-2028/2/29之前
136.27元/㎡/月-2029/2/28之前
140.22元/㎡/月-2030/2/28之前
144.48元/㎡/月-2031/2/28之前</v>
          </cell>
          <cell r="R23" t="str">
            <v>电汇</v>
          </cell>
          <cell r="S23" t="str">
            <v>物业公司</v>
          </cell>
          <cell r="T23" t="str">
            <v>否</v>
          </cell>
        </row>
        <row r="24">
          <cell r="B24" t="str">
            <v>北京文宝斋文化传播有限公司-134.41</v>
          </cell>
          <cell r="C24" t="str">
            <v>-</v>
          </cell>
          <cell r="D24" t="str">
            <v>C4-4-411</v>
          </cell>
          <cell r="E24" t="str">
            <v>正常</v>
          </cell>
          <cell r="G24">
            <v>134.41</v>
          </cell>
          <cell r="H24">
            <v>45078</v>
          </cell>
          <cell r="I24">
            <v>45108</v>
          </cell>
          <cell r="J24">
            <v>46203</v>
          </cell>
          <cell r="M24" t="str">
            <v>115.58元/㎡/月</v>
          </cell>
          <cell r="N24">
            <v>186421.32</v>
          </cell>
          <cell r="O24" t="str">
            <v>季</v>
          </cell>
          <cell r="R24" t="str">
            <v>电汇</v>
          </cell>
          <cell r="S24" t="str">
            <v>物业公司</v>
          </cell>
          <cell r="T24" t="str">
            <v>否</v>
          </cell>
        </row>
        <row r="25">
          <cell r="B25" t="str">
            <v>北京易谷联体科技有限公司-114.7</v>
          </cell>
          <cell r="C25" t="str">
            <v>-</v>
          </cell>
          <cell r="D25" t="str">
            <v>C4-4-402</v>
          </cell>
          <cell r="E25" t="str">
            <v>正常</v>
          </cell>
          <cell r="G25">
            <v>114.7</v>
          </cell>
          <cell r="H25">
            <v>45108</v>
          </cell>
          <cell r="I25">
            <v>45123</v>
          </cell>
          <cell r="J25">
            <v>46218</v>
          </cell>
          <cell r="M25" t="str">
            <v>114.98元/㎡/月</v>
          </cell>
          <cell r="N25">
            <v>158258.51999999999</v>
          </cell>
          <cell r="O25" t="str">
            <v>季</v>
          </cell>
          <cell r="R25" t="str">
            <v>电汇</v>
          </cell>
          <cell r="S25" t="str">
            <v>物业公司</v>
          </cell>
          <cell r="T25" t="str">
            <v>否</v>
          </cell>
        </row>
        <row r="26">
          <cell r="B26" t="str">
            <v>北京华铁瑞通技术有限公司-238.95</v>
          </cell>
          <cell r="C26" t="str">
            <v>-</v>
          </cell>
          <cell r="D26" t="str">
            <v>C4-4-403</v>
          </cell>
          <cell r="E26" t="str">
            <v>正常</v>
          </cell>
          <cell r="G26">
            <v>238.95</v>
          </cell>
          <cell r="H26">
            <v>45108</v>
          </cell>
          <cell r="I26">
            <v>45123</v>
          </cell>
          <cell r="J26">
            <v>46218</v>
          </cell>
          <cell r="M26" t="str">
            <v>114.98元/㎡/月</v>
          </cell>
          <cell r="N26">
            <v>329693.64</v>
          </cell>
          <cell r="O26" t="str">
            <v>季</v>
          </cell>
          <cell r="R26" t="str">
            <v>电汇</v>
          </cell>
          <cell r="S26" t="str">
            <v>物业公司</v>
          </cell>
          <cell r="T26" t="str">
            <v>否</v>
          </cell>
        </row>
        <row r="27">
          <cell r="B27" t="str">
            <v>北京众艾信息技术有限公司-134.41</v>
          </cell>
          <cell r="C27" t="str">
            <v>-</v>
          </cell>
          <cell r="D27" t="str">
            <v>C4-4-404</v>
          </cell>
          <cell r="E27" t="str">
            <v>正常</v>
          </cell>
          <cell r="G27">
            <v>134.41</v>
          </cell>
          <cell r="H27">
            <v>45108</v>
          </cell>
          <cell r="I27">
            <v>45123</v>
          </cell>
          <cell r="J27">
            <v>46218</v>
          </cell>
          <cell r="M27" t="str">
            <v>114.98元/㎡/月</v>
          </cell>
          <cell r="N27">
            <v>185453.52</v>
          </cell>
          <cell r="O27" t="str">
            <v>季</v>
          </cell>
          <cell r="R27" t="str">
            <v>电汇</v>
          </cell>
          <cell r="S27" t="str">
            <v>物业公司</v>
          </cell>
          <cell r="T27" t="str">
            <v>否</v>
          </cell>
        </row>
        <row r="28">
          <cell r="B28" t="str">
            <v>易谷网络科技股份有限公司-125.35</v>
          </cell>
          <cell r="C28" t="str">
            <v>-</v>
          </cell>
          <cell r="D28" t="str">
            <v>C4-4-405A,4-405A-ADD</v>
          </cell>
          <cell r="E28" t="str">
            <v>正常</v>
          </cell>
          <cell r="G28">
            <v>125.35</v>
          </cell>
          <cell r="H28">
            <v>45108</v>
          </cell>
          <cell r="I28">
            <v>45123</v>
          </cell>
          <cell r="J28">
            <v>46218</v>
          </cell>
          <cell r="M28" t="str">
            <v>114.98元/㎡/月</v>
          </cell>
          <cell r="N28">
            <v>172952.88</v>
          </cell>
          <cell r="O28" t="str">
            <v>季</v>
          </cell>
          <cell r="R28" t="str">
            <v>电汇</v>
          </cell>
          <cell r="S28" t="str">
            <v>物业公司</v>
          </cell>
          <cell r="T28" t="str">
            <v>否</v>
          </cell>
        </row>
        <row r="29">
          <cell r="B29" t="str">
            <v>北京雪格传媒科技有限公司-1469.23</v>
          </cell>
          <cell r="C29" t="str">
            <v>-</v>
          </cell>
          <cell r="D29" t="str">
            <v>C4-2-201-204&amp;206B-20,2-205,2-206A</v>
          </cell>
          <cell r="E29" t="str">
            <v>正常</v>
          </cell>
          <cell r="G29">
            <v>1469.23</v>
          </cell>
          <cell r="H29">
            <v>44986</v>
          </cell>
          <cell r="I29">
            <v>45139</v>
          </cell>
          <cell r="J29">
            <v>46142</v>
          </cell>
          <cell r="M29" t="str">
            <v>129.27元/㎡/月</v>
          </cell>
          <cell r="N29">
            <v>2279128.3199999998</v>
          </cell>
          <cell r="O29" t="str">
            <v>月</v>
          </cell>
          <cell r="R29" t="str">
            <v>电汇</v>
          </cell>
          <cell r="S29" t="str">
            <v>物业公司</v>
          </cell>
          <cell r="T29" t="str">
            <v>否</v>
          </cell>
        </row>
        <row r="30">
          <cell r="B30" t="str">
            <v>北京方州科技有限公司-3863.76</v>
          </cell>
          <cell r="C30" t="str">
            <v>-</v>
          </cell>
          <cell r="D30" t="str">
            <v>C4-5-501-512,6-601-612</v>
          </cell>
          <cell r="E30" t="str">
            <v>正常</v>
          </cell>
          <cell r="G30">
            <v>3863.76</v>
          </cell>
          <cell r="H30">
            <v>45086</v>
          </cell>
          <cell r="I30">
            <v>45139</v>
          </cell>
          <cell r="J30">
            <v>46965</v>
          </cell>
          <cell r="M30" t="str">
            <v>121.67元/㎡/月</v>
          </cell>
          <cell r="N30">
            <v>5782194.1200000001</v>
          </cell>
          <cell r="O30" t="str">
            <v>季</v>
          </cell>
          <cell r="P30" t="str">
            <v>121.67元/㎡/月-2025/7/31之前
127.75元/㎡/月-2026/7/31之前
144.48元/㎡/月-2027/7/31之前
157.56元/㎡/月-2028/7/31之前</v>
          </cell>
          <cell r="R30" t="str">
            <v>电汇</v>
          </cell>
          <cell r="S30" t="str">
            <v>25/平米/月</v>
          </cell>
          <cell r="T30" t="str">
            <v>否</v>
          </cell>
        </row>
        <row r="31">
          <cell r="B31" t="str">
            <v>北京市石景山区人民政府古城街道办事处-134.41</v>
          </cell>
          <cell r="C31" t="str">
            <v>-</v>
          </cell>
          <cell r="D31" t="str">
            <v>C4-4-412</v>
          </cell>
          <cell r="E31" t="str">
            <v>正常</v>
          </cell>
          <cell r="G31">
            <v>134.41</v>
          </cell>
          <cell r="H31">
            <v>45170</v>
          </cell>
          <cell r="I31">
            <v>45170</v>
          </cell>
          <cell r="J31">
            <v>46265</v>
          </cell>
          <cell r="M31" t="str">
            <v>121.78元/㎡/月</v>
          </cell>
          <cell r="N31">
            <v>196421.4</v>
          </cell>
          <cell r="O31" t="str">
            <v>年</v>
          </cell>
          <cell r="R31" t="str">
            <v>电汇</v>
          </cell>
          <cell r="S31" t="str">
            <v>物业公司</v>
          </cell>
          <cell r="T31" t="str">
            <v>否</v>
          </cell>
        </row>
        <row r="32">
          <cell r="B32" t="str">
            <v>北方自动控制技术研究所（A5配楼）-2254.31</v>
          </cell>
          <cell r="C32" t="str">
            <v>-</v>
          </cell>
          <cell r="D32" t="str">
            <v>A5-1-102-106A,2-201,2-202,2-203,2-204,2-205,2-206,2-207,2-208,3-301,3-302,3-303,3-304,3-305,3-306,4-401,4-402,4-403</v>
          </cell>
          <cell r="E32" t="str">
            <v>正常</v>
          </cell>
          <cell r="G32">
            <v>2254.31</v>
          </cell>
          <cell r="H32">
            <v>45175</v>
          </cell>
          <cell r="I32">
            <v>45175</v>
          </cell>
          <cell r="J32">
            <v>47001</v>
          </cell>
          <cell r="M32" t="str">
            <v>7.6元/㎡/天</v>
          </cell>
          <cell r="N32">
            <v>6253455.9400000004</v>
          </cell>
          <cell r="O32" t="str">
            <v>年</v>
          </cell>
          <cell r="R32" t="str">
            <v>电汇</v>
          </cell>
          <cell r="S32" t="str">
            <v>物业公司</v>
          </cell>
          <cell r="T32" t="str">
            <v>否</v>
          </cell>
        </row>
        <row r="33">
          <cell r="B33" t="str">
            <v>北京元客方舟科技有限公司-1322.15</v>
          </cell>
          <cell r="C33" t="str">
            <v>-</v>
          </cell>
          <cell r="D33" t="str">
            <v>F2-3-301-310</v>
          </cell>
          <cell r="E33" t="str">
            <v>正常</v>
          </cell>
          <cell r="G33">
            <v>1322.15</v>
          </cell>
          <cell r="H33">
            <v>45658</v>
          </cell>
          <cell r="I33">
            <v>45658</v>
          </cell>
          <cell r="J33">
            <v>47026</v>
          </cell>
          <cell r="M33" t="str">
            <v>121.67元/㎡/月</v>
          </cell>
          <cell r="N33">
            <v>2271400.84</v>
          </cell>
          <cell r="O33" t="str">
            <v>季</v>
          </cell>
          <cell r="P33" t="str">
            <v>121.67元/㎡/月-2025/9/30之前
124.1元/㎡/月-2026/9/30之前
129.27元/㎡/月-2028/9/30之前</v>
          </cell>
          <cell r="R33" t="str">
            <v>电汇</v>
          </cell>
          <cell r="S33" t="str">
            <v>物业公司</v>
          </cell>
          <cell r="T33" t="str">
            <v>否</v>
          </cell>
        </row>
        <row r="34">
          <cell r="B34" t="str">
            <v>北京数喆数据科技有限公司-620.75</v>
          </cell>
          <cell r="C34" t="str">
            <v>-</v>
          </cell>
          <cell r="D34" t="str">
            <v>F2-4-407,4-408,4-409,4-410</v>
          </cell>
          <cell r="E34" t="str">
            <v>正常</v>
          </cell>
          <cell r="G34">
            <v>620.75</v>
          </cell>
          <cell r="H34">
            <v>45139</v>
          </cell>
          <cell r="I34">
            <v>45200</v>
          </cell>
          <cell r="J34">
            <v>46295</v>
          </cell>
          <cell r="M34" t="str">
            <v>136.88元/㎡/月</v>
          </cell>
          <cell r="N34">
            <v>1057360.72</v>
          </cell>
          <cell r="O34" t="str">
            <v>月</v>
          </cell>
          <cell r="P34" t="str">
            <v>136.88元/㎡/月-2025/9/30之前
152.08元/㎡/月-2026/9/30之前</v>
          </cell>
          <cell r="R34" t="str">
            <v>电汇</v>
          </cell>
          <cell r="S34" t="str">
            <v>25/平米/月</v>
          </cell>
          <cell r="T34" t="str">
            <v>否</v>
          </cell>
        </row>
        <row r="35">
          <cell r="B35" t="str">
            <v>提赛环科仪器贸易（北京）有限公司-340.63</v>
          </cell>
          <cell r="C35" t="str">
            <v>-</v>
          </cell>
          <cell r="D35" t="str">
            <v>D1-5-504,5-505A</v>
          </cell>
          <cell r="E35" t="str">
            <v>正常</v>
          </cell>
          <cell r="G35">
            <v>340.63</v>
          </cell>
          <cell r="H35">
            <v>45153</v>
          </cell>
          <cell r="I35">
            <v>45214</v>
          </cell>
          <cell r="J35">
            <v>46309</v>
          </cell>
          <cell r="M35" t="str">
            <v>130.79元/㎡/月</v>
          </cell>
          <cell r="N35">
            <v>534612</v>
          </cell>
          <cell r="O35" t="str">
            <v>季</v>
          </cell>
          <cell r="R35" t="str">
            <v>电汇</v>
          </cell>
          <cell r="S35" t="str">
            <v>物业公司</v>
          </cell>
          <cell r="T35" t="str">
            <v>否</v>
          </cell>
        </row>
        <row r="36">
          <cell r="B36" t="str">
            <v>首颐医疗健康投资管理有限公司-234.01</v>
          </cell>
          <cell r="C36" t="str">
            <v>-</v>
          </cell>
          <cell r="D36" t="str">
            <v>A1-4-405B</v>
          </cell>
          <cell r="E36" t="str">
            <v>正常</v>
          </cell>
          <cell r="G36">
            <v>234.01</v>
          </cell>
          <cell r="H36">
            <v>45311</v>
          </cell>
          <cell r="I36">
            <v>45311</v>
          </cell>
          <cell r="J36">
            <v>45949</v>
          </cell>
          <cell r="M36" t="str">
            <v>265.23元/㎡/月</v>
          </cell>
          <cell r="N36">
            <v>410439.56</v>
          </cell>
          <cell r="O36" t="str">
            <v>季</v>
          </cell>
          <cell r="R36" t="str">
            <v>电汇</v>
          </cell>
          <cell r="S36" t="str">
            <v>物业公司</v>
          </cell>
          <cell r="T36" t="str">
            <v>否</v>
          </cell>
        </row>
        <row r="37">
          <cell r="B37" t="str">
            <v>北京首颐德常医疗科技有限公司-561.81</v>
          </cell>
          <cell r="C37" t="str">
            <v>-</v>
          </cell>
          <cell r="D37" t="str">
            <v>A1-4-401B,4-401C-405A</v>
          </cell>
          <cell r="E37" t="str">
            <v>正常</v>
          </cell>
          <cell r="G37">
            <v>561.80999999999995</v>
          </cell>
          <cell r="H37">
            <v>45311</v>
          </cell>
          <cell r="I37">
            <v>45311</v>
          </cell>
          <cell r="J37">
            <v>45949</v>
          </cell>
          <cell r="M37" t="str">
            <v>265.23元/㎡/月</v>
          </cell>
          <cell r="N37">
            <v>985381.24</v>
          </cell>
          <cell r="O37" t="str">
            <v>季</v>
          </cell>
          <cell r="R37" t="str">
            <v>电汇</v>
          </cell>
          <cell r="S37" t="str">
            <v>物业公司</v>
          </cell>
          <cell r="T37" t="str">
            <v>否</v>
          </cell>
        </row>
        <row r="38">
          <cell r="B38" t="str">
            <v>北京理工亘舒科技有限公司-1663.71</v>
          </cell>
          <cell r="C38" t="str">
            <v>-</v>
          </cell>
          <cell r="D38" t="str">
            <v>C4-3-306</v>
          </cell>
          <cell r="E38" t="str">
            <v>正常</v>
          </cell>
          <cell r="G38">
            <v>1663.71</v>
          </cell>
          <cell r="H38">
            <v>45127</v>
          </cell>
          <cell r="I38">
            <v>45219.0000020718</v>
          </cell>
          <cell r="J38">
            <v>47045.000007245399</v>
          </cell>
          <cell r="M38" t="str">
            <v>106.46元/㎡/月</v>
          </cell>
          <cell r="N38">
            <v>2216460.96</v>
          </cell>
          <cell r="O38" t="str">
            <v>季</v>
          </cell>
          <cell r="P38" t="str">
            <v>106.46元/㎡/月-2025/10/19之前
115.58元/㎡/月-2027/10/19之前
121.67元/㎡/月-2028/10/19之前</v>
          </cell>
          <cell r="R38" t="str">
            <v>电汇</v>
          </cell>
          <cell r="S38" t="str">
            <v>物业公司</v>
          </cell>
          <cell r="T38" t="str">
            <v>否</v>
          </cell>
        </row>
        <row r="39">
          <cell r="B39" t="str">
            <v>北京亘芯科技有限公司-134.45</v>
          </cell>
          <cell r="C39" t="str">
            <v>-</v>
          </cell>
          <cell r="D39" t="str">
            <v>C4-3-305</v>
          </cell>
          <cell r="E39" t="str">
            <v>正常</v>
          </cell>
          <cell r="G39">
            <v>134.44999999999999</v>
          </cell>
          <cell r="H39">
            <v>45127</v>
          </cell>
          <cell r="I39">
            <v>45219</v>
          </cell>
          <cell r="J39">
            <v>47045</v>
          </cell>
          <cell r="M39" t="str">
            <v>106.46元/㎡/月</v>
          </cell>
          <cell r="N39">
            <v>179119.68</v>
          </cell>
          <cell r="O39" t="str">
            <v>季</v>
          </cell>
          <cell r="P39" t="str">
            <v>106.46元/㎡/月-2025/10/19之前
115.58元/㎡/月-2027/10/19之前
121.67元/㎡/月-2028/10/19之前</v>
          </cell>
          <cell r="R39" t="str">
            <v>电汇</v>
          </cell>
          <cell r="S39" t="str">
            <v>物业公司</v>
          </cell>
          <cell r="T39" t="str">
            <v>否</v>
          </cell>
        </row>
        <row r="40">
          <cell r="B40" t="str">
            <v>北京理工亘天科技有限公司-133.72</v>
          </cell>
          <cell r="C40" t="str">
            <v>-</v>
          </cell>
          <cell r="D40" t="str">
            <v>C4-3-306</v>
          </cell>
          <cell r="E40" t="str">
            <v>正常</v>
          </cell>
          <cell r="G40">
            <v>133.72</v>
          </cell>
          <cell r="H40">
            <v>45127</v>
          </cell>
          <cell r="I40">
            <v>45219</v>
          </cell>
          <cell r="J40">
            <v>47045</v>
          </cell>
          <cell r="M40" t="str">
            <v>106.46元/㎡/月</v>
          </cell>
          <cell r="N40">
            <v>178147.14</v>
          </cell>
          <cell r="O40" t="str">
            <v>季</v>
          </cell>
          <cell r="P40" t="str">
            <v>106.46元/㎡/月-2025/10/19之前
115.58元/㎡/月-2027/10/19之前
121.67元/㎡/月-2028/10/19之前</v>
          </cell>
          <cell r="R40" t="str">
            <v>电汇</v>
          </cell>
          <cell r="S40" t="str">
            <v>物业公司</v>
          </cell>
          <cell r="T40" t="str">
            <v>否</v>
          </cell>
        </row>
        <row r="41">
          <cell r="B41" t="str">
            <v>河南德兆供应链管理有限公司-940.97</v>
          </cell>
          <cell r="C41" t="str">
            <v>-</v>
          </cell>
          <cell r="D41" t="str">
            <v>F2-1-102,1-103</v>
          </cell>
          <cell r="E41" t="str">
            <v>正常</v>
          </cell>
          <cell r="G41">
            <v>940.97</v>
          </cell>
          <cell r="H41">
            <v>45231</v>
          </cell>
          <cell r="I41">
            <v>45231</v>
          </cell>
          <cell r="J41">
            <v>47057</v>
          </cell>
          <cell r="M41" t="str">
            <v>142.35元/㎡/月</v>
          </cell>
          <cell r="N41">
            <v>1607364.96</v>
          </cell>
          <cell r="O41" t="str">
            <v>季</v>
          </cell>
          <cell r="P41" t="str">
            <v>142.35元/㎡/月-2026/10/31之前
157.56元/㎡/月-2028/10/31之前</v>
          </cell>
          <cell r="R41" t="str">
            <v>电汇</v>
          </cell>
          <cell r="S41" t="str">
            <v>物业公司</v>
          </cell>
          <cell r="T41" t="str">
            <v>否</v>
          </cell>
        </row>
        <row r="42">
          <cell r="B42" t="str">
            <v>北京保景和筑置业有限公司-1838.25</v>
          </cell>
          <cell r="C42" t="str">
            <v>-</v>
          </cell>
          <cell r="D42" t="str">
            <v>F3-1-101,1-102,2-201,2-202,3-301,3-302</v>
          </cell>
          <cell r="E42" t="str">
            <v>正常</v>
          </cell>
          <cell r="G42">
            <v>1838.25</v>
          </cell>
          <cell r="H42">
            <v>45231</v>
          </cell>
          <cell r="I42">
            <v>45231</v>
          </cell>
          <cell r="J42">
            <v>45961</v>
          </cell>
          <cell r="M42" t="str">
            <v>200.82元/㎡/月</v>
          </cell>
          <cell r="O42" t="str">
            <v>年</v>
          </cell>
          <cell r="R42" t="str">
            <v>电汇</v>
          </cell>
          <cell r="S42" t="str">
            <v>物业公司</v>
          </cell>
          <cell r="T42" t="str">
            <v>否</v>
          </cell>
        </row>
        <row r="43">
          <cell r="B43" t="str">
            <v>航天开元科技有限公司-2912.66</v>
          </cell>
          <cell r="C43" t="str">
            <v>-</v>
          </cell>
          <cell r="D43" t="str">
            <v>F4-1-101,1-102,2-201,2-202,3-301,3-302</v>
          </cell>
          <cell r="E43" t="str">
            <v>正常</v>
          </cell>
          <cell r="G43">
            <v>2912.66</v>
          </cell>
          <cell r="H43">
            <v>45231</v>
          </cell>
          <cell r="I43">
            <v>45231</v>
          </cell>
          <cell r="J43">
            <v>47057</v>
          </cell>
          <cell r="M43" t="str">
            <v>4元/㎡/天</v>
          </cell>
          <cell r="N43">
            <v>4252483.5599999996</v>
          </cell>
          <cell r="O43" t="str">
            <v>半年</v>
          </cell>
          <cell r="P43" t="str">
            <v>4元/㎡/天-2026/10/31之前
4.13元/㎡/天-2028/10/31之前</v>
          </cell>
          <cell r="R43" t="str">
            <v>电汇</v>
          </cell>
          <cell r="S43" t="str">
            <v>0.57/平米/天</v>
          </cell>
          <cell r="T43" t="str">
            <v>否</v>
          </cell>
        </row>
        <row r="44">
          <cell r="B44" t="str">
            <v>巨掌互动科技(北京)有限公司-954.49</v>
          </cell>
          <cell r="C44" t="str">
            <v>-</v>
          </cell>
          <cell r="D44" t="str">
            <v>F2-4-402,4-403,4-404,4-405,4-406</v>
          </cell>
          <cell r="E44" t="str">
            <v>正常</v>
          </cell>
          <cell r="G44">
            <v>954.49</v>
          </cell>
          <cell r="H44">
            <v>45137</v>
          </cell>
          <cell r="I44">
            <v>45266</v>
          </cell>
          <cell r="J44">
            <v>46361</v>
          </cell>
          <cell r="M44" t="str">
            <v>135.48元/㎡/月</v>
          </cell>
          <cell r="N44">
            <v>1551771.94</v>
          </cell>
          <cell r="O44" t="str">
            <v>季</v>
          </cell>
          <cell r="R44" t="str">
            <v>电汇</v>
          </cell>
          <cell r="S44" t="str">
            <v>物业公司</v>
          </cell>
          <cell r="T44" t="str">
            <v>否</v>
          </cell>
        </row>
        <row r="45">
          <cell r="B45" t="str">
            <v>北方自动控制技术研究所（A2）-3855.76</v>
          </cell>
          <cell r="C45" t="str">
            <v>-</v>
          </cell>
          <cell r="D45" t="str">
            <v>A2-3-301-310,4-401-410</v>
          </cell>
          <cell r="E45" t="str">
            <v>正常</v>
          </cell>
          <cell r="G45">
            <v>3855.76</v>
          </cell>
          <cell r="H45">
            <v>45275</v>
          </cell>
          <cell r="I45">
            <v>45275</v>
          </cell>
          <cell r="J45">
            <v>47101</v>
          </cell>
          <cell r="M45" t="str">
            <v>4.38元/㎡/天</v>
          </cell>
          <cell r="N45">
            <v>6164203.5099999998</v>
          </cell>
          <cell r="O45" t="str">
            <v>年</v>
          </cell>
          <cell r="R45" t="str">
            <v>电汇</v>
          </cell>
          <cell r="S45" t="str">
            <v>物业公司</v>
          </cell>
          <cell r="T45" t="str">
            <v>否</v>
          </cell>
        </row>
        <row r="46">
          <cell r="B46" t="str">
            <v>北京恒泰盛源投资管理有限公司-25.41</v>
          </cell>
          <cell r="C46" t="str">
            <v>-</v>
          </cell>
          <cell r="D46" t="str">
            <v>D1-7-701B</v>
          </cell>
          <cell r="E46" t="str">
            <v>正常</v>
          </cell>
          <cell r="G46">
            <v>25.41</v>
          </cell>
          <cell r="H46">
            <v>45323</v>
          </cell>
          <cell r="I46">
            <v>45323</v>
          </cell>
          <cell r="J46">
            <v>46081</v>
          </cell>
          <cell r="M46" t="str">
            <v>158.17元/㎡/月</v>
          </cell>
          <cell r="N46">
            <v>44210.1</v>
          </cell>
          <cell r="O46" t="str">
            <v>季</v>
          </cell>
          <cell r="R46" t="str">
            <v>电汇</v>
          </cell>
          <cell r="S46" t="str">
            <v>物业公司</v>
          </cell>
          <cell r="T46" t="str">
            <v>否</v>
          </cell>
        </row>
        <row r="47">
          <cell r="B47" t="str">
            <v>首程融石（北京）基金管理有限公司-25.41</v>
          </cell>
          <cell r="C47" t="str">
            <v>-</v>
          </cell>
          <cell r="D47" t="str">
            <v>D1-7-701C,7-702-704</v>
          </cell>
          <cell r="E47" t="str">
            <v>正常</v>
          </cell>
          <cell r="G47">
            <v>448.99</v>
          </cell>
          <cell r="H47">
            <v>45323</v>
          </cell>
          <cell r="I47">
            <v>45323</v>
          </cell>
          <cell r="J47">
            <v>46081</v>
          </cell>
          <cell r="M47" t="str">
            <v>158.17元/㎡/月</v>
          </cell>
          <cell r="N47">
            <v>781184.25</v>
          </cell>
          <cell r="O47" t="str">
            <v>季</v>
          </cell>
          <cell r="R47" t="str">
            <v>电汇</v>
          </cell>
          <cell r="S47" t="str">
            <v>物业公司</v>
          </cell>
          <cell r="T47" t="str">
            <v>是</v>
          </cell>
        </row>
        <row r="48">
          <cell r="B48" t="str">
            <v>驿停车（北京）科技有限公司-2464.37</v>
          </cell>
          <cell r="C48" t="str">
            <v>-</v>
          </cell>
          <cell r="D48" t="str">
            <v>D1-7-701D,8-801A</v>
          </cell>
          <cell r="E48" t="str">
            <v>正常</v>
          </cell>
          <cell r="G48">
            <v>25.41</v>
          </cell>
          <cell r="H48">
            <v>45323</v>
          </cell>
          <cell r="I48">
            <v>45323</v>
          </cell>
          <cell r="J48">
            <v>46081</v>
          </cell>
          <cell r="M48" t="str">
            <v>158.17元/㎡/月</v>
          </cell>
          <cell r="N48">
            <v>44210.1</v>
          </cell>
          <cell r="O48" t="str">
            <v>季</v>
          </cell>
          <cell r="R48" t="str">
            <v>电汇</v>
          </cell>
          <cell r="S48" t="str">
            <v>物业公司</v>
          </cell>
          <cell r="T48" t="str">
            <v>是</v>
          </cell>
        </row>
        <row r="49">
          <cell r="B49" t="str">
            <v>驿泊（北京）私募基金管理有限公司-25.41</v>
          </cell>
          <cell r="C49" t="str">
            <v>-</v>
          </cell>
          <cell r="D49" t="str">
            <v>D1-7-701AB</v>
          </cell>
          <cell r="E49" t="str">
            <v>正常</v>
          </cell>
          <cell r="G49">
            <v>15.38</v>
          </cell>
          <cell r="H49">
            <v>45323</v>
          </cell>
          <cell r="I49">
            <v>45323</v>
          </cell>
          <cell r="J49">
            <v>46081</v>
          </cell>
          <cell r="M49" t="str">
            <v>158.17元/㎡/月</v>
          </cell>
          <cell r="N49">
            <v>26759.15</v>
          </cell>
          <cell r="O49" t="str">
            <v>季</v>
          </cell>
          <cell r="R49" t="str">
            <v>电汇</v>
          </cell>
          <cell r="S49" t="str">
            <v>物业公司</v>
          </cell>
          <cell r="T49" t="str">
            <v>否</v>
          </cell>
        </row>
        <row r="50">
          <cell r="B50" t="str">
            <v>中译语通科技股份有限公司-5766.55</v>
          </cell>
          <cell r="C50" t="str">
            <v>-</v>
          </cell>
          <cell r="D50" t="str">
            <v>F1-1-101,1-102,1-103A,1-103B,1-104A,1-104B-分割,1-105,2-201,2-202A,2-206A,2-207,2-208,2-209,3-301,3-302,3-303,3-304,3-305,3-306,3-307,3-308,3-309,3-310B,4-401,4-402,4-403,4-404,4-405,4-406</v>
          </cell>
          <cell r="E50" t="str">
            <v>正常</v>
          </cell>
          <cell r="G50">
            <v>5766.55</v>
          </cell>
          <cell r="H50">
            <v>45292</v>
          </cell>
          <cell r="I50">
            <v>45413</v>
          </cell>
          <cell r="J50">
            <v>47238</v>
          </cell>
          <cell r="M50" t="str">
            <v>132.31元/㎡/月</v>
          </cell>
          <cell r="N50">
            <v>9155666.7599999998</v>
          </cell>
          <cell r="O50" t="str">
            <v>月</v>
          </cell>
          <cell r="P50" t="str">
            <v>132.31元/㎡/月-2027/4/30之前
138.93元/㎡/月-22029/4/30之前</v>
          </cell>
          <cell r="R50" t="str">
            <v>电汇</v>
          </cell>
          <cell r="S50" t="str">
            <v>物业公司</v>
          </cell>
          <cell r="T50" t="str">
            <v>否</v>
          </cell>
        </row>
        <row r="51">
          <cell r="B51" t="str">
            <v>中译文娱科技（青岛）有限公司北京分公司-140</v>
          </cell>
          <cell r="C51" t="str">
            <v>-</v>
          </cell>
          <cell r="D51" t="str">
            <v>F1-1-104B</v>
          </cell>
          <cell r="E51" t="str">
            <v>正常</v>
          </cell>
          <cell r="G51">
            <v>140</v>
          </cell>
          <cell r="H51">
            <v>45292</v>
          </cell>
          <cell r="I51">
            <v>45413</v>
          </cell>
          <cell r="J51">
            <v>47238</v>
          </cell>
          <cell r="M51" t="str">
            <v>132.31元/㎡/月</v>
          </cell>
          <cell r="N51">
            <v>222280.8</v>
          </cell>
          <cell r="O51" t="str">
            <v>月</v>
          </cell>
          <cell r="P51" t="str">
            <v>132.31元/㎡/月-2027/4/30之前
138.93元/㎡/月-22029/4/30之前</v>
          </cell>
          <cell r="R51" t="str">
            <v>电汇</v>
          </cell>
          <cell r="S51" t="str">
            <v>物业公司</v>
          </cell>
          <cell r="T51" t="str">
            <v>否</v>
          </cell>
        </row>
        <row r="52">
          <cell r="B52" t="str">
            <v>中国对外翻译有限公司-720</v>
          </cell>
          <cell r="C52" t="str">
            <v>-</v>
          </cell>
          <cell r="D52" t="str">
            <v>F1-2-202B-206B</v>
          </cell>
          <cell r="E52" t="str">
            <v>正常</v>
          </cell>
          <cell r="G52">
            <v>720</v>
          </cell>
          <cell r="H52">
            <v>45292</v>
          </cell>
          <cell r="I52">
            <v>45413</v>
          </cell>
          <cell r="J52">
            <v>47238</v>
          </cell>
          <cell r="M52" t="str">
            <v>132.31元/㎡/月</v>
          </cell>
          <cell r="N52">
            <v>1143158.3999999999</v>
          </cell>
          <cell r="O52" t="str">
            <v>月</v>
          </cell>
          <cell r="P52" t="str">
            <v>132.31元/㎡/月-2027/4/30之前
138.93元/㎡/月-22029/4/30之前</v>
          </cell>
          <cell r="R52" t="str">
            <v>电汇</v>
          </cell>
          <cell r="S52" t="str">
            <v>物业公司</v>
          </cell>
          <cell r="T52" t="str">
            <v>否</v>
          </cell>
        </row>
        <row r="53">
          <cell r="B53" t="str">
            <v>国科电雷（北京）电子装备技术有限公司-844.24</v>
          </cell>
          <cell r="C53" t="str">
            <v>-</v>
          </cell>
          <cell r="D53" t="str">
            <v>F1-3-310A,3-311</v>
          </cell>
          <cell r="E53" t="str">
            <v>正常</v>
          </cell>
          <cell r="G53">
            <v>844.24</v>
          </cell>
          <cell r="H53">
            <v>45427</v>
          </cell>
          <cell r="I53">
            <v>45444</v>
          </cell>
          <cell r="J53">
            <v>47269</v>
          </cell>
          <cell r="M53" t="str">
            <v>132.31元/㎡/月</v>
          </cell>
          <cell r="N53">
            <v>1340416.68</v>
          </cell>
          <cell r="O53" t="str">
            <v>月</v>
          </cell>
          <cell r="P53" t="str">
            <v>132.31元/㎡/月-2026/5/31之前
152.08元/㎡/月-2028/5/31之前
167.29元/㎡/月-2029/5/31之前</v>
          </cell>
          <cell r="R53" t="str">
            <v>电汇</v>
          </cell>
          <cell r="S53" t="str">
            <v>物业公司</v>
          </cell>
          <cell r="T53" t="str">
            <v>否</v>
          </cell>
        </row>
        <row r="54">
          <cell r="B54" t="str">
            <v>厦门市美亚柏科信息安全研究所有限公司-385.39</v>
          </cell>
          <cell r="C54" t="str">
            <v>-</v>
          </cell>
          <cell r="D54" t="str">
            <v>D1-6-603B,6-604A,6-604B</v>
          </cell>
          <cell r="E54" t="str">
            <v>正常</v>
          </cell>
          <cell r="G54">
            <v>385.39</v>
          </cell>
          <cell r="H54">
            <v>45444</v>
          </cell>
          <cell r="I54">
            <v>45444</v>
          </cell>
          <cell r="J54">
            <v>46173</v>
          </cell>
          <cell r="M54" t="str">
            <v>142.35元/㎡/月</v>
          </cell>
          <cell r="R54" t="str">
            <v>电汇</v>
          </cell>
          <cell r="S54" t="str">
            <v>物业公司</v>
          </cell>
          <cell r="T54" t="str">
            <v>否</v>
          </cell>
        </row>
        <row r="55">
          <cell r="B55" t="str">
            <v>北京九天探索科技有限公司-233.76</v>
          </cell>
          <cell r="C55" t="str">
            <v>-</v>
          </cell>
          <cell r="D55" t="str">
            <v>D1-4-402B,4-403</v>
          </cell>
          <cell r="E55" t="str">
            <v>正常</v>
          </cell>
          <cell r="G55">
            <v>233.76</v>
          </cell>
          <cell r="H55">
            <v>45429</v>
          </cell>
          <cell r="I55">
            <v>45536</v>
          </cell>
          <cell r="J55">
            <v>47361</v>
          </cell>
          <cell r="M55" t="str">
            <v>127.75元/㎡/月</v>
          </cell>
          <cell r="N55">
            <v>358354.08</v>
          </cell>
          <cell r="O55" t="str">
            <v>月</v>
          </cell>
          <cell r="P55" t="str">
            <v>127.75元/㎡/月-2026/8/31之前
134.14元/㎡/月-2028/5/31之前
140.83元/㎡/月-2029/8/31之前</v>
          </cell>
          <cell r="R55" t="str">
            <v>电汇</v>
          </cell>
          <cell r="S55" t="str">
            <v>物业公司</v>
          </cell>
          <cell r="T55" t="str">
            <v>否</v>
          </cell>
        </row>
        <row r="56">
          <cell r="B56" t="str">
            <v>北京九天探索科技有限公司-385.66</v>
          </cell>
          <cell r="C56" t="str">
            <v>-</v>
          </cell>
          <cell r="D56" t="str">
            <v>D1-4-404,4-405</v>
          </cell>
          <cell r="E56" t="str">
            <v>正常</v>
          </cell>
          <cell r="G56">
            <v>385.66</v>
          </cell>
          <cell r="H56">
            <v>45474</v>
          </cell>
          <cell r="I56">
            <v>45536</v>
          </cell>
          <cell r="J56">
            <v>47361</v>
          </cell>
          <cell r="M56" t="str">
            <v>127.75元/㎡/月</v>
          </cell>
          <cell r="N56">
            <v>591216.84</v>
          </cell>
          <cell r="O56" t="str">
            <v>月</v>
          </cell>
          <cell r="P56" t="str">
            <v>127.75元/㎡/月-2026/8/31之前
134.14元/㎡/月-2028/5/31之前
140.83元/㎡/月-2029/8/31之前</v>
          </cell>
          <cell r="R56" t="str">
            <v>电汇</v>
          </cell>
          <cell r="S56" t="str">
            <v>物业公司</v>
          </cell>
          <cell r="T56" t="str">
            <v>否</v>
          </cell>
        </row>
        <row r="57">
          <cell r="B57" t="str">
            <v>北京万润新能碳科技有限公司-299.99</v>
          </cell>
          <cell r="C57" t="str">
            <v>-</v>
          </cell>
          <cell r="D57" t="str">
            <v>D1-6-607A,6-608B</v>
          </cell>
          <cell r="E57" t="str">
            <v>正常</v>
          </cell>
          <cell r="G57">
            <v>299.99</v>
          </cell>
          <cell r="H57">
            <v>45537</v>
          </cell>
          <cell r="I57">
            <v>45474</v>
          </cell>
          <cell r="J57">
            <v>46568</v>
          </cell>
          <cell r="M57" t="str">
            <v>152.08元/㎡/月</v>
          </cell>
          <cell r="N57">
            <v>547469.76</v>
          </cell>
          <cell r="O57" t="str">
            <v>季</v>
          </cell>
          <cell r="R57" t="str">
            <v>电汇</v>
          </cell>
          <cell r="S57" t="str">
            <v>物业公司</v>
          </cell>
          <cell r="T57" t="str">
            <v>否</v>
          </cell>
        </row>
        <row r="58">
          <cell r="B58" t="str">
            <v>北京华盛西山房地产开发有限公司</v>
          </cell>
          <cell r="C58" t="str">
            <v>-</v>
          </cell>
          <cell r="D58" t="str">
            <v>F2-1-101</v>
          </cell>
          <cell r="E58" t="str">
            <v>正常</v>
          </cell>
          <cell r="G58">
            <v>394.83</v>
          </cell>
          <cell r="H58">
            <v>45509</v>
          </cell>
          <cell r="I58">
            <v>45536</v>
          </cell>
          <cell r="J58">
            <v>45900</v>
          </cell>
          <cell r="M58" t="str">
            <v>152.08元/㎡/月</v>
          </cell>
          <cell r="N58">
            <v>420320.25</v>
          </cell>
          <cell r="O58" t="str">
            <v>月</v>
          </cell>
          <cell r="R58" t="str">
            <v>电汇</v>
          </cell>
          <cell r="S58" t="str">
            <v>物业公司</v>
          </cell>
          <cell r="T58" t="str">
            <v>否</v>
          </cell>
        </row>
        <row r="59">
          <cell r="B59" t="str">
            <v>北京车百会科技发展有限公司</v>
          </cell>
          <cell r="C59" t="str">
            <v>-</v>
          </cell>
          <cell r="D59" t="str">
            <v>D1-5-505B,5-506,5-507</v>
          </cell>
          <cell r="E59" t="str">
            <v>正常</v>
          </cell>
          <cell r="G59">
            <v>381.79</v>
          </cell>
          <cell r="H59">
            <v>45561</v>
          </cell>
          <cell r="I59">
            <v>45651</v>
          </cell>
          <cell r="J59">
            <v>45832</v>
          </cell>
          <cell r="M59" t="str">
            <v>136.88元/㎡/月</v>
          </cell>
          <cell r="N59">
            <v>156778.26</v>
          </cell>
          <cell r="O59" t="str">
            <v>季</v>
          </cell>
          <cell r="R59" t="str">
            <v>电汇</v>
          </cell>
          <cell r="S59" t="str">
            <v>物业公司</v>
          </cell>
          <cell r="T59" t="str">
            <v>否</v>
          </cell>
        </row>
        <row r="60">
          <cell r="B60" t="str">
            <v>环球航通信息服务有限公司</v>
          </cell>
          <cell r="C60" t="str">
            <v>-</v>
          </cell>
          <cell r="D60" t="str">
            <v>F2-6-601A、607-610</v>
          </cell>
          <cell r="E60" t="str">
            <v>正常</v>
          </cell>
          <cell r="G60">
            <v>852</v>
          </cell>
          <cell r="H60">
            <v>45628</v>
          </cell>
          <cell r="I60">
            <v>45641</v>
          </cell>
          <cell r="J60">
            <v>46735</v>
          </cell>
          <cell r="M60" t="str">
            <v>121.67元/㎡/月</v>
          </cell>
          <cell r="N60">
            <v>1243954.08</v>
          </cell>
          <cell r="O60" t="str">
            <v>季</v>
          </cell>
          <cell r="R60" t="str">
            <v>电汇</v>
          </cell>
          <cell r="S60" t="str">
            <v>物业公司</v>
          </cell>
          <cell r="T60" t="str">
            <v>否</v>
          </cell>
        </row>
        <row r="61">
          <cell r="B61" t="str">
            <v>环球航通信息服务有限公司</v>
          </cell>
          <cell r="C61" t="str">
            <v>-</v>
          </cell>
          <cell r="D61" t="str">
            <v>F2-6-601B、602-606</v>
          </cell>
          <cell r="E61" t="str">
            <v>正常</v>
          </cell>
          <cell r="G61">
            <v>1043.3599999999999</v>
          </cell>
          <cell r="I61">
            <v>45839</v>
          </cell>
          <cell r="J61">
            <v>46735</v>
          </cell>
          <cell r="M61" t="str">
            <v>121.67元/㎡/月</v>
          </cell>
          <cell r="N61">
            <v>761673.66</v>
          </cell>
          <cell r="O61" t="str">
            <v>季</v>
          </cell>
          <cell r="R61" t="str">
            <v>电汇</v>
          </cell>
          <cell r="S61" t="str">
            <v>物业公司</v>
          </cell>
          <cell r="T61" t="str">
            <v>否</v>
          </cell>
        </row>
        <row r="62">
          <cell r="B62" t="str">
            <v>北京嘉洁餐饮管理有限公司</v>
          </cell>
          <cell r="C62" t="str">
            <v>牛汤哥</v>
          </cell>
          <cell r="D62" t="str">
            <v>D-2-204A</v>
          </cell>
          <cell r="E62" t="str">
            <v>正常</v>
          </cell>
          <cell r="G62">
            <v>75.45</v>
          </cell>
          <cell r="H62">
            <v>44620</v>
          </cell>
          <cell r="I62">
            <v>44730</v>
          </cell>
          <cell r="J62">
            <v>45825</v>
          </cell>
          <cell r="M62" t="str">
            <v>360元/㎡/月</v>
          </cell>
          <cell r="N62">
            <v>124039.8</v>
          </cell>
          <cell r="O62" t="str">
            <v>月</v>
          </cell>
          <cell r="R62" t="str">
            <v>电汇</v>
          </cell>
          <cell r="S62" t="str">
            <v>物业公司</v>
          </cell>
          <cell r="T62" t="str">
            <v>否</v>
          </cell>
        </row>
        <row r="63">
          <cell r="B63" t="str">
            <v>北京尚美乐餐饮管理有限公司</v>
          </cell>
          <cell r="C63" t="str">
            <v>醉面</v>
          </cell>
          <cell r="D63" t="str">
            <v>D-3-304C</v>
          </cell>
          <cell r="E63" t="str">
            <v>正常</v>
          </cell>
          <cell r="G63">
            <v>45.03</v>
          </cell>
          <cell r="H63">
            <v>44620</v>
          </cell>
          <cell r="I63">
            <v>44730</v>
          </cell>
          <cell r="J63">
            <v>45825</v>
          </cell>
          <cell r="M63" t="str">
            <v>494.39元/㎡/月</v>
          </cell>
          <cell r="N63">
            <v>101664.87</v>
          </cell>
          <cell r="O63" t="str">
            <v>月</v>
          </cell>
          <cell r="R63" t="str">
            <v>电汇</v>
          </cell>
          <cell r="S63" t="str">
            <v>物业公司</v>
          </cell>
          <cell r="T63" t="str">
            <v>否</v>
          </cell>
        </row>
        <row r="64">
          <cell r="B64" t="str">
            <v>北京庆红之星汽车销售服务有限公司</v>
          </cell>
          <cell r="C64" t="str">
            <v>SMART</v>
          </cell>
          <cell r="D64" t="str">
            <v>D-1-101C</v>
          </cell>
          <cell r="E64" t="str">
            <v>正常</v>
          </cell>
          <cell r="G64">
            <v>227.98</v>
          </cell>
          <cell r="H64">
            <v>44666</v>
          </cell>
          <cell r="I64">
            <v>44730</v>
          </cell>
          <cell r="J64">
            <v>46203</v>
          </cell>
          <cell r="M64" t="str">
            <v>272.5元/㎡/月</v>
          </cell>
          <cell r="N64">
            <v>722069.66</v>
          </cell>
          <cell r="O64" t="str">
            <v>月</v>
          </cell>
          <cell r="P64" t="str">
            <v>250元/㎡/月-2025/6/17之前
272.5元/㎡/月-2026/6/30之前</v>
          </cell>
          <cell r="R64" t="str">
            <v>电汇</v>
          </cell>
          <cell r="S64" t="str">
            <v>物业公司</v>
          </cell>
          <cell r="T64" t="str">
            <v>否</v>
          </cell>
        </row>
        <row r="65">
          <cell r="B65" t="str">
            <v>北京工汇有渔餐饮中心</v>
          </cell>
          <cell r="C65" t="str">
            <v>半天妖烤鱼</v>
          </cell>
          <cell r="D65" t="str">
            <v>D-3-304A</v>
          </cell>
          <cell r="E65" t="str">
            <v>正常</v>
          </cell>
          <cell r="G65">
            <v>185.88</v>
          </cell>
          <cell r="H65">
            <v>44620</v>
          </cell>
          <cell r="I65">
            <v>44730</v>
          </cell>
          <cell r="J65">
            <v>46190</v>
          </cell>
          <cell r="M65" t="str">
            <v>239元/㎡/月</v>
          </cell>
          <cell r="N65">
            <v>521219.91</v>
          </cell>
          <cell r="O65" t="str">
            <v>月</v>
          </cell>
          <cell r="P65" t="str">
            <v>225元/㎡/月-2025/6/17之前
239元/㎡/月-2026/6/17之前</v>
          </cell>
          <cell r="R65" t="str">
            <v>电汇</v>
          </cell>
          <cell r="S65" t="str">
            <v>物业公司</v>
          </cell>
          <cell r="T65" t="str">
            <v>否</v>
          </cell>
        </row>
        <row r="66">
          <cell r="B66" t="str">
            <v>北京九木花道餐饮有限公司</v>
          </cell>
          <cell r="C66" t="str">
            <v>九本居酒屋</v>
          </cell>
          <cell r="D66" t="str">
            <v>D-1-101D</v>
          </cell>
          <cell r="E66" t="str">
            <v>正常</v>
          </cell>
          <cell r="G66">
            <v>298</v>
          </cell>
          <cell r="H66">
            <v>44621</v>
          </cell>
          <cell r="I66">
            <v>44730</v>
          </cell>
          <cell r="J66">
            <v>46555</v>
          </cell>
          <cell r="M66" t="str">
            <v>263元/㎡/月</v>
          </cell>
          <cell r="N66">
            <v>920075</v>
          </cell>
          <cell r="O66" t="str">
            <v>月</v>
          </cell>
          <cell r="P66" t="str">
            <v>248元/㎡/月-2025/6/17之前
263元/㎡/月-2026/6/17之前
278元/㎡/月-2027/6/17之前</v>
          </cell>
          <cell r="R66" t="str">
            <v>电汇</v>
          </cell>
          <cell r="S66" t="str">
            <v>物业公司</v>
          </cell>
          <cell r="T66" t="str">
            <v>否</v>
          </cell>
        </row>
        <row r="67">
          <cell r="B67" t="str">
            <v>北京蔚来汽车销售服务有限公司</v>
          </cell>
          <cell r="C67" t="str">
            <v>蔚来汽车</v>
          </cell>
          <cell r="D67" t="str">
            <v>D-1-102-1F,2-102-2F</v>
          </cell>
          <cell r="E67" t="str">
            <v>正常</v>
          </cell>
          <cell r="G67">
            <v>698.37</v>
          </cell>
          <cell r="H67">
            <v>44620</v>
          </cell>
          <cell r="I67">
            <v>44730</v>
          </cell>
          <cell r="J67">
            <v>46555</v>
          </cell>
          <cell r="M67" t="str">
            <v>226.29元/㎡/月</v>
          </cell>
          <cell r="N67">
            <v>1855555.85</v>
          </cell>
          <cell r="O67" t="str">
            <v>月</v>
          </cell>
          <cell r="P67" t="str">
            <v>213.48元/㎡/月-2025/6/17之前
226.29元/㎡/月-2026/6/17之前
239.87元/㎡/月-2027/6/17之前</v>
          </cell>
          <cell r="R67" t="str">
            <v>电汇</v>
          </cell>
          <cell r="S67" t="str">
            <v>物业公司</v>
          </cell>
          <cell r="T67" t="str">
            <v>否</v>
          </cell>
        </row>
        <row r="68">
          <cell r="B68" t="str">
            <v>北京比格送餐饮管理有限责任公司</v>
          </cell>
          <cell r="C68" t="str">
            <v>比格比萨</v>
          </cell>
          <cell r="D68" t="str">
            <v>D-4-412C</v>
          </cell>
          <cell r="E68" t="str">
            <v>正常</v>
          </cell>
          <cell r="G68">
            <v>287.45</v>
          </cell>
          <cell r="H68">
            <v>44635</v>
          </cell>
          <cell r="I68">
            <v>44730</v>
          </cell>
          <cell r="J68">
            <v>46555</v>
          </cell>
          <cell r="M68" t="str">
            <v>150元/㎡/月</v>
          </cell>
          <cell r="N68">
            <v>468000.4</v>
          </cell>
          <cell r="O68" t="str">
            <v>月</v>
          </cell>
          <cell r="P68" t="str">
            <v>112.36元/㎡/月-2025/6/17之前
150元/㎡/月-2026/6/17之前
159元/㎡/月-2027/6/17之前</v>
          </cell>
          <cell r="R68" t="str">
            <v>电汇</v>
          </cell>
          <cell r="S68" t="str">
            <v>物业公司</v>
          </cell>
          <cell r="T68" t="str">
            <v>否</v>
          </cell>
        </row>
        <row r="69">
          <cell r="B69" t="str">
            <v>北京江边城外阳光餐饮管理有限公司</v>
          </cell>
          <cell r="C69" t="str">
            <v>江边城外</v>
          </cell>
          <cell r="D69" t="str">
            <v>D-4-410A</v>
          </cell>
          <cell r="E69" t="str">
            <v>正常</v>
          </cell>
          <cell r="G69">
            <v>215.01</v>
          </cell>
          <cell r="H69">
            <v>44621</v>
          </cell>
          <cell r="I69">
            <v>44730</v>
          </cell>
          <cell r="J69">
            <v>46555</v>
          </cell>
          <cell r="M69" t="str">
            <v>250元/㎡/月</v>
          </cell>
          <cell r="N69">
            <v>635201.89</v>
          </cell>
          <cell r="O69" t="str">
            <v>月</v>
          </cell>
          <cell r="P69" t="str">
            <v>240元/㎡/月-2025/6/17之前
250元/㎡/月-2026/6/17之前
260元/㎡/月-2027/6/17之前</v>
          </cell>
          <cell r="R69" t="str">
            <v>电汇</v>
          </cell>
          <cell r="S69" t="str">
            <v>物业公司</v>
          </cell>
          <cell r="T69" t="str">
            <v>否</v>
          </cell>
        </row>
        <row r="70">
          <cell r="B70" t="str">
            <v>理想智造汽车销售服务（北京）有限公司</v>
          </cell>
          <cell r="C70" t="str">
            <v>理想汽车</v>
          </cell>
          <cell r="D70" t="str">
            <v>D-1-107B</v>
          </cell>
          <cell r="E70" t="str">
            <v>正常</v>
          </cell>
          <cell r="G70">
            <v>566.30999999999995</v>
          </cell>
          <cell r="H70">
            <v>44620</v>
          </cell>
          <cell r="I70">
            <v>44730</v>
          </cell>
          <cell r="J70">
            <v>46555</v>
          </cell>
          <cell r="M70" t="str">
            <v>420元/㎡/月</v>
          </cell>
          <cell r="N70">
            <v>2802479.42</v>
          </cell>
          <cell r="O70" t="str">
            <v>月</v>
          </cell>
          <cell r="P70" t="str">
            <v>400元/㎡/月-2025/6/17之前
420元/㎡/月-2026/6/17之前
440元/㎡/月-2027/6/17之前</v>
          </cell>
          <cell r="R70" t="str">
            <v>电汇</v>
          </cell>
          <cell r="S70" t="str">
            <v>物业公司</v>
          </cell>
          <cell r="T70" t="str">
            <v>否</v>
          </cell>
        </row>
        <row r="71">
          <cell r="B71" t="str">
            <v>北京秀池餐饮管理有限公司</v>
          </cell>
          <cell r="C71" t="str">
            <v>小吊梨汤</v>
          </cell>
          <cell r="D71" t="str">
            <v>D-4-409A</v>
          </cell>
          <cell r="E71" t="str">
            <v>正常</v>
          </cell>
          <cell r="G71">
            <v>424.96</v>
          </cell>
          <cell r="H71">
            <v>44620</v>
          </cell>
          <cell r="I71">
            <v>44730</v>
          </cell>
          <cell r="J71">
            <v>47651</v>
          </cell>
          <cell r="M71" t="str">
            <v>30元/㎡/月</v>
          </cell>
          <cell r="N71">
            <v>143282.35</v>
          </cell>
          <cell r="O71" t="str">
            <v>月</v>
          </cell>
          <cell r="P71" t="str">
            <v>25元/㎡/月-2025/6/17之前
30元/㎡/月-2028/6/17之前
35元/㎡/月-2030/6/17之前</v>
          </cell>
          <cell r="R71" t="str">
            <v>电汇</v>
          </cell>
          <cell r="S71" t="str">
            <v>物业公司</v>
          </cell>
          <cell r="T71" t="str">
            <v>否</v>
          </cell>
        </row>
        <row r="72">
          <cell r="B72" t="str">
            <v>北京童馨水育文化发展有限公司</v>
          </cell>
          <cell r="C72" t="str">
            <v>马博士</v>
          </cell>
          <cell r="D72" t="str">
            <v>D-3-303（原304）</v>
          </cell>
          <cell r="E72" t="str">
            <v>正常</v>
          </cell>
          <cell r="G72">
            <v>151.19999999999999</v>
          </cell>
          <cell r="H72">
            <v>44629</v>
          </cell>
          <cell r="I72">
            <v>44730</v>
          </cell>
          <cell r="J72">
            <v>45917</v>
          </cell>
          <cell r="M72" t="str">
            <v>148.82元/㎡/月</v>
          </cell>
          <cell r="N72">
            <v>174796.24</v>
          </cell>
          <cell r="O72" t="str">
            <v>月</v>
          </cell>
          <cell r="R72" t="str">
            <v>电汇</v>
          </cell>
          <cell r="S72" t="str">
            <v>物业公司</v>
          </cell>
          <cell r="T72" t="str">
            <v>否</v>
          </cell>
        </row>
        <row r="73">
          <cell r="B73" t="str">
            <v>北京瑞吉咖啡有限公司</v>
          </cell>
          <cell r="C73" t="str">
            <v>瑞幸咖啡-购物中心</v>
          </cell>
          <cell r="D73" t="str">
            <v>D-2-D1-2F-D06</v>
          </cell>
          <cell r="E73" t="str">
            <v>正常</v>
          </cell>
          <cell r="G73">
            <v>54.88</v>
          </cell>
          <cell r="H73">
            <v>44720</v>
          </cell>
          <cell r="I73">
            <v>44750</v>
          </cell>
          <cell r="J73">
            <v>46210</v>
          </cell>
          <cell r="M73" t="str">
            <v>471.91元/㎡/月</v>
          </cell>
          <cell r="N73">
            <v>321659.73</v>
          </cell>
          <cell r="O73" t="str">
            <v>月</v>
          </cell>
          <cell r="P73" t="str">
            <v>471.91元/㎡/月-2025/7/7之前
500.23元/㎡/月-2026/7/7之前</v>
          </cell>
          <cell r="R73" t="str">
            <v>电汇</v>
          </cell>
          <cell r="S73" t="str">
            <v>物业公司</v>
          </cell>
          <cell r="T73" t="str">
            <v>否</v>
          </cell>
        </row>
        <row r="74">
          <cell r="B74" t="str">
            <v>北京柒月青柠餐饮管理有限公司</v>
          </cell>
          <cell r="C74" t="str">
            <v>快乐柠檬</v>
          </cell>
          <cell r="D74" t="str">
            <v>D-4-D1-4F-D01</v>
          </cell>
          <cell r="E74" t="str">
            <v>正常</v>
          </cell>
          <cell r="G74">
            <v>18</v>
          </cell>
          <cell r="H74">
            <v>45508</v>
          </cell>
          <cell r="I74">
            <v>45508</v>
          </cell>
          <cell r="J74">
            <v>45872</v>
          </cell>
          <cell r="M74" t="str">
            <v>350元/㎡/月</v>
          </cell>
          <cell r="N74">
            <v>38409.660000000003</v>
          </cell>
          <cell r="O74" t="str">
            <v>月</v>
          </cell>
          <cell r="R74" t="str">
            <v>电汇</v>
          </cell>
          <cell r="S74" t="str">
            <v>物业公司</v>
          </cell>
          <cell r="T74" t="str">
            <v>否</v>
          </cell>
        </row>
        <row r="75">
          <cell r="B75" t="str">
            <v>万具浩特（北京）文化发展有限公司</v>
          </cell>
          <cell r="C75" t="str">
            <v>奥曼之星</v>
          </cell>
          <cell r="D75" t="str">
            <v>D-4-D1-4F-D04</v>
          </cell>
          <cell r="E75" t="str">
            <v>正常</v>
          </cell>
          <cell r="G75">
            <v>48.04</v>
          </cell>
          <cell r="H75">
            <v>45512</v>
          </cell>
          <cell r="I75">
            <v>45512</v>
          </cell>
          <cell r="J75">
            <v>45876</v>
          </cell>
          <cell r="M75" t="str">
            <v>380元/㎡/月</v>
          </cell>
          <cell r="N75">
            <v>113653.99</v>
          </cell>
          <cell r="O75" t="str">
            <v>月</v>
          </cell>
          <cell r="R75" t="str">
            <v>电汇</v>
          </cell>
          <cell r="S75" t="str">
            <v>物业公司</v>
          </cell>
          <cell r="T75" t="str">
            <v>否</v>
          </cell>
        </row>
        <row r="76">
          <cell r="B76" t="str">
            <v>北京瑞吉咖啡有限公司</v>
          </cell>
          <cell r="C76" t="str">
            <v>瑞幸大师店</v>
          </cell>
          <cell r="D76" t="str">
            <v>B2-1-102B（原103B）</v>
          </cell>
          <cell r="E76" t="str">
            <v>正常</v>
          </cell>
          <cell r="G76">
            <v>128.41</v>
          </cell>
          <cell r="H76">
            <v>44764</v>
          </cell>
          <cell r="I76">
            <v>44804</v>
          </cell>
          <cell r="J76">
            <v>46629</v>
          </cell>
          <cell r="M76" t="str">
            <v>233.2元/㎡/月</v>
          </cell>
          <cell r="N76">
            <v>359342.52</v>
          </cell>
          <cell r="O76" t="str">
            <v>月</v>
          </cell>
          <cell r="P76" t="str">
            <v>233.2元/㎡/月-2026/7/21之前
247.19元/㎡/月-2027/7/21之前</v>
          </cell>
          <cell r="R76" t="str">
            <v>电汇</v>
          </cell>
          <cell r="S76" t="str">
            <v>物业公司</v>
          </cell>
          <cell r="T76" t="str">
            <v>否</v>
          </cell>
        </row>
        <row r="77">
          <cell r="B77" t="str">
            <v>北京一轻食品集团有限公司</v>
          </cell>
          <cell r="C77" t="str">
            <v>北平制冰厂</v>
          </cell>
          <cell r="D77" t="str">
            <v>D-1-108B</v>
          </cell>
          <cell r="E77" t="str">
            <v>正常</v>
          </cell>
          <cell r="G77">
            <v>130.38</v>
          </cell>
          <cell r="H77">
            <v>44775</v>
          </cell>
          <cell r="I77">
            <v>44820</v>
          </cell>
          <cell r="J77">
            <v>45915</v>
          </cell>
          <cell r="M77" t="str">
            <v>207.27元/㎡/月</v>
          </cell>
          <cell r="N77">
            <v>202678.95</v>
          </cell>
          <cell r="O77" t="str">
            <v>月</v>
          </cell>
          <cell r="R77" t="str">
            <v>电汇</v>
          </cell>
          <cell r="S77" t="str">
            <v>物业公司</v>
          </cell>
          <cell r="T77" t="str">
            <v>否</v>
          </cell>
        </row>
        <row r="78">
          <cell r="B78" t="str">
            <v>中国移动通信集团北京有限公司</v>
          </cell>
          <cell r="C78" t="str">
            <v>中国移动</v>
          </cell>
          <cell r="D78" t="str">
            <v>B5-1-101A</v>
          </cell>
          <cell r="E78" t="str">
            <v>正常</v>
          </cell>
          <cell r="G78">
            <v>252.29</v>
          </cell>
          <cell r="H78">
            <v>44620</v>
          </cell>
          <cell r="I78">
            <v>44805</v>
          </cell>
          <cell r="J78">
            <v>45900</v>
          </cell>
          <cell r="K78" t="str">
            <v>2022/9/1-2022/9/30</v>
          </cell>
          <cell r="M78" t="str">
            <v>366元/㎡/月</v>
          </cell>
          <cell r="N78">
            <v>554028.84</v>
          </cell>
          <cell r="O78" t="str">
            <v>半年</v>
          </cell>
          <cell r="R78" t="str">
            <v>电汇</v>
          </cell>
          <cell r="S78" t="str">
            <v>物业公司</v>
          </cell>
          <cell r="T78" t="str">
            <v>否</v>
          </cell>
        </row>
        <row r="79">
          <cell r="B79" t="str">
            <v>北京月蕾形象设计有限公司</v>
          </cell>
          <cell r="C79" t="str">
            <v>萌家baby</v>
          </cell>
          <cell r="D79" t="str">
            <v>E2-3-301,3-302A,3-302公区</v>
          </cell>
          <cell r="E79" t="str">
            <v>正常</v>
          </cell>
          <cell r="G79">
            <v>838.58</v>
          </cell>
          <cell r="H79">
            <v>44725</v>
          </cell>
          <cell r="I79">
            <v>44815</v>
          </cell>
          <cell r="J79">
            <v>46275</v>
          </cell>
          <cell r="M79" t="str">
            <v>79元/㎡/月</v>
          </cell>
          <cell r="N79">
            <v>794973.84</v>
          </cell>
          <cell r="O79" t="str">
            <v>月</v>
          </cell>
          <cell r="R79" t="str">
            <v>电汇</v>
          </cell>
          <cell r="S79" t="str">
            <v>物业公司</v>
          </cell>
          <cell r="T79" t="str">
            <v>否</v>
          </cell>
        </row>
        <row r="80">
          <cell r="B80" t="str">
            <v>华夏银行股份有限公司北京分行</v>
          </cell>
          <cell r="C80" t="str">
            <v>华夏银行</v>
          </cell>
          <cell r="D80" t="str">
            <v>B5-1-102（原103+104）</v>
          </cell>
          <cell r="E80" t="str">
            <v>正常</v>
          </cell>
          <cell r="G80">
            <v>443.87</v>
          </cell>
          <cell r="H80">
            <v>44743</v>
          </cell>
          <cell r="I80">
            <v>44743</v>
          </cell>
          <cell r="J80">
            <v>46568</v>
          </cell>
          <cell r="M80" t="str">
            <v>255.5元/㎡/月</v>
          </cell>
          <cell r="N80">
            <v>1360905</v>
          </cell>
          <cell r="O80" t="str">
            <v>半年</v>
          </cell>
          <cell r="P80" t="str">
            <v>255.5元/㎡/月-2026/6/30之前
268.28元/㎡/月-2027/6/30之前</v>
          </cell>
          <cell r="R80" t="str">
            <v>电汇</v>
          </cell>
          <cell r="S80" t="str">
            <v>物业公司</v>
          </cell>
          <cell r="T80" t="str">
            <v>否</v>
          </cell>
        </row>
        <row r="81">
          <cell r="B81" t="str">
            <v>北京涌鑫茂源餐饮管理有限公司</v>
          </cell>
          <cell r="C81" t="str">
            <v>THE WOODS CAFÉ</v>
          </cell>
          <cell r="D81" t="str">
            <v>D-1-108A</v>
          </cell>
          <cell r="E81" t="str">
            <v>正常</v>
          </cell>
          <cell r="G81">
            <v>150.47999999999999</v>
          </cell>
          <cell r="H81">
            <v>44620</v>
          </cell>
          <cell r="I81">
            <v>44730</v>
          </cell>
          <cell r="J81">
            <v>46555</v>
          </cell>
          <cell r="M81" t="str">
            <v>265元/㎡/月</v>
          </cell>
          <cell r="N81">
            <v>468218.52</v>
          </cell>
          <cell r="O81" t="str">
            <v>月</v>
          </cell>
          <cell r="R81" t="str">
            <v>电汇</v>
          </cell>
          <cell r="S81" t="str">
            <v>物业公司</v>
          </cell>
          <cell r="T81" t="str">
            <v>否</v>
          </cell>
        </row>
        <row r="82">
          <cell r="B82" t="str">
            <v>北京星巴克咖啡有限公司</v>
          </cell>
          <cell r="C82" t="str">
            <v>星巴克</v>
          </cell>
          <cell r="D82" t="str">
            <v>D-1-106C（原117）</v>
          </cell>
          <cell r="E82" t="str">
            <v>正常</v>
          </cell>
          <cell r="G82">
            <v>132.65</v>
          </cell>
          <cell r="H82">
            <v>44680</v>
          </cell>
          <cell r="I82">
            <v>44680</v>
          </cell>
          <cell r="J82">
            <v>48332</v>
          </cell>
          <cell r="N82">
            <v>334278</v>
          </cell>
          <cell r="O82" t="str">
            <v>月</v>
          </cell>
          <cell r="R82" t="str">
            <v>电汇</v>
          </cell>
          <cell r="S82" t="str">
            <v>物业公司</v>
          </cell>
          <cell r="T82" t="str">
            <v>否</v>
          </cell>
        </row>
        <row r="83">
          <cell r="B83" t="str">
            <v>晋三喜（北京）食品有限公司</v>
          </cell>
          <cell r="C83" t="str">
            <v>晋三喜</v>
          </cell>
          <cell r="D83" t="str">
            <v>C1-1-101B</v>
          </cell>
          <cell r="E83" t="str">
            <v>正常</v>
          </cell>
          <cell r="G83">
            <v>205.33</v>
          </cell>
          <cell r="H83">
            <v>44848</v>
          </cell>
          <cell r="I83">
            <v>44743</v>
          </cell>
          <cell r="J83">
            <v>46568</v>
          </cell>
          <cell r="M83" t="str">
            <v>209.88元/㎡/月</v>
          </cell>
          <cell r="N83">
            <v>517135.92</v>
          </cell>
          <cell r="O83" t="str">
            <v>月</v>
          </cell>
          <cell r="P83" t="str">
            <v>209.88元/㎡/月-2027/2/22之前
222.47元/㎡/月-2028/2/22之前</v>
          </cell>
          <cell r="R83" t="str">
            <v>电汇</v>
          </cell>
          <cell r="S83" t="str">
            <v>物业公司</v>
          </cell>
          <cell r="T83" t="str">
            <v>否</v>
          </cell>
        </row>
        <row r="84">
          <cell r="B84" t="str">
            <v>北京蔚来能源科技有限公司</v>
          </cell>
          <cell r="C84" t="str">
            <v>蔚来能源</v>
          </cell>
          <cell r="D84" t="str">
            <v>F</v>
          </cell>
          <cell r="E84" t="str">
            <v>正常</v>
          </cell>
          <cell r="G84">
            <v>80</v>
          </cell>
          <cell r="H84">
            <v>44676</v>
          </cell>
          <cell r="I84">
            <v>44713</v>
          </cell>
          <cell r="J84">
            <v>45808</v>
          </cell>
          <cell r="M84" t="str">
            <v>5000元/月</v>
          </cell>
          <cell r="N84">
            <v>0</v>
          </cell>
          <cell r="O84" t="str">
            <v>季度</v>
          </cell>
          <cell r="R84" t="str">
            <v>电汇</v>
          </cell>
          <cell r="S84" t="str">
            <v>物业公司</v>
          </cell>
          <cell r="T84" t="str">
            <v>否</v>
          </cell>
        </row>
        <row r="85">
          <cell r="B85" t="str">
            <v>北京蔚来能源科技有限公司</v>
          </cell>
          <cell r="C85" t="str">
            <v>蔚来能源</v>
          </cell>
          <cell r="D85" t="str">
            <v>F</v>
          </cell>
          <cell r="E85" t="str">
            <v>正常</v>
          </cell>
          <cell r="G85">
            <v>80</v>
          </cell>
          <cell r="H85">
            <v>45746</v>
          </cell>
          <cell r="I85">
            <v>45746</v>
          </cell>
          <cell r="J85">
            <v>46843</v>
          </cell>
          <cell r="M85" t="str">
            <v>9000元/月</v>
          </cell>
          <cell r="N85">
            <v>108580.65</v>
          </cell>
          <cell r="O85" t="str">
            <v>季度</v>
          </cell>
          <cell r="P85" t="str">
            <v>9000元/月-2026/3/31之前
9450元/月-2027/3/31之前
9922.5元/月-2028/3/31之前</v>
          </cell>
          <cell r="R85" t="str">
            <v>电汇</v>
          </cell>
          <cell r="S85" t="str">
            <v>物业公司</v>
          </cell>
          <cell r="T85" t="str">
            <v>否</v>
          </cell>
        </row>
        <row r="86">
          <cell r="B86" t="str">
            <v>北京良子秀池汤泉健身服务有限公司</v>
          </cell>
          <cell r="C86" t="str">
            <v>汤泉良子</v>
          </cell>
          <cell r="D86" t="str">
            <v>C1-4-401-411,5-501-512,6-601-612</v>
          </cell>
          <cell r="E86" t="str">
            <v>正常</v>
          </cell>
          <cell r="G86">
            <v>4420.41</v>
          </cell>
          <cell r="H86">
            <v>44911</v>
          </cell>
          <cell r="I86">
            <v>44972</v>
          </cell>
          <cell r="J86">
            <v>48624</v>
          </cell>
          <cell r="M86" t="str">
            <v>66.25元/㎡/月</v>
          </cell>
          <cell r="N86">
            <v>3514225.92</v>
          </cell>
          <cell r="O86" t="str">
            <v>月</v>
          </cell>
          <cell r="P86" t="str">
            <v>66.25元/㎡/月-2025/2/14之前
69.56元/㎡/月-2029/2/14之前
73.04元/㎡/月-2032/2/14之前
76.69元/㎡/月-2033/2/14之前</v>
          </cell>
          <cell r="R86" t="str">
            <v>电汇</v>
          </cell>
          <cell r="S86" t="str">
            <v>物业公司</v>
          </cell>
          <cell r="T86" t="str">
            <v>否</v>
          </cell>
        </row>
        <row r="87">
          <cell r="B87" t="str">
            <v>舜德行（北京）科技发展有限公司</v>
          </cell>
          <cell r="C87" t="str">
            <v>华为</v>
          </cell>
          <cell r="D87" t="str">
            <v>D-1-105B</v>
          </cell>
          <cell r="E87" t="str">
            <v>正常</v>
          </cell>
          <cell r="G87">
            <v>288.77999999999997</v>
          </cell>
          <cell r="H87">
            <v>44854</v>
          </cell>
          <cell r="I87">
            <v>44946</v>
          </cell>
          <cell r="J87">
            <v>46041</v>
          </cell>
          <cell r="N87">
            <v>376782.81</v>
          </cell>
          <cell r="O87" t="str">
            <v>月</v>
          </cell>
          <cell r="R87" t="str">
            <v>电汇</v>
          </cell>
          <cell r="S87" t="str">
            <v>物业公司</v>
          </cell>
          <cell r="T87" t="str">
            <v>否</v>
          </cell>
        </row>
        <row r="88">
          <cell r="B88" t="str">
            <v>北京骑车吧兄弟贸易有限公司</v>
          </cell>
          <cell r="C88" t="str">
            <v>MCC</v>
          </cell>
          <cell r="D88" t="str">
            <v>C4-1-102A</v>
          </cell>
          <cell r="E88" t="str">
            <v>正常</v>
          </cell>
          <cell r="G88">
            <v>432.83</v>
          </cell>
          <cell r="H88">
            <v>44896</v>
          </cell>
          <cell r="I88">
            <v>44986</v>
          </cell>
          <cell r="J88">
            <v>46812</v>
          </cell>
          <cell r="M88" t="str">
            <v>183.41元/㎡/月</v>
          </cell>
          <cell r="N88">
            <v>952637.16</v>
          </cell>
          <cell r="O88" t="str">
            <v>月</v>
          </cell>
          <cell r="P88" t="str">
            <v>183.41元/㎡/月-2026/2/28之前
195.58元/㎡/月-2027/2/29之前</v>
          </cell>
          <cell r="R88" t="str">
            <v>电汇</v>
          </cell>
          <cell r="S88" t="str">
            <v>物业公司</v>
          </cell>
          <cell r="T88" t="str">
            <v>否</v>
          </cell>
        </row>
        <row r="89">
          <cell r="B89" t="str">
            <v>北京崔克自行车经销有限公司第八分公司</v>
          </cell>
          <cell r="C89" t="str">
            <v>Trek</v>
          </cell>
          <cell r="D89" t="str">
            <v>C1-1-101A</v>
          </cell>
          <cell r="E89" t="str">
            <v>正常</v>
          </cell>
          <cell r="G89">
            <v>186.56</v>
          </cell>
          <cell r="H89">
            <v>44907</v>
          </cell>
          <cell r="I89">
            <v>44969</v>
          </cell>
          <cell r="J89">
            <v>46794</v>
          </cell>
          <cell r="M89" t="str">
            <v>300元/㎡/月</v>
          </cell>
          <cell r="N89">
            <v>668684.34</v>
          </cell>
          <cell r="O89" t="str">
            <v>月</v>
          </cell>
          <cell r="P89" t="str">
            <v>300元/㎡/月-2026/2/11之前
320元/㎡/月-2027/2/11之前
360元/㎡/月-2028/2/11之前</v>
          </cell>
          <cell r="R89" t="str">
            <v>电汇</v>
          </cell>
          <cell r="S89" t="str">
            <v>物业公司</v>
          </cell>
          <cell r="T89" t="str">
            <v>否</v>
          </cell>
        </row>
        <row r="90">
          <cell r="B90" t="str">
            <v>北京艾恰餐饮服务有限公司（纯抽）</v>
          </cell>
          <cell r="C90" t="str">
            <v>M Stand</v>
          </cell>
          <cell r="D90" t="str">
            <v>B2-1-101B</v>
          </cell>
          <cell r="E90" t="str">
            <v>正常</v>
          </cell>
          <cell r="G90">
            <v>98.6</v>
          </cell>
          <cell r="H90">
            <v>44987</v>
          </cell>
          <cell r="I90">
            <v>45047</v>
          </cell>
          <cell r="J90">
            <v>46873</v>
          </cell>
          <cell r="M90" t="str">
            <v>157.5元/㎡/月</v>
          </cell>
          <cell r="N90">
            <v>0</v>
          </cell>
          <cell r="O90" t="str">
            <v>月</v>
          </cell>
          <cell r="P90" t="str">
            <v>157.5元/㎡/月-2027/4/30之前
165元/㎡/月-2028/4/30之前</v>
          </cell>
          <cell r="R90" t="str">
            <v>电汇</v>
          </cell>
          <cell r="S90" t="str">
            <v>物业公司</v>
          </cell>
          <cell r="T90" t="str">
            <v>否</v>
          </cell>
        </row>
        <row r="91">
          <cell r="B91" t="str">
            <v>拉佤餐饮管理（北京）有限公司</v>
          </cell>
          <cell r="C91" t="str">
            <v>幸福里</v>
          </cell>
          <cell r="D91" t="str">
            <v>C4-1-101A</v>
          </cell>
          <cell r="E91" t="str">
            <v>正常</v>
          </cell>
          <cell r="G91">
            <v>198</v>
          </cell>
          <cell r="H91">
            <v>44986</v>
          </cell>
          <cell r="I91">
            <v>45078</v>
          </cell>
          <cell r="J91">
            <v>46904</v>
          </cell>
          <cell r="M91" t="str">
            <v>190元/㎡/月</v>
          </cell>
          <cell r="N91">
            <v>435600</v>
          </cell>
          <cell r="O91" t="str">
            <v>月</v>
          </cell>
          <cell r="P91" t="str">
            <v>170元/㎡/月-2025/5/31之前
190元/㎡/月-2026/5/31之前
215元/㎡/月-2027/5/31之前
225元/㎡/月-2028/5/31之前</v>
          </cell>
          <cell r="R91" t="str">
            <v>电汇</v>
          </cell>
          <cell r="S91" t="str">
            <v>物业公司</v>
          </cell>
          <cell r="T91" t="str">
            <v>否</v>
          </cell>
        </row>
        <row r="92">
          <cell r="B92" t="str">
            <v>四条人（北京）餐饮有限公司</v>
          </cell>
          <cell r="C92" t="str">
            <v>唔哩家</v>
          </cell>
          <cell r="D92" t="str">
            <v>C1-1-102C,1-102C-ADD</v>
          </cell>
          <cell r="E92" t="str">
            <v>正常</v>
          </cell>
          <cell r="G92">
            <v>189.77</v>
          </cell>
          <cell r="H92">
            <v>45078</v>
          </cell>
          <cell r="I92">
            <v>45170</v>
          </cell>
          <cell r="J92">
            <v>46265</v>
          </cell>
          <cell r="M92" t="str">
            <v>160元/㎡/月</v>
          </cell>
          <cell r="N92">
            <v>373846.9</v>
          </cell>
          <cell r="O92" t="str">
            <v>月</v>
          </cell>
          <cell r="P92" t="str">
            <v>160元/㎡/月-2025/8/31之前
170元/㎡/月-2026/8/31之前</v>
          </cell>
          <cell r="R92" t="str">
            <v>电汇</v>
          </cell>
          <cell r="S92" t="str">
            <v>物业公司</v>
          </cell>
          <cell r="T92" t="str">
            <v>否</v>
          </cell>
        </row>
        <row r="93">
          <cell r="B93" t="str">
            <v>北京肯德基有限公司（纯抽）</v>
          </cell>
          <cell r="C93" t="str">
            <v>KFC</v>
          </cell>
          <cell r="D93" t="str">
            <v>D-1-112B</v>
          </cell>
          <cell r="E93" t="str">
            <v>正常</v>
          </cell>
          <cell r="G93">
            <v>328</v>
          </cell>
          <cell r="H93">
            <v>46199</v>
          </cell>
          <cell r="I93">
            <v>45103</v>
          </cell>
          <cell r="J93">
            <v>48876</v>
          </cell>
          <cell r="N93">
            <v>0</v>
          </cell>
          <cell r="O93" t="str">
            <v>月</v>
          </cell>
          <cell r="R93" t="str">
            <v>电汇</v>
          </cell>
          <cell r="S93" t="str">
            <v>物业公司</v>
          </cell>
          <cell r="T93" t="str">
            <v>否</v>
          </cell>
        </row>
        <row r="94">
          <cell r="B94" t="str">
            <v>北京必胜客比萨饼有限公司（纯抽）</v>
          </cell>
          <cell r="C94" t="str">
            <v>Pizza Hut</v>
          </cell>
          <cell r="D94" t="str">
            <v>D-1-112A</v>
          </cell>
          <cell r="E94" t="str">
            <v>正常</v>
          </cell>
          <cell r="G94">
            <v>321.2</v>
          </cell>
          <cell r="H94">
            <v>46199</v>
          </cell>
          <cell r="I94">
            <v>45103</v>
          </cell>
          <cell r="J94">
            <v>48876</v>
          </cell>
          <cell r="N94">
            <v>0</v>
          </cell>
          <cell r="O94" t="str">
            <v>月</v>
          </cell>
          <cell r="R94" t="str">
            <v>电汇</v>
          </cell>
          <cell r="S94" t="str">
            <v>物业公司</v>
          </cell>
          <cell r="T94" t="str">
            <v>否</v>
          </cell>
        </row>
        <row r="95">
          <cell r="B95" t="str">
            <v>北京盛大荷蔚金福餐饮管理有限公司</v>
          </cell>
          <cell r="C95" t="str">
            <v>陕味食族</v>
          </cell>
          <cell r="D95" t="str">
            <v>D-2-204C</v>
          </cell>
          <cell r="E95" t="str">
            <v>正常</v>
          </cell>
          <cell r="G95">
            <v>83.16</v>
          </cell>
          <cell r="H95">
            <v>45138</v>
          </cell>
          <cell r="I95">
            <v>45184</v>
          </cell>
          <cell r="J95">
            <v>46279</v>
          </cell>
          <cell r="M95" t="str">
            <v>256元/㎡/月</v>
          </cell>
          <cell r="N95">
            <v>265118.53999999998</v>
          </cell>
          <cell r="O95" t="str">
            <v>月</v>
          </cell>
          <cell r="P95" t="str">
            <v>256元/㎡/月-2025/9/14之前
281.6元/㎡/月-2026/9/14之前</v>
          </cell>
          <cell r="R95" t="str">
            <v>电汇</v>
          </cell>
          <cell r="S95" t="str">
            <v>物业公司</v>
          </cell>
          <cell r="T95" t="str">
            <v>否</v>
          </cell>
        </row>
        <row r="96">
          <cell r="B96" t="str">
            <v>北京亿鼎兴餐饮有限公司</v>
          </cell>
          <cell r="C96" t="str">
            <v>一品生煎</v>
          </cell>
          <cell r="D96" t="str">
            <v>D-2-204ADD,2-204D</v>
          </cell>
          <cell r="E96" t="str">
            <v>正常</v>
          </cell>
          <cell r="G96">
            <v>76.209999999999994</v>
          </cell>
          <cell r="H96">
            <v>45154</v>
          </cell>
          <cell r="I96">
            <v>45184</v>
          </cell>
          <cell r="J96">
            <v>46279</v>
          </cell>
          <cell r="M96" t="str">
            <v>170元/㎡/月</v>
          </cell>
          <cell r="N96">
            <v>158923.25</v>
          </cell>
          <cell r="O96" t="str">
            <v>月</v>
          </cell>
          <cell r="P96" t="str">
            <v>170元/㎡/月-2025/9/14之前
180元/㎡/月-2026/9/14之前</v>
          </cell>
          <cell r="R96" t="str">
            <v>电汇</v>
          </cell>
          <cell r="S96" t="str">
            <v>物业公司</v>
          </cell>
          <cell r="T96" t="str">
            <v>否</v>
          </cell>
        </row>
        <row r="97">
          <cell r="B97" t="str">
            <v>北京原食耀阳餐饮管理有限责任公司</v>
          </cell>
          <cell r="C97" t="str">
            <v>原食食堂</v>
          </cell>
          <cell r="D97" t="str">
            <v>C1-2-201-209,2-210-ADD,3-301-312,3-313-ADD</v>
          </cell>
          <cell r="E97" t="str">
            <v>正常</v>
          </cell>
          <cell r="G97">
            <v>1935</v>
          </cell>
          <cell r="H97">
            <v>45268</v>
          </cell>
          <cell r="I97">
            <v>45268</v>
          </cell>
          <cell r="J97">
            <v>48135</v>
          </cell>
          <cell r="M97" t="str">
            <v>37.72元/㎡/天</v>
          </cell>
          <cell r="N97">
            <v>875784</v>
          </cell>
          <cell r="O97" t="str">
            <v>月</v>
          </cell>
          <cell r="P97" t="str">
            <v>37.72元/㎡/天-2027/10/14之前
42.58元/㎡/天-2031/10/14之前</v>
          </cell>
          <cell r="R97" t="str">
            <v>电汇</v>
          </cell>
          <cell r="S97" t="str">
            <v>物业公司</v>
          </cell>
          <cell r="T97" t="str">
            <v>否</v>
          </cell>
        </row>
        <row r="98">
          <cell r="B98" t="str">
            <v>六虎家（北京）餐饮管理有限公司</v>
          </cell>
          <cell r="C98" t="str">
            <v>六虎家</v>
          </cell>
          <cell r="D98" t="str">
            <v>C1-1-102A（原104B）</v>
          </cell>
          <cell r="E98" t="str">
            <v>正常</v>
          </cell>
          <cell r="G98">
            <v>83</v>
          </cell>
          <cell r="H98">
            <v>45231</v>
          </cell>
          <cell r="I98">
            <v>45280</v>
          </cell>
          <cell r="J98">
            <v>47106</v>
          </cell>
          <cell r="M98" t="str">
            <v>180元/㎡/月</v>
          </cell>
          <cell r="N98">
            <v>180431.29</v>
          </cell>
          <cell r="O98" t="str">
            <v>月</v>
          </cell>
          <cell r="P98" t="str">
            <v>180元/㎡/月-2025/12/19之前
190元/㎡/月-2027/12/19之前
200元/㎡/月-2028/12/19之前</v>
          </cell>
          <cell r="R98" t="str">
            <v>电汇</v>
          </cell>
          <cell r="S98" t="str">
            <v>物业公司</v>
          </cell>
          <cell r="T98" t="str">
            <v>否</v>
          </cell>
        </row>
        <row r="99">
          <cell r="B99" t="str">
            <v>北京宽小煲石钢餐饮有限公司-2.28解约</v>
          </cell>
          <cell r="C99" t="str">
            <v>宽小煲</v>
          </cell>
          <cell r="D99" t="str">
            <v>D-3-304B（原306）</v>
          </cell>
          <cell r="E99" t="str">
            <v>正常</v>
          </cell>
          <cell r="G99">
            <v>208.26</v>
          </cell>
          <cell r="H99">
            <v>45174</v>
          </cell>
          <cell r="I99">
            <v>45235</v>
          </cell>
          <cell r="J99">
            <v>45716</v>
          </cell>
          <cell r="M99" t="str">
            <v>185.5元/㎡/月</v>
          </cell>
          <cell r="N99">
            <v>0</v>
          </cell>
          <cell r="O99" t="str">
            <v>月</v>
          </cell>
          <cell r="R99" t="str">
            <v>电汇</v>
          </cell>
          <cell r="S99" t="str">
            <v>物业公司</v>
          </cell>
          <cell r="T99" t="str">
            <v>否</v>
          </cell>
        </row>
        <row r="100">
          <cell r="B100" t="str">
            <v>三合汇彩（北京）餐饮服务有限责任公司</v>
          </cell>
          <cell r="C100" t="str">
            <v>乐趣小炉子</v>
          </cell>
          <cell r="D100" t="str">
            <v>C4-1-103A（原101）</v>
          </cell>
          <cell r="E100" t="str">
            <v>正常</v>
          </cell>
          <cell r="G100">
            <v>233.79</v>
          </cell>
          <cell r="H100">
            <v>45194</v>
          </cell>
          <cell r="I100">
            <v>45255</v>
          </cell>
          <cell r="J100">
            <v>47081</v>
          </cell>
          <cell r="M100" t="str">
            <v>212元/㎡/月</v>
          </cell>
          <cell r="N100">
            <v>601304.14</v>
          </cell>
          <cell r="O100" t="str">
            <v>月</v>
          </cell>
          <cell r="P100" t="str">
            <v>212元/㎡/月-2025/11/24之前
224.72元/㎡/月-2026/11/24之前
238.2元/㎡/月-2027/11/24之前
252.5元/㎡/月-2028/11/24之前</v>
          </cell>
          <cell r="R100" t="str">
            <v>电汇</v>
          </cell>
          <cell r="S100" t="str">
            <v>物业公司</v>
          </cell>
          <cell r="T100" t="str">
            <v>否</v>
          </cell>
        </row>
        <row r="101">
          <cell r="B101" t="str">
            <v>拾捌（北京）餐饮服务有限责任公司</v>
          </cell>
          <cell r="C101" t="str">
            <v>沅酒吧</v>
          </cell>
          <cell r="D101" t="str">
            <v>C4-1-101B（原104B）</v>
          </cell>
          <cell r="E101" t="str">
            <v>正常</v>
          </cell>
          <cell r="G101">
            <v>110.64</v>
          </cell>
          <cell r="H101">
            <v>45268</v>
          </cell>
          <cell r="I101">
            <v>45314</v>
          </cell>
          <cell r="J101">
            <v>46409</v>
          </cell>
          <cell r="M101" t="str">
            <v>140元/㎡/月</v>
          </cell>
          <cell r="N101">
            <v>197313.64</v>
          </cell>
          <cell r="O101" t="str">
            <v>月</v>
          </cell>
          <cell r="P101" t="str">
            <v>140元/㎡/月-2025/1/22之前
148.4元/㎡/月-2026/1/22之前
157.30元/㎡/月-2027/1/22之前</v>
          </cell>
          <cell r="R101" t="str">
            <v>电汇</v>
          </cell>
          <cell r="S101" t="str">
            <v>物业公司</v>
          </cell>
          <cell r="T101" t="str">
            <v>否</v>
          </cell>
        </row>
        <row r="102">
          <cell r="B102" t="str">
            <v>北京合德顺餐饮管理有限公司</v>
          </cell>
          <cell r="C102" t="str">
            <v>果然居</v>
          </cell>
          <cell r="D102" t="str">
            <v>C3-1-101,1-102,1-103,2-201,3-301,3-C3-ADD</v>
          </cell>
          <cell r="E102" t="str">
            <v>正常</v>
          </cell>
          <cell r="G102">
            <v>2068.23</v>
          </cell>
          <cell r="H102">
            <v>45380</v>
          </cell>
          <cell r="I102">
            <v>45597</v>
          </cell>
          <cell r="J102">
            <v>48971</v>
          </cell>
          <cell r="M102" t="str">
            <v>60元/㎡/月</v>
          </cell>
          <cell r="N102">
            <v>868651</v>
          </cell>
          <cell r="O102" t="str">
            <v>月</v>
          </cell>
          <cell r="P102" t="str">
            <v>60元/㎡/月-2026/10/31之前
70元/㎡/月-2028/10/31之前
73.5元/㎡/月-2030/10/31之前
77元/㎡/月-2032/10/31之前
80元/㎡/月-2034/1/24之前</v>
          </cell>
          <cell r="R102" t="str">
            <v>电汇</v>
          </cell>
          <cell r="S102" t="str">
            <v>物业公司</v>
          </cell>
          <cell r="T102" t="str">
            <v>否</v>
          </cell>
        </row>
        <row r="103">
          <cell r="B103" t="str">
            <v>北京新世纪青年餐饮管理有限公司</v>
          </cell>
          <cell r="C103" t="str">
            <v>徽苑</v>
          </cell>
          <cell r="D103" t="str">
            <v>B4-1-101,2-201</v>
          </cell>
          <cell r="E103" t="str">
            <v>正常</v>
          </cell>
          <cell r="G103">
            <v>1071.67</v>
          </cell>
          <cell r="H103">
            <v>45189</v>
          </cell>
          <cell r="I103">
            <v>45627</v>
          </cell>
          <cell r="J103">
            <v>48963</v>
          </cell>
          <cell r="M103" t="str">
            <v>60元/㎡/月</v>
          </cell>
          <cell r="N103">
            <v>450101.4</v>
          </cell>
          <cell r="O103" t="str">
            <v>月</v>
          </cell>
          <cell r="P103" t="str">
            <v>60元/㎡/月-2027/1/19之前
65元/㎡/月-2029/1/19之前
70元/㎡/月-2031/1/19之前
75元/㎡/月-2033/1/19之前
80元/㎡/月-2034/1/19之前</v>
          </cell>
          <cell r="R103" t="str">
            <v>电汇</v>
          </cell>
          <cell r="S103" t="str">
            <v>物业公司</v>
          </cell>
          <cell r="T103" t="str">
            <v>否</v>
          </cell>
        </row>
        <row r="104">
          <cell r="B104" t="str">
            <v>北京新世纪青年餐饮管理有限公司</v>
          </cell>
          <cell r="C104" t="str">
            <v>青年星厨</v>
          </cell>
          <cell r="D104" t="str">
            <v>B3-1-101,2-201</v>
          </cell>
          <cell r="E104" t="str">
            <v>正常</v>
          </cell>
          <cell r="G104">
            <v>929.78</v>
          </cell>
          <cell r="H104">
            <v>45189</v>
          </cell>
          <cell r="I104">
            <v>45383</v>
          </cell>
          <cell r="J104">
            <v>48963</v>
          </cell>
          <cell r="M104" t="str">
            <v>60元/㎡/月</v>
          </cell>
          <cell r="N104">
            <v>502081.2</v>
          </cell>
          <cell r="O104" t="str">
            <v>月</v>
          </cell>
          <cell r="P104" t="str">
            <v>60元/㎡/月-2027/1/19之前
65元/㎡/月-2029/1/19之前
70元/㎡/月-2031/1/19之前
75元/㎡/月-2033/1/19之前
80元/㎡/月-2034/1/19之前</v>
          </cell>
          <cell r="R104" t="str">
            <v>电汇</v>
          </cell>
          <cell r="S104" t="str">
            <v>物业公司</v>
          </cell>
          <cell r="T104" t="str">
            <v>否</v>
          </cell>
        </row>
        <row r="105">
          <cell r="B105" t="str">
            <v>北京伍合商贸有限公司</v>
          </cell>
          <cell r="C105" t="str">
            <v>Family Mart</v>
          </cell>
          <cell r="D105" t="str">
            <v>B2-1-102A</v>
          </cell>
          <cell r="E105" t="str">
            <v>正常</v>
          </cell>
          <cell r="G105">
            <v>108.47</v>
          </cell>
          <cell r="H105">
            <v>45261</v>
          </cell>
          <cell r="I105">
            <v>45323</v>
          </cell>
          <cell r="J105">
            <v>47149</v>
          </cell>
          <cell r="M105" t="str">
            <v>95.4元/㎡/月</v>
          </cell>
          <cell r="N105">
            <v>124176.48</v>
          </cell>
          <cell r="O105" t="str">
            <v>月</v>
          </cell>
          <cell r="P105" t="str">
            <v>95.4元/㎡/月-2026/1/31之前
101.12元/㎡/月-2027/1/31之前
107.19元/㎡/月-2028/1/31之前
113.62元/㎡/月-2029/1/31之前</v>
          </cell>
          <cell r="R105" t="str">
            <v>电汇</v>
          </cell>
          <cell r="S105" t="str">
            <v>物业公司</v>
          </cell>
          <cell r="T105" t="str">
            <v>否</v>
          </cell>
        </row>
        <row r="106">
          <cell r="B106" t="str">
            <v>新森林五福茶寿（北京）文化科技有限公司</v>
          </cell>
          <cell r="C106" t="str">
            <v>大荒茶叙</v>
          </cell>
          <cell r="D106" t="str">
            <v>B2-1-102C</v>
          </cell>
          <cell r="E106" t="str">
            <v>正常</v>
          </cell>
          <cell r="G106">
            <v>149.96</v>
          </cell>
          <cell r="H106">
            <v>45278</v>
          </cell>
          <cell r="I106">
            <v>45323</v>
          </cell>
          <cell r="J106">
            <v>46418</v>
          </cell>
          <cell r="M106" t="str">
            <v>162元/㎡/月</v>
          </cell>
          <cell r="N106">
            <v>291522.24</v>
          </cell>
          <cell r="O106" t="str">
            <v>月</v>
          </cell>
          <cell r="P106" t="str">
            <v>162元/㎡/月-2026/1/31之前
172元/㎡/月-2027/1/31之前</v>
          </cell>
          <cell r="R106" t="str">
            <v>电汇</v>
          </cell>
          <cell r="S106" t="str">
            <v>物业公司</v>
          </cell>
          <cell r="T106" t="str">
            <v>否</v>
          </cell>
        </row>
        <row r="107">
          <cell r="B107" t="str">
            <v>北京豫食园餐饮有限公司-贾闯</v>
          </cell>
          <cell r="C107" t="str">
            <v>柯记豫厨-豫膳坊</v>
          </cell>
          <cell r="D107" t="str">
            <v>D-2-105-2F,1-105C</v>
          </cell>
          <cell r="E107" t="str">
            <v>正常</v>
          </cell>
          <cell r="G107">
            <v>434.9</v>
          </cell>
          <cell r="H107">
            <v>45261</v>
          </cell>
          <cell r="I107">
            <v>45427</v>
          </cell>
          <cell r="J107">
            <v>47252</v>
          </cell>
          <cell r="M107" t="str">
            <v>106元/㎡/月</v>
          </cell>
          <cell r="N107">
            <v>544186.17000000004</v>
          </cell>
          <cell r="O107" t="str">
            <v>月</v>
          </cell>
          <cell r="P107" t="str">
            <v>106元/㎡/月-2026/5/14之前
112元/㎡/月-2027/5/14之前
118元/㎡/月-2028/5/14之前
125元/㎡/月-2029/5/14之前</v>
          </cell>
          <cell r="R107" t="str">
            <v>电汇</v>
          </cell>
          <cell r="S107" t="str">
            <v>物业公司</v>
          </cell>
          <cell r="T107" t="str">
            <v>否</v>
          </cell>
        </row>
        <row r="108">
          <cell r="B108" t="str">
            <v>北京露营风尚文化有限责任公司</v>
          </cell>
          <cell r="C108" t="str">
            <v>伯希和</v>
          </cell>
          <cell r="D108" t="str">
            <v>D-1-104A-1F</v>
          </cell>
          <cell r="E108" t="str">
            <v>正常</v>
          </cell>
          <cell r="G108">
            <v>348.57</v>
          </cell>
          <cell r="H108">
            <v>45317</v>
          </cell>
          <cell r="I108">
            <v>45402</v>
          </cell>
          <cell r="J108">
            <v>47227</v>
          </cell>
          <cell r="N108">
            <v>0</v>
          </cell>
          <cell r="O108" t="str">
            <v>月</v>
          </cell>
          <cell r="R108" t="str">
            <v>电汇</v>
          </cell>
          <cell r="S108" t="str">
            <v>物业公司</v>
          </cell>
          <cell r="T108" t="str">
            <v>否</v>
          </cell>
        </row>
        <row r="109">
          <cell r="B109" t="str">
            <v>北京麦达人餐饮管理有限公司</v>
          </cell>
          <cell r="C109" t="str">
            <v>原麦山丘</v>
          </cell>
          <cell r="D109" t="str">
            <v>D-1-109A1（原105）</v>
          </cell>
          <cell r="E109" t="str">
            <v>正常</v>
          </cell>
          <cell r="G109">
            <v>120.39</v>
          </cell>
          <cell r="H109">
            <v>45356</v>
          </cell>
          <cell r="I109">
            <v>45413</v>
          </cell>
          <cell r="J109">
            <v>46873</v>
          </cell>
          <cell r="M109" t="str">
            <v>143.1元/㎡/月</v>
          </cell>
          <cell r="N109">
            <v>203808.24</v>
          </cell>
          <cell r="O109" t="str">
            <v>月</v>
          </cell>
          <cell r="P109" t="str">
            <v>143.10元/㎡/月-2026/4/30之前
151.69元/㎡/月-2027/4/30之前
160.79元/㎡/月-2028/4/30之前</v>
          </cell>
          <cell r="R109" t="str">
            <v>电汇</v>
          </cell>
          <cell r="S109" t="str">
            <v>物业公司</v>
          </cell>
          <cell r="T109" t="str">
            <v>否</v>
          </cell>
        </row>
        <row r="110">
          <cell r="B110" t="str">
            <v>北京印象视界传媒有限公司</v>
          </cell>
          <cell r="C110" t="str">
            <v>健康少年</v>
          </cell>
          <cell r="D110" t="str">
            <v>D-3-301A（原309）,3-301B</v>
          </cell>
          <cell r="E110" t="str">
            <v>正常</v>
          </cell>
          <cell r="G110">
            <v>1434.07</v>
          </cell>
          <cell r="H110">
            <v>44986</v>
          </cell>
          <cell r="I110">
            <v>45108</v>
          </cell>
          <cell r="J110">
            <v>46703</v>
          </cell>
          <cell r="N110">
            <v>706996.56</v>
          </cell>
          <cell r="O110" t="str">
            <v>月</v>
          </cell>
          <cell r="R110" t="str">
            <v>电汇</v>
          </cell>
          <cell r="S110" t="str">
            <v>物业公司</v>
          </cell>
          <cell r="T110" t="str">
            <v>否</v>
          </cell>
        </row>
        <row r="111">
          <cell r="B111" t="str">
            <v>北京森德伊特体育文化有限公司</v>
          </cell>
          <cell r="C111" t="str">
            <v>Climb On</v>
          </cell>
          <cell r="D111" t="str">
            <v>D-1-101A,1-101B</v>
          </cell>
          <cell r="E111" t="str">
            <v>正常</v>
          </cell>
          <cell r="G111">
            <v>329.59</v>
          </cell>
          <cell r="H111">
            <v>45349</v>
          </cell>
          <cell r="I111">
            <v>45440</v>
          </cell>
          <cell r="J111">
            <v>47265</v>
          </cell>
          <cell r="N111">
            <v>0</v>
          </cell>
          <cell r="O111" t="str">
            <v>月</v>
          </cell>
          <cell r="R111" t="str">
            <v>电汇</v>
          </cell>
          <cell r="S111" t="str">
            <v>物业公司</v>
          </cell>
          <cell r="T111" t="str">
            <v>否</v>
          </cell>
        </row>
        <row r="112">
          <cell r="B112" t="str">
            <v>北京麦丰影业有限公司 （原苗永杰）</v>
          </cell>
          <cell r="C112" t="str">
            <v>保利影城</v>
          </cell>
          <cell r="D112" t="str">
            <v>E3-1-101,2-201,2-202,3-301,3-302</v>
          </cell>
          <cell r="E112" t="str">
            <v>正常</v>
          </cell>
          <cell r="G112">
            <v>2450</v>
          </cell>
          <cell r="H112">
            <v>45454</v>
          </cell>
          <cell r="I112">
            <v>45658</v>
          </cell>
          <cell r="J112">
            <v>51104</v>
          </cell>
          <cell r="N112">
            <v>416666.64</v>
          </cell>
          <cell r="O112" t="str">
            <v>月</v>
          </cell>
          <cell r="R112" t="str">
            <v>电汇</v>
          </cell>
          <cell r="S112" t="str">
            <v>物业公司</v>
          </cell>
          <cell r="T112" t="str">
            <v>否</v>
          </cell>
        </row>
        <row r="113">
          <cell r="B113" t="str">
            <v>北京玛琳柠檬体育文化发展有限公司</v>
          </cell>
          <cell r="C113" t="str">
            <v>玛琳柠檬</v>
          </cell>
          <cell r="D113" t="str">
            <v>D-3-306（原301）</v>
          </cell>
          <cell r="E113" t="str">
            <v>正常</v>
          </cell>
          <cell r="G113">
            <v>620.53</v>
          </cell>
          <cell r="H113">
            <v>44620</v>
          </cell>
          <cell r="I113">
            <v>44730</v>
          </cell>
          <cell r="J113">
            <v>46921</v>
          </cell>
          <cell r="M113" t="str">
            <v>65元/㎡/月</v>
          </cell>
          <cell r="N113">
            <v>484013.4</v>
          </cell>
          <cell r="O113" t="str">
            <v>月</v>
          </cell>
          <cell r="P113" t="str">
            <v>65元/㎡/月-2026/5/31之前
68.9元/㎡/月-2028/6/17之前</v>
          </cell>
          <cell r="R113" t="str">
            <v>电汇</v>
          </cell>
          <cell r="S113" t="str">
            <v>物业公司</v>
          </cell>
          <cell r="T113" t="str">
            <v>否</v>
          </cell>
        </row>
        <row r="114">
          <cell r="B114" t="str">
            <v>北京俊利餐饮管理有限公司</v>
          </cell>
          <cell r="C114" t="str">
            <v>霸王茶姬</v>
          </cell>
          <cell r="D114" t="str">
            <v>D-1-106B</v>
          </cell>
          <cell r="E114" t="str">
            <v>正常</v>
          </cell>
          <cell r="G114">
            <v>130.74</v>
          </cell>
          <cell r="H114">
            <v>45419</v>
          </cell>
          <cell r="I114">
            <v>45464</v>
          </cell>
          <cell r="J114">
            <v>46558</v>
          </cell>
          <cell r="M114" t="str">
            <v>100元/㎡/月</v>
          </cell>
          <cell r="N114">
            <v>162640.56</v>
          </cell>
          <cell r="O114" t="str">
            <v>月</v>
          </cell>
          <cell r="P114" t="str">
            <v>106元/㎡/月-2026/6/20之前
112.36元/㎡/月-2027/6/20之前</v>
          </cell>
          <cell r="R114" t="str">
            <v>电汇</v>
          </cell>
          <cell r="S114" t="str">
            <v>物业公司</v>
          </cell>
          <cell r="T114" t="str">
            <v>否</v>
          </cell>
        </row>
        <row r="115">
          <cell r="B115" t="str">
            <v>北京湘采隐小厨餐饮有限公司（原北京凯顺达餐饮有限公司）</v>
          </cell>
          <cell r="C115" t="str">
            <v>隐小厨</v>
          </cell>
          <cell r="D115" t="str">
            <v>D-4-413</v>
          </cell>
          <cell r="E115" t="str">
            <v>正常</v>
          </cell>
          <cell r="G115">
            <v>426.71</v>
          </cell>
          <cell r="H115">
            <v>45490</v>
          </cell>
          <cell r="I115">
            <v>45595</v>
          </cell>
          <cell r="J115">
            <v>47420</v>
          </cell>
          <cell r="M115" t="str">
            <v>110元/㎡/月</v>
          </cell>
          <cell r="N115">
            <v>476573.15</v>
          </cell>
          <cell r="O115" t="str">
            <v>月</v>
          </cell>
          <cell r="P115" t="str">
            <v>110元/㎡/月-2025/10/29之前
115.50元/㎡/月-2026/10/29之前
121.28元/㎡/月-2027/10/29之前
127.34元/㎡/月-2028/10/29之前
133.71元/㎡/月-2029/10/29之前</v>
          </cell>
          <cell r="R115" t="str">
            <v>电汇</v>
          </cell>
          <cell r="S115" t="str">
            <v>物业公司</v>
          </cell>
          <cell r="T115" t="str">
            <v>否</v>
          </cell>
        </row>
        <row r="116">
          <cell r="B116" t="str">
            <v>北京荣盛祥瑞新能源汽车销售服务有限公司</v>
          </cell>
          <cell r="C116" t="str">
            <v>零跑</v>
          </cell>
          <cell r="D116" t="str">
            <v>D-1-105A（原109）</v>
          </cell>
          <cell r="E116" t="str">
            <v>正常</v>
          </cell>
          <cell r="G116">
            <v>202.68</v>
          </cell>
          <cell r="H116">
            <v>45461</v>
          </cell>
          <cell r="I116">
            <v>45461</v>
          </cell>
          <cell r="J116">
            <v>46203</v>
          </cell>
          <cell r="M116" t="str">
            <v>251.50元/㎡/月</v>
          </cell>
          <cell r="N116">
            <v>591788.43999999994</v>
          </cell>
          <cell r="O116" t="str">
            <v>月</v>
          </cell>
          <cell r="R116" t="str">
            <v>电汇</v>
          </cell>
          <cell r="S116" t="str">
            <v>物业公司</v>
          </cell>
          <cell r="T116" t="str">
            <v>否</v>
          </cell>
        </row>
        <row r="117">
          <cell r="B117" t="str">
            <v>北京首钢实业集团有限公司总部管理服务分公司</v>
          </cell>
          <cell r="C117" t="str">
            <v>首钢实业美好生活</v>
          </cell>
          <cell r="D117" t="str">
            <v>E3-1-102A（原101）</v>
          </cell>
          <cell r="E117" t="str">
            <v>正常</v>
          </cell>
          <cell r="G117">
            <v>356.32</v>
          </cell>
          <cell r="H117">
            <v>45505</v>
          </cell>
          <cell r="I117">
            <v>45566</v>
          </cell>
          <cell r="J117">
            <v>46660</v>
          </cell>
          <cell r="M117" t="str">
            <v>152.08元/㎡/月</v>
          </cell>
          <cell r="N117">
            <v>667615.43999999994</v>
          </cell>
          <cell r="O117" t="str">
            <v>月</v>
          </cell>
          <cell r="P117" t="str">
            <v>152.08元/㎡/月-2025/9/30之前
164.25元/㎡/月-2026/9/30之前
177.39元/㎡/月-2027/9/30之前</v>
          </cell>
          <cell r="R117" t="str">
            <v>电汇</v>
          </cell>
          <cell r="S117" t="str">
            <v>物业公司</v>
          </cell>
          <cell r="T117" t="str">
            <v>是</v>
          </cell>
        </row>
        <row r="118">
          <cell r="B118" t="str">
            <v>北京茵赫餐饮管理有限公司</v>
          </cell>
          <cell r="C118" t="str">
            <v>MANNER</v>
          </cell>
          <cell r="D118" t="str">
            <v>C1-1-102B（原104A）</v>
          </cell>
          <cell r="E118" t="str">
            <v>正常</v>
          </cell>
          <cell r="G118">
            <v>125.59</v>
          </cell>
          <cell r="H118">
            <v>45505</v>
          </cell>
          <cell r="I118">
            <v>45549</v>
          </cell>
          <cell r="J118">
            <v>47374</v>
          </cell>
          <cell r="M118" t="str">
            <v>200元/㎡/月</v>
          </cell>
          <cell r="N118">
            <v>308298.34000000003</v>
          </cell>
          <cell r="O118" t="str">
            <v>月</v>
          </cell>
          <cell r="P118" t="str">
            <v>200元/㎡/月-2025/9/13之前
212元/㎡/月-2026/9/13之前
224.72元/㎡/月-2026/9/13之前
238.2元/㎡/月-2028/9/13之前
252.5元/㎡/月-2034/1/19之前</v>
          </cell>
          <cell r="R118" t="str">
            <v>电汇</v>
          </cell>
          <cell r="S118" t="str">
            <v>物业公司</v>
          </cell>
          <cell r="T118" t="str">
            <v>否</v>
          </cell>
        </row>
        <row r="119">
          <cell r="B119" t="str">
            <v>北京六工餐饮有限公司</v>
          </cell>
          <cell r="C119" t="str">
            <v>野人先生</v>
          </cell>
          <cell r="D119" t="str">
            <v>D-1-109A2（原105）</v>
          </cell>
          <cell r="E119" t="str">
            <v>正常</v>
          </cell>
          <cell r="G119">
            <v>91.5</v>
          </cell>
          <cell r="H119">
            <v>45534</v>
          </cell>
          <cell r="I119">
            <v>45566</v>
          </cell>
          <cell r="J119">
            <v>46660</v>
          </cell>
          <cell r="M119" t="str">
            <v>220元/㎡/月</v>
          </cell>
          <cell r="N119">
            <v>247050</v>
          </cell>
          <cell r="O119" t="str">
            <v>月</v>
          </cell>
          <cell r="P119" t="str">
            <v>220元/㎡/月-2025/9/30之前
235元/㎡/月-2026/9/30之前
250元/㎡/月-2027/9/30之前</v>
          </cell>
          <cell r="R119" t="str">
            <v>电汇</v>
          </cell>
          <cell r="S119" t="str">
            <v>物业公司</v>
          </cell>
          <cell r="T119" t="str">
            <v>否</v>
          </cell>
        </row>
        <row r="120">
          <cell r="B120" t="str">
            <v>北京广圣体育有限公司</v>
          </cell>
          <cell r="C120" t="str">
            <v>allstar</v>
          </cell>
          <cell r="D120" t="str">
            <v>D-2-201</v>
          </cell>
          <cell r="E120" t="str">
            <v>正常</v>
          </cell>
          <cell r="G120">
            <v>695.87</v>
          </cell>
          <cell r="H120">
            <v>45537</v>
          </cell>
          <cell r="I120">
            <v>45598</v>
          </cell>
          <cell r="J120">
            <v>46692</v>
          </cell>
          <cell r="M120" t="str">
            <v>12元/㎡/月</v>
          </cell>
          <cell r="N120">
            <v>87271.08</v>
          </cell>
          <cell r="O120" t="str">
            <v>月</v>
          </cell>
          <cell r="P120" t="str">
            <v>12元/㎡/月-2025/11/1之前
18元/㎡/月-2026/11/1之前
45元/㎡/月-2027/11/1之前</v>
          </cell>
          <cell r="R120" t="str">
            <v>电汇</v>
          </cell>
          <cell r="S120" t="str">
            <v>物业公司</v>
          </cell>
          <cell r="T120" t="str">
            <v>否</v>
          </cell>
        </row>
        <row r="121">
          <cell r="B121" t="str">
            <v>宫宇</v>
          </cell>
          <cell r="C121" t="str">
            <v>Linlee</v>
          </cell>
          <cell r="D121" t="str">
            <v>D-2-D1-2F-D02</v>
          </cell>
          <cell r="E121" t="str">
            <v>正常</v>
          </cell>
          <cell r="G121">
            <v>16</v>
          </cell>
          <cell r="H121">
            <v>45535</v>
          </cell>
          <cell r="I121">
            <v>45566</v>
          </cell>
          <cell r="J121">
            <v>46295</v>
          </cell>
          <cell r="M121" t="str">
            <v>405元/㎡/月</v>
          </cell>
          <cell r="N121">
            <v>78720</v>
          </cell>
          <cell r="O121" t="str">
            <v>月</v>
          </cell>
          <cell r="P121" t="str">
            <v>405元/㎡/月-2025/9/30之前
420元/㎡/月-2026/9/30之前</v>
          </cell>
          <cell r="R121" t="str">
            <v>电汇</v>
          </cell>
          <cell r="S121" t="str">
            <v>物业公司</v>
          </cell>
          <cell r="T121" t="str">
            <v>否</v>
          </cell>
        </row>
        <row r="122">
          <cell r="B122" t="str">
            <v>北京童足健步康复科技有限公司</v>
          </cell>
          <cell r="C122" t="str">
            <v>童足健步</v>
          </cell>
          <cell r="D122" t="str">
            <v>D-3-302A</v>
          </cell>
          <cell r="E122" t="str">
            <v>正常</v>
          </cell>
          <cell r="G122">
            <v>202.04</v>
          </cell>
          <cell r="H122">
            <v>45474</v>
          </cell>
          <cell r="I122">
            <v>45533</v>
          </cell>
          <cell r="J122">
            <v>45838</v>
          </cell>
          <cell r="M122" t="str">
            <v>120元/㎡/月</v>
          </cell>
          <cell r="N122">
            <v>121224</v>
          </cell>
          <cell r="O122" t="str">
            <v>月</v>
          </cell>
          <cell r="R122" t="str">
            <v>电汇</v>
          </cell>
          <cell r="S122" t="str">
            <v>物业公司</v>
          </cell>
          <cell r="T122" t="str">
            <v>否</v>
          </cell>
        </row>
        <row r="123">
          <cell r="B123" t="str">
            <v>北京云森小筑商贸有限公司</v>
          </cell>
          <cell r="C123" t="str">
            <v>清筑自然</v>
          </cell>
          <cell r="D123" t="str">
            <v>D-2-203</v>
          </cell>
          <cell r="E123" t="str">
            <v>正常</v>
          </cell>
          <cell r="G123">
            <v>60.1</v>
          </cell>
          <cell r="H123">
            <v>45574</v>
          </cell>
          <cell r="I123">
            <v>45618</v>
          </cell>
          <cell r="J123">
            <v>46347</v>
          </cell>
          <cell r="M123" t="str">
            <v>130元/㎡/月</v>
          </cell>
          <cell r="N123">
            <v>52162.92</v>
          </cell>
          <cell r="O123" t="str">
            <v>月</v>
          </cell>
          <cell r="P123" t="str">
            <v>130元/㎡/月-2025/11/21之前
150元/㎡/月-2026/11/21之前</v>
          </cell>
          <cell r="R123" t="str">
            <v>电汇</v>
          </cell>
          <cell r="S123" t="str">
            <v>物业公司</v>
          </cell>
          <cell r="T123" t="str">
            <v>否</v>
          </cell>
        </row>
        <row r="124">
          <cell r="B124" t="str">
            <v>鱼丰（北京）餐饮管理有限公司</v>
          </cell>
          <cell r="C124" t="str">
            <v>鱼丰·胶东小海鲜</v>
          </cell>
          <cell r="D124" t="str">
            <v>C4-1-103B,1-103C</v>
          </cell>
          <cell r="E124" t="str">
            <v>正常</v>
          </cell>
          <cell r="G124">
            <v>298.91000000000003</v>
          </cell>
          <cell r="H124">
            <v>45607</v>
          </cell>
          <cell r="I124">
            <v>45669</v>
          </cell>
          <cell r="J124">
            <v>47129</v>
          </cell>
          <cell r="M124" t="str">
            <v>160元/㎡/月</v>
          </cell>
          <cell r="N124">
            <v>575141.4</v>
          </cell>
          <cell r="O124" t="str">
            <v>月</v>
          </cell>
          <cell r="P124" t="str">
            <v>160元/㎡/月-2026/1/11之前
166.4元/㎡/月-2027/1/11之前
173.06元/㎡/月-2028/1/11之前
179.68元/㎡/月-2029/1/11之前</v>
          </cell>
          <cell r="R124" t="str">
            <v>电汇</v>
          </cell>
          <cell r="S124" t="str">
            <v>物业公司</v>
          </cell>
          <cell r="T124" t="str">
            <v>否</v>
          </cell>
        </row>
        <row r="125">
          <cell r="B125" t="str">
            <v>北京创世飞翔科技有限公司</v>
          </cell>
          <cell r="C125" t="str">
            <v>大疆</v>
          </cell>
          <cell r="D125" t="str">
            <v>B2-1-101C</v>
          </cell>
          <cell r="E125" t="str">
            <v>正常</v>
          </cell>
          <cell r="G125">
            <v>91.07</v>
          </cell>
          <cell r="H125">
            <v>45669</v>
          </cell>
          <cell r="I125">
            <v>45729</v>
          </cell>
          <cell r="J125">
            <v>46458</v>
          </cell>
          <cell r="M125" t="str">
            <v>200元/㎡/月</v>
          </cell>
          <cell r="N125">
            <v>182140</v>
          </cell>
          <cell r="O125" t="str">
            <v>月</v>
          </cell>
          <cell r="P125" t="str">
            <v>200元/㎡/月-2026/3/12之前
212元/㎡/月-2027/3/12之前</v>
          </cell>
          <cell r="R125" t="str">
            <v>电汇</v>
          </cell>
          <cell r="S125" t="str">
            <v>物业公司</v>
          </cell>
          <cell r="T125" t="str">
            <v>否</v>
          </cell>
        </row>
        <row r="126">
          <cell r="B126" t="str">
            <v>中青旅新域（北京）旅游有限公司</v>
          </cell>
          <cell r="C126" t="str">
            <v>中青旅遨游旅行社</v>
          </cell>
          <cell r="D126" t="str">
            <v>D-4-D1-4F-D04</v>
          </cell>
          <cell r="E126" t="str">
            <v>正常</v>
          </cell>
          <cell r="G126">
            <v>45.1</v>
          </cell>
          <cell r="H126">
            <v>45674</v>
          </cell>
          <cell r="I126">
            <v>45704</v>
          </cell>
          <cell r="J126">
            <v>46068</v>
          </cell>
          <cell r="M126" t="str">
            <v>170元/㎡/月</v>
          </cell>
          <cell r="N126">
            <v>87896.68</v>
          </cell>
          <cell r="O126" t="str">
            <v>月</v>
          </cell>
          <cell r="R126" t="str">
            <v>电汇</v>
          </cell>
          <cell r="S126" t="str">
            <v>物业公司</v>
          </cell>
          <cell r="T126" t="str">
            <v>否</v>
          </cell>
        </row>
        <row r="127">
          <cell r="B127" t="str">
            <v>北京柒碗茶餐饮管理有限公司</v>
          </cell>
          <cell r="C127" t="str">
            <v>柒碗茶</v>
          </cell>
          <cell r="D127" t="str">
            <v>B2-1-101A</v>
          </cell>
          <cell r="E127" t="str">
            <v>正常</v>
          </cell>
          <cell r="G127">
            <v>213.84</v>
          </cell>
          <cell r="H127">
            <v>45723</v>
          </cell>
          <cell r="I127">
            <v>45768</v>
          </cell>
          <cell r="J127">
            <v>46863</v>
          </cell>
          <cell r="M127" t="str">
            <v>170元/㎡/月</v>
          </cell>
          <cell r="N127">
            <v>303721.78000000003</v>
          </cell>
          <cell r="O127" t="str">
            <v>月</v>
          </cell>
          <cell r="P127" t="str">
            <v>170元/㎡/月-2026/4/20之前
180.2元/㎡/月-2027/4/20之前
191.01元/㎡/月-2028/4/20之前</v>
          </cell>
          <cell r="R127" t="str">
            <v>电汇</v>
          </cell>
          <cell r="S127" t="str">
            <v>物业公司</v>
          </cell>
          <cell r="T127" t="str">
            <v>否</v>
          </cell>
        </row>
        <row r="128">
          <cell r="B128" t="str">
            <v>北京红石瑞升餐饮有限公司</v>
          </cell>
          <cell r="C128" t="str">
            <v>红石和风</v>
          </cell>
          <cell r="D128" t="str">
            <v>B7-1-101</v>
          </cell>
          <cell r="E128" t="str">
            <v>正常</v>
          </cell>
          <cell r="G128">
            <v>525.12</v>
          </cell>
          <cell r="H128">
            <v>45698</v>
          </cell>
          <cell r="I128">
            <v>45788</v>
          </cell>
          <cell r="J128">
            <v>47613</v>
          </cell>
          <cell r="M128" t="str">
            <v>132元/㎡/月</v>
          </cell>
          <cell r="N128">
            <v>393535.09</v>
          </cell>
          <cell r="O128" t="str">
            <v>月</v>
          </cell>
          <cell r="P128" t="str">
            <v>132元/㎡/月-2027/5/10之前
138.6元/㎡/月-2029/5/10之前
145.53元/㎡/月-2030/5/10之前</v>
          </cell>
          <cell r="R128" t="str">
            <v>电汇</v>
          </cell>
          <cell r="S128" t="str">
            <v>物业公司</v>
          </cell>
          <cell r="T128" t="str">
            <v>否</v>
          </cell>
        </row>
        <row r="129">
          <cell r="B129" t="str">
            <v>北京绝对餐饮有限公司</v>
          </cell>
          <cell r="C129" t="str">
            <v>江北北</v>
          </cell>
          <cell r="D129" t="str">
            <v>D-2-206A</v>
          </cell>
          <cell r="E129" t="str">
            <v>正常</v>
          </cell>
          <cell r="G129">
            <v>464.9</v>
          </cell>
          <cell r="H129">
            <v>45719</v>
          </cell>
          <cell r="I129">
            <v>45807</v>
          </cell>
          <cell r="J129">
            <v>47267</v>
          </cell>
          <cell r="M129" t="str">
            <v>90元/㎡/月</v>
          </cell>
          <cell r="N129">
            <v>211904.42</v>
          </cell>
          <cell r="O129" t="str">
            <v>月</v>
          </cell>
          <cell r="P129" t="str">
            <v>90元/㎡/月-2026/5/29之前
95元/㎡/月-2028/5/29之前
100.25元/㎡/月-2029/5/29之前</v>
          </cell>
          <cell r="R129" t="str">
            <v>电汇</v>
          </cell>
          <cell r="S129" t="str">
            <v>物业公司</v>
          </cell>
          <cell r="T129" t="str">
            <v>否</v>
          </cell>
        </row>
        <row r="130">
          <cell r="B130" t="str">
            <v>舜德行（北京）科技发展有限公司</v>
          </cell>
          <cell r="C130" t="str">
            <v>华为</v>
          </cell>
          <cell r="D130" t="str">
            <v>D-1-106A</v>
          </cell>
          <cell r="E130" t="str">
            <v>正常</v>
          </cell>
          <cell r="G130">
            <v>570.66</v>
          </cell>
          <cell r="H130">
            <v>45724</v>
          </cell>
          <cell r="I130">
            <v>45878</v>
          </cell>
          <cell r="J130">
            <v>46973</v>
          </cell>
          <cell r="M130" t="str">
            <v>120元/㎡/月</v>
          </cell>
          <cell r="N130">
            <v>393203.15</v>
          </cell>
          <cell r="O130" t="str">
            <v>月</v>
          </cell>
          <cell r="P130" t="str">
            <v>120元/㎡/月-2026/8/8之前
127.20元/㎡/月-2027/8/8之前
134.83元/㎡/月-2028/8/8之前</v>
          </cell>
          <cell r="R130" t="str">
            <v>电汇</v>
          </cell>
          <cell r="S130" t="str">
            <v>物业公司</v>
          </cell>
          <cell r="T130" t="str">
            <v>否</v>
          </cell>
        </row>
        <row r="131">
          <cell r="B131" t="str">
            <v>北京爱彼童教育科技有限公司</v>
          </cell>
          <cell r="C131" t="str">
            <v>IBEETUBE双语小主持人</v>
          </cell>
          <cell r="D131" t="str">
            <v>D-3-307B（原302B）</v>
          </cell>
          <cell r="E131" t="str">
            <v>正常</v>
          </cell>
          <cell r="G131">
            <v>240.33</v>
          </cell>
          <cell r="H131">
            <v>45717</v>
          </cell>
          <cell r="I131">
            <v>45717</v>
          </cell>
          <cell r="J131">
            <v>46446</v>
          </cell>
          <cell r="M131" t="str">
            <v>80元/㎡/月</v>
          </cell>
          <cell r="N131">
            <v>211490.4</v>
          </cell>
          <cell r="O131" t="str">
            <v>月</v>
          </cell>
          <cell r="R131" t="str">
            <v>电汇</v>
          </cell>
          <cell r="S131" t="str">
            <v>物业公司</v>
          </cell>
          <cell r="T131" t="str">
            <v>否</v>
          </cell>
        </row>
        <row r="132">
          <cell r="B132" t="str">
            <v>北京惠然柒柒餐饮有限公司</v>
          </cell>
          <cell r="C132" t="str">
            <v>天燚天妇罗</v>
          </cell>
          <cell r="D132" t="str">
            <v>B7-1-101,2-201</v>
          </cell>
          <cell r="E132" t="str">
            <v>正常</v>
          </cell>
          <cell r="G132">
            <v>584.38</v>
          </cell>
          <cell r="H132">
            <v>45024</v>
          </cell>
          <cell r="I132">
            <v>45077</v>
          </cell>
          <cell r="J132">
            <v>45697</v>
          </cell>
          <cell r="N132">
            <v>0</v>
          </cell>
          <cell r="O132" t="str">
            <v>月</v>
          </cell>
          <cell r="R132" t="str">
            <v>电汇</v>
          </cell>
          <cell r="S132" t="str">
            <v>物业公司</v>
          </cell>
          <cell r="T132" t="str">
            <v>否</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估价对象为北京市房地产，为所有。根据《国有土地使用证》[]，估价对象（分摊）出让国有建设用地使用权面积为37658.28平方米，建筑面积为45214.01平方米。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估价对象为北京市房地产,属开发建设的，该项目尚在开发建设中。根据《国有土地使用证》[]，估价对象（分摊）出让国有建设用地使用权面积为37658.28平方米，规划建筑面积为45214.01平方米。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2025年10月22日（评估专业人员实地查勘之日）</v>
      </c>
    </row>
    <row r="13" spans="1:2">
      <c r="A13" s="1097" t="s">
        <v>529</v>
      </c>
      <c r="B13" s="1098"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109723</v>
      </c>
    </row>
    <row r="21" spans="1:2">
      <c r="A21" s="1097" t="s">
        <v>537</v>
      </c>
      <c r="B21" s="1098">
        <f ca="1">'预评函-2'!D7</f>
        <v>24267</v>
      </c>
    </row>
    <row r="22" spans="1:2">
      <c r="A22" s="1097" t="s">
        <v>538</v>
      </c>
      <c r="B22" s="1098" t="str">
        <f ca="1">'预评函-2'!D6</f>
        <v>壹拾亿玖仟柒佰贰拾叁万元整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109723</v>
      </c>
    </row>
    <row r="31" spans="1:2">
      <c r="A31" s="1097" t="s">
        <v>576</v>
      </c>
      <c r="B31" s="1098">
        <f ca="1">'预评函-2'!D15</f>
        <v>24267</v>
      </c>
    </row>
    <row r="32" spans="1:2">
      <c r="A32" s="1097" t="s">
        <v>543</v>
      </c>
      <c r="B32" s="1098" t="str">
        <f ca="1">'预评函-2'!D14</f>
        <v>壹拾亿玖仟柒佰贰拾叁万元整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45214.01</v>
      </c>
    </row>
    <row r="44" spans="1:2">
      <c r="A44" s="1097" t="s">
        <v>575</v>
      </c>
      <c r="B44" s="1098" t="str">
        <f>'预评函-3'!C2</f>
        <v>(分摊)土地面积</v>
      </c>
    </row>
    <row r="45" spans="1:2">
      <c r="A45" s="1097" t="s">
        <v>547</v>
      </c>
      <c r="B45" s="1098">
        <f>'预评函-3'!C4</f>
        <v>37658.28</v>
      </c>
    </row>
    <row r="46" spans="1:2">
      <c r="A46" s="1097" t="s">
        <v>573</v>
      </c>
      <c r="B46" s="1098" t="str">
        <f>'预评函-3'!D2</f>
        <v>出让国有建设用地使用权价值</v>
      </c>
    </row>
    <row r="47" spans="1:2">
      <c r="A47" s="1097" t="s">
        <v>548</v>
      </c>
      <c r="B47" s="1098">
        <f ca="1">'预评函-3'!D4</f>
        <v>80976</v>
      </c>
    </row>
    <row r="48" spans="1:2">
      <c r="A48" s="1097" t="s">
        <v>549</v>
      </c>
      <c r="B48" s="1098">
        <f ca="1">'预评函-3'!E4</f>
        <v>17909</v>
      </c>
    </row>
    <row r="49" spans="1:2">
      <c r="A49" s="1097" t="s">
        <v>550</v>
      </c>
      <c r="B49" s="1098" t="str">
        <f ca="1">'预评函-3'!D5</f>
        <v>捌亿零玖佰柒拾陆万元整</v>
      </c>
    </row>
    <row r="50" spans="1:2">
      <c r="A50" s="1097" t="s">
        <v>574</v>
      </c>
      <c r="B50" s="1098" t="str">
        <f>'预评函-3'!F2</f>
        <v>在建建筑物价值</v>
      </c>
    </row>
    <row r="51" spans="1:2">
      <c r="A51" s="1097" t="s">
        <v>551</v>
      </c>
      <c r="B51" s="1098">
        <f ca="1">'预评函-3'!F4</f>
        <v>28747</v>
      </c>
    </row>
    <row r="52" spans="1:2">
      <c r="A52" s="1097" t="s">
        <v>552</v>
      </c>
      <c r="B52" s="1098">
        <f ca="1">'预评函-3'!G4</f>
        <v>6358</v>
      </c>
    </row>
    <row r="53" spans="1:2">
      <c r="A53" s="1097" t="s">
        <v>580</v>
      </c>
      <c r="B53" s="1098" t="str">
        <f ca="1">'预评函-3'!F5</f>
        <v>贰亿捌仟柒佰肆拾柒万元整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8" width="15.125" style="1423" customWidth="1"/>
    <col min="29" max="16384" width="9" style="1383"/>
  </cols>
  <sheetData>
    <row r="1" spans="1:28" s="1418" customFormat="1" ht="40.5">
      <c r="A1" s="1414" t="s">
        <v>44</v>
      </c>
      <c r="B1" s="1415" t="s">
        <v>974</v>
      </c>
      <c r="C1" s="1416" t="s">
        <v>314</v>
      </c>
      <c r="D1" s="1417" t="s">
        <v>3333</v>
      </c>
      <c r="E1" s="1416" t="s">
        <v>975</v>
      </c>
      <c r="F1" s="1416" t="s">
        <v>976</v>
      </c>
      <c r="G1" s="1416" t="s">
        <v>977</v>
      </c>
      <c r="H1" s="1416" t="s">
        <v>978</v>
      </c>
      <c r="I1" s="1416" t="s">
        <v>979</v>
      </c>
      <c r="J1" s="1416" t="s">
        <v>980</v>
      </c>
      <c r="K1" s="1416" t="s">
        <v>981</v>
      </c>
      <c r="L1" s="1416" t="s">
        <v>982</v>
      </c>
      <c r="M1" s="1416" t="s">
        <v>983</v>
      </c>
      <c r="N1" s="1416" t="s">
        <v>984</v>
      </c>
      <c r="O1" s="1416" t="s">
        <v>985</v>
      </c>
      <c r="P1" s="1417" t="s">
        <v>309</v>
      </c>
      <c r="Q1" s="1417" t="s">
        <v>447</v>
      </c>
      <c r="R1" s="1416" t="s">
        <v>441</v>
      </c>
      <c r="S1" s="1416" t="s">
        <v>986</v>
      </c>
      <c r="T1" s="1417" t="s">
        <v>987</v>
      </c>
      <c r="U1" s="1416" t="s">
        <v>988</v>
      </c>
      <c r="V1" s="1416" t="s">
        <v>989</v>
      </c>
      <c r="W1" s="1416" t="s">
        <v>311</v>
      </c>
      <c r="X1" s="1416" t="s">
        <v>670</v>
      </c>
      <c r="Y1" s="1416" t="s">
        <v>21</v>
      </c>
      <c r="Z1" s="1416" t="s">
        <v>3382</v>
      </c>
      <c r="AA1" s="1416" t="s">
        <v>3381</v>
      </c>
      <c r="AB1" s="1416" t="s">
        <v>3</v>
      </c>
    </row>
    <row r="2" spans="1:28">
      <c r="A2" s="1419" t="s">
        <v>19</v>
      </c>
      <c r="B2" s="1419" t="s">
        <v>990</v>
      </c>
      <c r="C2" s="1420" t="s">
        <v>315</v>
      </c>
      <c r="D2" s="1421" t="s">
        <v>991</v>
      </c>
      <c r="E2" s="1421" t="s">
        <v>992</v>
      </c>
      <c r="F2" s="1421" t="s">
        <v>993</v>
      </c>
      <c r="G2" s="1421">
        <v>20</v>
      </c>
      <c r="H2" s="1421" t="s">
        <v>993</v>
      </c>
      <c r="I2" s="1421" t="s">
        <v>3319</v>
      </c>
      <c r="J2" s="1421" t="s">
        <v>994</v>
      </c>
      <c r="K2" s="1421" t="s">
        <v>995</v>
      </c>
      <c r="L2" s="1421" t="s">
        <v>995</v>
      </c>
      <c r="M2" s="1421" t="s">
        <v>995</v>
      </c>
      <c r="N2" s="1421" t="s">
        <v>995</v>
      </c>
      <c r="O2" s="1421" t="s">
        <v>995</v>
      </c>
      <c r="P2" s="1421" t="s">
        <v>995</v>
      </c>
      <c r="Q2" s="1421" t="s">
        <v>995</v>
      </c>
      <c r="R2" s="1421" t="s">
        <v>443</v>
      </c>
      <c r="S2" s="1421" t="s">
        <v>995</v>
      </c>
      <c r="T2" s="1421" t="s">
        <v>996</v>
      </c>
      <c r="U2" s="1421" t="s">
        <v>995</v>
      </c>
      <c r="V2" s="1421" t="s">
        <v>997</v>
      </c>
      <c r="W2" s="1421" t="s">
        <v>995</v>
      </c>
      <c r="X2" s="1423" t="s">
        <v>2423</v>
      </c>
      <c r="Y2" s="1423" t="s">
        <v>3388</v>
      </c>
      <c r="Z2" s="1423" t="s">
        <v>2436</v>
      </c>
      <c r="AA2" s="1423" t="s">
        <v>3389</v>
      </c>
      <c r="AB2" s="1423" t="s">
        <v>2463</v>
      </c>
    </row>
    <row r="3" spans="1:28">
      <c r="A3" s="1419" t="s">
        <v>998</v>
      </c>
      <c r="B3" s="1422" t="s">
        <v>448</v>
      </c>
      <c r="C3" s="1420" t="s">
        <v>316</v>
      </c>
      <c r="D3" s="1421" t="s">
        <v>999</v>
      </c>
      <c r="E3" s="1421" t="s">
        <v>13</v>
      </c>
      <c r="F3" s="1421" t="s">
        <v>1000</v>
      </c>
      <c r="G3" s="1421">
        <v>40</v>
      </c>
      <c r="H3" s="1421" t="s">
        <v>1000</v>
      </c>
      <c r="I3" s="1421" t="s">
        <v>3320</v>
      </c>
      <c r="J3" s="1421" t="s">
        <v>1001</v>
      </c>
      <c r="K3" s="1421" t="s">
        <v>1002</v>
      </c>
      <c r="L3" s="1421" t="s">
        <v>1002</v>
      </c>
      <c r="M3" s="1421" t="s">
        <v>1002</v>
      </c>
      <c r="N3" s="1421" t="s">
        <v>1002</v>
      </c>
      <c r="O3" s="1421" t="s">
        <v>1002</v>
      </c>
      <c r="P3" s="1421" t="s">
        <v>1002</v>
      </c>
      <c r="Q3" s="1421" t="s">
        <v>1002</v>
      </c>
      <c r="R3" s="1421" t="s">
        <v>442</v>
      </c>
      <c r="S3" s="1421" t="s">
        <v>1002</v>
      </c>
      <c r="T3" s="1421" t="s">
        <v>1003</v>
      </c>
      <c r="U3" s="1421" t="s">
        <v>1002</v>
      </c>
      <c r="V3" s="1421" t="s">
        <v>1004</v>
      </c>
      <c r="W3" s="1421" t="s">
        <v>1002</v>
      </c>
      <c r="X3" s="1423" t="s">
        <v>2425</v>
      </c>
      <c r="Z3" s="1423" t="s">
        <v>2438</v>
      </c>
      <c r="AB3" s="1423" t="s">
        <v>2465</v>
      </c>
    </row>
    <row r="4" spans="1:28">
      <c r="A4" s="1419" t="s">
        <v>1005</v>
      </c>
      <c r="B4" s="1419" t="s">
        <v>1006</v>
      </c>
      <c r="C4" s="1420" t="s">
        <v>317</v>
      </c>
      <c r="D4" s="1421" t="s">
        <v>389</v>
      </c>
      <c r="E4" s="1421" t="s">
        <v>1007</v>
      </c>
      <c r="F4" s="1421" t="s">
        <v>1008</v>
      </c>
      <c r="G4" s="1421">
        <v>50</v>
      </c>
      <c r="H4" s="1421" t="s">
        <v>1008</v>
      </c>
      <c r="I4" s="1421" t="s">
        <v>3321</v>
      </c>
      <c r="K4" s="1421" t="s">
        <v>1009</v>
      </c>
      <c r="L4" s="1421" t="s">
        <v>1009</v>
      </c>
      <c r="M4" s="1421" t="s">
        <v>1009</v>
      </c>
      <c r="N4" s="1421" t="s">
        <v>1009</v>
      </c>
      <c r="O4" s="1421" t="s">
        <v>1009</v>
      </c>
      <c r="P4" s="1421" t="s">
        <v>1009</v>
      </c>
      <c r="Q4" s="1421" t="s">
        <v>1009</v>
      </c>
      <c r="R4" s="1421" t="s">
        <v>444</v>
      </c>
      <c r="S4" s="1421" t="s">
        <v>1009</v>
      </c>
      <c r="T4" s="1421" t="s">
        <v>1010</v>
      </c>
      <c r="U4" s="1421" t="s">
        <v>1009</v>
      </c>
      <c r="W4" s="1421" t="s">
        <v>1009</v>
      </c>
      <c r="X4" s="1423" t="s">
        <v>2427</v>
      </c>
      <c r="Z4" s="1423" t="s">
        <v>2440</v>
      </c>
      <c r="AB4" s="1423" t="s">
        <v>2467</v>
      </c>
    </row>
    <row r="5" spans="1:28">
      <c r="A5" s="1419" t="s">
        <v>1011</v>
      </c>
      <c r="B5" s="1419" t="s">
        <v>1012</v>
      </c>
      <c r="C5" s="1420" t="s">
        <v>318</v>
      </c>
      <c r="F5" s="1421" t="s">
        <v>1013</v>
      </c>
      <c r="G5" s="1421">
        <v>70</v>
      </c>
      <c r="H5" s="1421" t="s">
        <v>1014</v>
      </c>
      <c r="I5" s="1421" t="s">
        <v>3322</v>
      </c>
      <c r="K5" s="1421" t="s">
        <v>1015</v>
      </c>
      <c r="L5" s="1421" t="s">
        <v>1015</v>
      </c>
      <c r="M5" s="1421" t="s">
        <v>1015</v>
      </c>
      <c r="N5" s="1421" t="s">
        <v>1015</v>
      </c>
      <c r="O5" s="1421" t="s">
        <v>1015</v>
      </c>
      <c r="P5" s="1421" t="s">
        <v>1015</v>
      </c>
      <c r="Q5" s="1421" t="s">
        <v>1015</v>
      </c>
      <c r="R5" s="1421" t="s">
        <v>445</v>
      </c>
      <c r="S5" s="1421" t="s">
        <v>1015</v>
      </c>
      <c r="T5" s="1421" t="s">
        <v>1016</v>
      </c>
      <c r="U5" s="1421" t="s">
        <v>1015</v>
      </c>
      <c r="W5" s="1421" t="s">
        <v>1015</v>
      </c>
      <c r="X5" s="1423" t="s">
        <v>2429</v>
      </c>
      <c r="Z5" s="1423" t="s">
        <v>2442</v>
      </c>
      <c r="AB5" s="1423" t="s">
        <v>3390</v>
      </c>
    </row>
    <row r="6" spans="1:28">
      <c r="A6" s="1419" t="s">
        <v>1017</v>
      </c>
      <c r="B6" s="1422" t="s">
        <v>449</v>
      </c>
      <c r="C6" s="1424" t="s">
        <v>24</v>
      </c>
      <c r="F6" s="1421" t="s">
        <v>1014</v>
      </c>
      <c r="H6" s="1421" t="s">
        <v>1018</v>
      </c>
      <c r="I6" s="1421" t="s">
        <v>3323</v>
      </c>
      <c r="K6" s="1421" t="s">
        <v>1019</v>
      </c>
      <c r="L6" s="1421" t="s">
        <v>1019</v>
      </c>
      <c r="M6" s="1421" t="s">
        <v>1019</v>
      </c>
      <c r="N6" s="1421" t="s">
        <v>1019</v>
      </c>
      <c r="O6" s="1421" t="s">
        <v>1019</v>
      </c>
      <c r="P6" s="1421" t="s">
        <v>1019</v>
      </c>
      <c r="Q6" s="1421" t="s">
        <v>1019</v>
      </c>
      <c r="R6" s="1421" t="s">
        <v>446</v>
      </c>
      <c r="S6" s="1421" t="s">
        <v>1019</v>
      </c>
      <c r="T6" s="1421"/>
      <c r="U6" s="1421" t="s">
        <v>1019</v>
      </c>
      <c r="W6" s="1421" t="s">
        <v>1019</v>
      </c>
      <c r="X6" s="1423" t="s">
        <v>2431</v>
      </c>
      <c r="Z6" s="1423" t="s">
        <v>2444</v>
      </c>
      <c r="AB6" s="1423" t="s">
        <v>2470</v>
      </c>
    </row>
    <row r="7" spans="1:28">
      <c r="A7" s="1419" t="s">
        <v>1020</v>
      </c>
      <c r="B7" s="1422" t="s">
        <v>450</v>
      </c>
      <c r="C7" s="1420" t="s">
        <v>25</v>
      </c>
      <c r="F7" s="1421" t="s">
        <v>1021</v>
      </c>
      <c r="H7" s="1421" t="s">
        <v>1022</v>
      </c>
      <c r="I7" s="1421" t="s">
        <v>3324</v>
      </c>
      <c r="X7" s="1423" t="s">
        <v>2433</v>
      </c>
      <c r="Z7" s="1423" t="s">
        <v>2446</v>
      </c>
      <c r="AB7" s="1423" t="s">
        <v>2472</v>
      </c>
    </row>
    <row r="8" spans="1:28">
      <c r="A8" s="1419" t="s">
        <v>1023</v>
      </c>
      <c r="B8" s="1419" t="s">
        <v>1024</v>
      </c>
      <c r="C8" s="1420" t="s">
        <v>319</v>
      </c>
      <c r="F8" s="1421" t="s">
        <v>1025</v>
      </c>
      <c r="H8" s="1421" t="s">
        <v>2561</v>
      </c>
      <c r="I8" s="1421" t="s">
        <v>3325</v>
      </c>
      <c r="X8" s="1423" t="s">
        <v>3391</v>
      </c>
      <c r="Z8" s="1423" t="s">
        <v>2448</v>
      </c>
      <c r="AB8" s="1423" t="s">
        <v>2474</v>
      </c>
    </row>
    <row r="9" spans="1:28">
      <c r="A9" s="1419" t="s">
        <v>1026</v>
      </c>
      <c r="B9" s="1419" t="s">
        <v>1027</v>
      </c>
      <c r="C9" s="1420" t="s">
        <v>320</v>
      </c>
      <c r="F9" s="1421" t="s">
        <v>1028</v>
      </c>
      <c r="H9" s="1421"/>
      <c r="I9" s="1423" t="s">
        <v>3326</v>
      </c>
      <c r="X9" s="1423" t="s">
        <v>3392</v>
      </c>
      <c r="Z9" s="1423" t="s">
        <v>2450</v>
      </c>
      <c r="AB9" s="1423" t="s">
        <v>2476</v>
      </c>
    </row>
    <row r="10" spans="1:28">
      <c r="A10" s="1419" t="s">
        <v>1029</v>
      </c>
      <c r="B10" s="1419" t="s">
        <v>1030</v>
      </c>
      <c r="C10" s="1420" t="s">
        <v>321</v>
      </c>
      <c r="F10" s="1421" t="s">
        <v>2562</v>
      </c>
      <c r="I10" s="1423" t="s">
        <v>3327</v>
      </c>
      <c r="Z10" s="1423" t="s">
        <v>2452</v>
      </c>
      <c r="AB10" s="1423" t="s">
        <v>2478</v>
      </c>
    </row>
    <row r="11" spans="1:28">
      <c r="A11" s="1419" t="s">
        <v>1031</v>
      </c>
      <c r="B11" s="1419" t="s">
        <v>1032</v>
      </c>
      <c r="C11" s="1420" t="s">
        <v>322</v>
      </c>
      <c r="F11" s="1421" t="s">
        <v>13</v>
      </c>
      <c r="I11" s="1423" t="s">
        <v>3328</v>
      </c>
      <c r="Z11" s="1423" t="s">
        <v>2454</v>
      </c>
      <c r="AB11" s="1423" t="s">
        <v>2480</v>
      </c>
    </row>
    <row r="12" spans="1:28">
      <c r="A12" s="1419" t="s">
        <v>1033</v>
      </c>
      <c r="B12" s="1419" t="s">
        <v>1034</v>
      </c>
      <c r="C12" s="1420" t="s">
        <v>323</v>
      </c>
      <c r="I12" s="1423" t="s">
        <v>3329</v>
      </c>
      <c r="Z12" s="1423" t="s">
        <v>2456</v>
      </c>
      <c r="AB12" s="1423" t="s">
        <v>2482</v>
      </c>
    </row>
    <row r="13" spans="1:28">
      <c r="A13" s="1419" t="s">
        <v>1035</v>
      </c>
      <c r="B13" s="1419" t="s">
        <v>1036</v>
      </c>
      <c r="C13" s="1420" t="s">
        <v>324</v>
      </c>
      <c r="I13" s="1423" t="s">
        <v>3330</v>
      </c>
      <c r="Z13" s="1423" t="s">
        <v>2458</v>
      </c>
    </row>
    <row r="14" spans="1:28">
      <c r="A14" s="1419" t="s">
        <v>1037</v>
      </c>
      <c r="B14" s="1419" t="s">
        <v>1038</v>
      </c>
      <c r="C14" s="1421" t="s">
        <v>13</v>
      </c>
      <c r="I14" s="1423" t="s">
        <v>3331</v>
      </c>
      <c r="Z14" s="1423" t="s">
        <v>2460</v>
      </c>
    </row>
    <row r="15" spans="1:28">
      <c r="A15" s="1419" t="s">
        <v>1039</v>
      </c>
      <c r="B15" s="1419" t="s">
        <v>1040</v>
      </c>
      <c r="C15" s="1420"/>
      <c r="I15" s="1423" t="s">
        <v>3332</v>
      </c>
    </row>
    <row r="16" spans="1:28">
      <c r="A16" s="1419" t="s">
        <v>1041</v>
      </c>
      <c r="B16" s="1419" t="s">
        <v>312</v>
      </c>
      <c r="C16" s="1420"/>
    </row>
    <row r="17" spans="1:3">
      <c r="A17" s="1419" t="s">
        <v>1042</v>
      </c>
      <c r="B17" s="1419" t="s">
        <v>2279</v>
      </c>
      <c r="C17" s="1420"/>
    </row>
    <row r="18" spans="1:3">
      <c r="A18" s="1419" t="s">
        <v>1043</v>
      </c>
      <c r="B18" s="1419" t="s">
        <v>2417</v>
      </c>
      <c r="C18" s="1420"/>
    </row>
    <row r="19" spans="1:3">
      <c r="A19" s="1419" t="s">
        <v>1044</v>
      </c>
      <c r="B19" s="1419" t="s">
        <v>3965</v>
      </c>
      <c r="C19" s="1420"/>
    </row>
    <row r="20" spans="1:3">
      <c r="A20" s="1419" t="s">
        <v>1045</v>
      </c>
      <c r="B20" s="1419" t="s">
        <v>3967</v>
      </c>
      <c r="C20" s="1420"/>
    </row>
    <row r="21" spans="1:3">
      <c r="A21" s="1419" t="s">
        <v>1046</v>
      </c>
      <c r="B21" s="1419" t="s">
        <v>3968</v>
      </c>
      <c r="C21" s="1420"/>
    </row>
    <row r="22" spans="1:3">
      <c r="A22" s="1419" t="s">
        <v>1047</v>
      </c>
      <c r="B22" s="1422" t="s">
        <v>3970</v>
      </c>
      <c r="C22" s="1420"/>
    </row>
    <row r="23" spans="1:3">
      <c r="A23" s="1419" t="s">
        <v>1048</v>
      </c>
      <c r="B23" s="1422" t="s">
        <v>3972</v>
      </c>
      <c r="C23" s="1420"/>
    </row>
    <row r="24" spans="1:3">
      <c r="A24" s="1419" t="s">
        <v>1049</v>
      </c>
      <c r="B24" s="1422" t="s">
        <v>3973</v>
      </c>
      <c r="C24" s="1420"/>
    </row>
    <row r="25" spans="1:3">
      <c r="A25" s="1419" t="s">
        <v>1050</v>
      </c>
      <c r="B25" s="1419" t="s">
        <v>313</v>
      </c>
      <c r="C25" s="1420"/>
    </row>
    <row r="26" spans="1:3">
      <c r="A26" s="1419" t="s">
        <v>1051</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30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425" t="s">
        <v>385</v>
      </c>
      <c r="C54" s="1423" t="s">
        <v>583</v>
      </c>
    </row>
    <row r="55" spans="1:4">
      <c r="A55" s="3307"/>
      <c r="B55" s="1425" t="s">
        <v>386</v>
      </c>
      <c r="C55" s="1423" t="s">
        <v>584</v>
      </c>
    </row>
    <row r="56" spans="1:4">
      <c r="A56" s="3307"/>
      <c r="B56" s="1425" t="s">
        <v>387</v>
      </c>
      <c r="C56" s="1423" t="s">
        <v>588</v>
      </c>
    </row>
    <row r="57" spans="1:4">
      <c r="A57" s="330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C4" sqref="C4"/>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2484</v>
      </c>
      <c r="B1" s="2729"/>
      <c r="C1" s="2729"/>
      <c r="D1" s="2729"/>
      <c r="E1" s="2729"/>
      <c r="F1" s="2730"/>
      <c r="I1" s="3106" t="s">
        <v>2577</v>
      </c>
      <c r="J1" s="2755"/>
      <c r="K1" s="2755"/>
      <c r="L1" s="2755"/>
      <c r="M1" s="2755"/>
      <c r="N1" s="2940"/>
      <c r="O1" s="2940"/>
      <c r="P1" s="2940"/>
      <c r="Q1" s="2940"/>
      <c r="R1" s="2940"/>
    </row>
    <row r="2" spans="1:18">
      <c r="A2" s="2732"/>
      <c r="B2" s="2733"/>
      <c r="C2" s="2733"/>
      <c r="D2" s="2733"/>
      <c r="E2" s="2733"/>
      <c r="F2" s="2734"/>
      <c r="I2" s="3308" t="s">
        <v>2564</v>
      </c>
      <c r="J2" s="3308"/>
      <c r="K2" s="3308"/>
      <c r="L2" s="3308"/>
      <c r="M2" s="3308"/>
      <c r="N2" s="3308"/>
      <c r="O2" s="3308"/>
      <c r="P2" s="3308"/>
      <c r="Q2" s="3308"/>
      <c r="R2" s="3308"/>
    </row>
    <row r="3" spans="1:18">
      <c r="A3" s="2735" t="s">
        <v>2485</v>
      </c>
      <c r="B3" s="2736">
        <f>项目基本情况!D3</f>
        <v>45952</v>
      </c>
      <c r="C3" s="2738"/>
      <c r="D3" s="2738"/>
      <c r="E3" s="2738"/>
      <c r="F3" s="2734"/>
      <c r="I3" s="2750"/>
      <c r="J3" s="2750" t="s">
        <v>2568</v>
      </c>
      <c r="K3" s="2750" t="s">
        <v>2569</v>
      </c>
      <c r="L3" s="2750" t="s">
        <v>2570</v>
      </c>
      <c r="M3" s="2750" t="s">
        <v>2571</v>
      </c>
      <c r="N3" s="3107" t="s">
        <v>2572</v>
      </c>
      <c r="O3" s="3107" t="s">
        <v>2573</v>
      </c>
      <c r="P3" s="3107" t="s">
        <v>2574</v>
      </c>
      <c r="Q3" s="3107" t="s">
        <v>2575</v>
      </c>
      <c r="R3" s="3107" t="s">
        <v>2576</v>
      </c>
    </row>
    <row r="4" spans="1:18">
      <c r="A4" s="2735" t="s">
        <v>2486</v>
      </c>
      <c r="B4" s="2738" t="s">
        <v>2487</v>
      </c>
      <c r="C4" s="2738" t="s">
        <v>2488</v>
      </c>
      <c r="D4" s="2738" t="s">
        <v>2489</v>
      </c>
      <c r="E4" s="2738" t="s">
        <v>2490</v>
      </c>
      <c r="F4" s="2734"/>
      <c r="I4" s="2750" t="s">
        <v>2565</v>
      </c>
      <c r="J4" s="2750">
        <v>80</v>
      </c>
      <c r="K4" s="2750">
        <v>70</v>
      </c>
      <c r="L4" s="2750">
        <v>20</v>
      </c>
      <c r="M4" s="2750">
        <v>30</v>
      </c>
      <c r="N4" s="2738">
        <v>45</v>
      </c>
      <c r="O4" s="2738">
        <v>60</v>
      </c>
      <c r="P4" s="2738">
        <v>50</v>
      </c>
      <c r="Q4" s="2738">
        <v>20</v>
      </c>
      <c r="R4" s="2738">
        <v>375</v>
      </c>
    </row>
    <row r="5" spans="1:18">
      <c r="A5" s="2739">
        <v>40</v>
      </c>
      <c r="B5" s="2736">
        <v>46375</v>
      </c>
      <c r="C5" s="2738">
        <f>ROUNDDOWN(MIN((B5-B3)/365,A5),2)</f>
        <v>1.1499999999999999</v>
      </c>
      <c r="D5" s="2740">
        <f>IF(ISERROR(ROUND(POWER(1+E5,A5-C5)*(POWER(1+E5,C5)-1)/(POWER(1+E5,A5)-1),3)),0,ROUND(POWER(1+E5,A5-C5)*(POWER(1+E5,C5)-1)/(POWER(1+E5,A5)-1),4))</f>
        <v>5.57E-2</v>
      </c>
      <c r="E5" s="2741">
        <v>0.04</v>
      </c>
      <c r="F5" s="2734"/>
      <c r="I5" s="2750" t="s">
        <v>2566</v>
      </c>
      <c r="J5" s="2750">
        <v>70</v>
      </c>
      <c r="K5" s="2750">
        <v>60</v>
      </c>
      <c r="L5" s="2750">
        <v>15</v>
      </c>
      <c r="M5" s="2750">
        <v>25</v>
      </c>
      <c r="N5" s="2738">
        <v>40</v>
      </c>
      <c r="O5" s="2738">
        <v>50</v>
      </c>
      <c r="P5" s="2738">
        <v>40</v>
      </c>
      <c r="Q5" s="2738">
        <v>15</v>
      </c>
      <c r="R5" s="2738">
        <v>315</v>
      </c>
    </row>
    <row r="6" spans="1:18">
      <c r="A6" s="2739">
        <v>50</v>
      </c>
      <c r="B6" s="2736">
        <v>50028</v>
      </c>
      <c r="C6" s="2738">
        <f>ROUNDDOWN(MIN((B6-B3)/365,A6),2)</f>
        <v>11.16</v>
      </c>
      <c r="D6" s="2740">
        <f>IF(ISERROR(ROUND(POWER(1+E6,A6-C6)*(POWER(1+E6,C6)-1)/(POWER(1+E6,A6)-1),3)),0,ROUND(POWER(1+E6,A6-C6)*(POWER(1+E6,C6)-1)/(POWER(1+E6,A6)-1),4))</f>
        <v>0.41249999999999998</v>
      </c>
      <c r="E6" s="2741">
        <v>0.04</v>
      </c>
      <c r="F6" s="2734"/>
      <c r="I6" s="2750" t="s">
        <v>2567</v>
      </c>
      <c r="J6" s="2750">
        <v>60</v>
      </c>
      <c r="K6" s="2750">
        <v>50</v>
      </c>
      <c r="L6" s="2750">
        <v>10</v>
      </c>
      <c r="M6" s="2750">
        <v>20</v>
      </c>
      <c r="N6" s="2738">
        <v>35</v>
      </c>
      <c r="O6" s="2738">
        <v>40</v>
      </c>
      <c r="P6" s="2738">
        <v>30</v>
      </c>
      <c r="Q6" s="2738">
        <v>10</v>
      </c>
      <c r="R6" s="2738">
        <v>255</v>
      </c>
    </row>
    <row r="7" spans="1:18">
      <c r="A7" s="2739">
        <v>70</v>
      </c>
      <c r="B7" s="2736">
        <v>57333</v>
      </c>
      <c r="C7" s="2738">
        <f>ROUNDDOWN(MIN((B7-B3)/365,A7),2)</f>
        <v>31.18</v>
      </c>
      <c r="D7" s="2740">
        <f>IF(ISERROR(ROUND(POWER(1+E7,A7-C7)*(POWER(1+E7,C7)-1)/(POWER(1+E7,A7)-1),3)),0,ROUND(POWER(1+E7,A7-C7)*(POWER(1+E7,C7)-1)/(POWER(1+E7,A7)-1),4))</f>
        <v>0.754</v>
      </c>
      <c r="E7" s="2741">
        <v>0.04</v>
      </c>
      <c r="F7" s="2734"/>
    </row>
    <row r="8" spans="1:18">
      <c r="A8" s="2732"/>
      <c r="B8" s="2733"/>
      <c r="C8" s="2733"/>
      <c r="D8" s="2733"/>
      <c r="E8" s="2733"/>
      <c r="F8" s="2734"/>
    </row>
    <row r="9" spans="1:18">
      <c r="A9" s="2735" t="s">
        <v>2491</v>
      </c>
      <c r="B9" s="2738"/>
      <c r="C9" s="2738"/>
      <c r="D9" s="2738"/>
      <c r="E9" s="2738"/>
      <c r="F9" s="2742"/>
    </row>
    <row r="10" spans="1:18">
      <c r="A10" s="2735" t="s">
        <v>2492</v>
      </c>
      <c r="B10" s="2738"/>
      <c r="C10" s="2738"/>
      <c r="D10" s="2738" t="s">
        <v>2490</v>
      </c>
      <c r="E10" s="2738"/>
      <c r="F10" s="2742" t="s">
        <v>2489</v>
      </c>
    </row>
    <row r="11" spans="1:18">
      <c r="A11" s="2735" t="s">
        <v>2493</v>
      </c>
      <c r="B11" s="2743">
        <v>70</v>
      </c>
      <c r="C11" s="2738" t="s">
        <v>2494</v>
      </c>
      <c r="D11" s="2743">
        <v>4.4999999999999998E-2</v>
      </c>
      <c r="E11" s="2738" t="s">
        <v>2495</v>
      </c>
      <c r="F11" s="2744">
        <f>ROUND(1-(1/(POWER(1+D11,B11))),4)</f>
        <v>0.95409999999999995</v>
      </c>
    </row>
    <row r="12" spans="1:18">
      <c r="A12" s="2735" t="s">
        <v>2496</v>
      </c>
      <c r="B12" s="2743">
        <v>40</v>
      </c>
      <c r="C12" s="2738" t="s">
        <v>2497</v>
      </c>
      <c r="D12" s="2743">
        <v>4.4999999999999998E-2</v>
      </c>
      <c r="E12" s="2738" t="s">
        <v>2498</v>
      </c>
      <c r="F12" s="2744">
        <f>ROUND(1-(1/(POWER(1+D12,B12))),4)</f>
        <v>0.82809999999999995</v>
      </c>
    </row>
    <row r="13" spans="1:18">
      <c r="A13" s="2735" t="s">
        <v>2499</v>
      </c>
      <c r="B13" s="2738"/>
      <c r="C13" s="2738"/>
      <c r="D13" s="2733"/>
      <c r="E13" s="2733"/>
      <c r="F13" s="2734"/>
    </row>
    <row r="14" spans="1:18">
      <c r="A14" s="2735" t="s">
        <v>2500</v>
      </c>
      <c r="B14" s="2743">
        <v>5000</v>
      </c>
      <c r="C14" s="2737"/>
      <c r="D14" s="2733"/>
      <c r="E14" s="2733"/>
      <c r="F14" s="2734"/>
    </row>
    <row r="15" spans="1:18">
      <c r="A15" s="2735" t="s">
        <v>2501</v>
      </c>
      <c r="B15" s="2738">
        <f>ROUND(B14*F12/F11,2)</f>
        <v>4339.6899999999996</v>
      </c>
      <c r="C15" s="2738">
        <f>ROUND(F12/F11,4)</f>
        <v>0.8679</v>
      </c>
      <c r="D15" s="2733"/>
      <c r="E15" s="2733"/>
      <c r="F15" s="2734"/>
    </row>
    <row r="16" spans="1:18">
      <c r="A16" s="2735" t="s">
        <v>2502</v>
      </c>
      <c r="B16" s="2738"/>
      <c r="C16" s="2738"/>
      <c r="D16" s="2733"/>
      <c r="E16" s="2733"/>
      <c r="F16" s="2734"/>
    </row>
    <row r="17" spans="1:14">
      <c r="A17" s="2735" t="s">
        <v>2501</v>
      </c>
      <c r="B17" s="2743">
        <v>4810</v>
      </c>
      <c r="C17" s="2737"/>
      <c r="D17" s="2733"/>
      <c r="E17" s="2733"/>
      <c r="F17" s="2734"/>
    </row>
    <row r="18" spans="1:14" ht="14.25" thickBot="1">
      <c r="A18" s="2745" t="s">
        <v>2500</v>
      </c>
      <c r="B18" s="2746">
        <f>ROUND(B17*F11/F12,2)</f>
        <v>5541.87</v>
      </c>
      <c r="C18" s="2746">
        <f>ROUND(F11/F12,4)</f>
        <v>1.1521999999999999</v>
      </c>
      <c r="D18" s="2747"/>
      <c r="E18" s="2747"/>
      <c r="F18" s="2748"/>
    </row>
    <row r="19" spans="1:14" ht="14.25" thickBot="1"/>
    <row r="20" spans="1:14" s="2781" customFormat="1" ht="14.25" thickTop="1">
      <c r="A20" s="2778" t="s">
        <v>2503</v>
      </c>
      <c r="B20" s="2779"/>
      <c r="C20" s="2779"/>
      <c r="D20" s="2779"/>
      <c r="E20" s="2779"/>
      <c r="F20" s="2779"/>
      <c r="G20" s="2780"/>
      <c r="I20" s="2782" t="s">
        <v>2548</v>
      </c>
      <c r="J20" s="2782" t="s">
        <v>2553</v>
      </c>
      <c r="K20" s="2782"/>
      <c r="L20" s="2782"/>
      <c r="M20" s="2782"/>
    </row>
    <row r="21" spans="1:14">
      <c r="A21" s="2749"/>
      <c r="B21" s="2750" t="s">
        <v>2504</v>
      </c>
      <c r="C21" s="2750" t="s">
        <v>2505</v>
      </c>
      <c r="D21" s="2750" t="s">
        <v>2506</v>
      </c>
      <c r="E21" s="2750" t="s">
        <v>2507</v>
      </c>
      <c r="F21" s="2750" t="s">
        <v>2508</v>
      </c>
      <c r="G21" s="2751" t="s">
        <v>2509</v>
      </c>
      <c r="I21" s="2772">
        <v>5</v>
      </c>
      <c r="J21" s="2772">
        <v>54.2</v>
      </c>
    </row>
    <row r="22" spans="1:14">
      <c r="A22" s="2749" t="s">
        <v>2510</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4">
      <c r="A23" s="2749" t="s">
        <v>2511</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2551</v>
      </c>
      <c r="N23" s="3123" t="s">
        <v>2552</v>
      </c>
    </row>
    <row r="24" spans="1:14">
      <c r="A24" s="2749" t="s">
        <v>2512</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2550</v>
      </c>
      <c r="N24" s="3123">
        <v>10</v>
      </c>
    </row>
    <row r="25" spans="1:14">
      <c r="A25" s="2749" t="s">
        <v>2513</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2554</v>
      </c>
      <c r="N25" s="3123">
        <v>8</v>
      </c>
    </row>
    <row r="26" spans="1:14">
      <c r="A26" s="2754"/>
      <c r="B26" s="2755"/>
      <c r="C26" s="2755"/>
      <c r="D26" s="2755"/>
      <c r="E26" s="2755"/>
      <c r="F26" s="2755"/>
      <c r="G26" s="2756"/>
      <c r="I26" s="2772">
        <v>30</v>
      </c>
      <c r="J26" s="2772">
        <v>90.5</v>
      </c>
      <c r="K26" s="2772">
        <f t="shared" si="2"/>
        <v>4.2000000000000028</v>
      </c>
      <c r="L26" s="2772" t="s">
        <v>2555</v>
      </c>
      <c r="N26" s="3123">
        <v>5</v>
      </c>
    </row>
    <row r="27" spans="1:14">
      <c r="A27" s="2754" t="s">
        <v>2514</v>
      </c>
      <c r="B27" s="2755"/>
      <c r="C27" s="2755"/>
      <c r="D27" s="2755"/>
      <c r="E27" s="2755"/>
      <c r="F27" s="2755"/>
      <c r="G27" s="2756"/>
      <c r="I27" s="2772">
        <v>35</v>
      </c>
      <c r="J27" s="2772">
        <v>93.8</v>
      </c>
      <c r="K27" s="2772">
        <f t="shared" si="2"/>
        <v>3.2999999999999972</v>
      </c>
      <c r="L27" s="2772" t="s">
        <v>2556</v>
      </c>
      <c r="N27" s="3123">
        <v>3</v>
      </c>
    </row>
    <row r="28" spans="1:14">
      <c r="A28" s="2754" t="s">
        <v>2515</v>
      </c>
      <c r="B28" s="2755"/>
      <c r="C28" s="2755"/>
      <c r="D28" s="2755"/>
      <c r="E28" s="2755"/>
      <c r="F28" s="2755"/>
      <c r="G28" s="2756"/>
      <c r="I28" s="2772">
        <v>40</v>
      </c>
      <c r="J28" s="2772">
        <v>96.4</v>
      </c>
      <c r="K28" s="2772">
        <f t="shared" si="2"/>
        <v>2.6000000000000085</v>
      </c>
      <c r="L28" s="2772" t="s">
        <v>2557</v>
      </c>
      <c r="N28" s="3123">
        <v>2</v>
      </c>
    </row>
    <row r="29" spans="1:14">
      <c r="A29" s="2754" t="s">
        <v>2516</v>
      </c>
      <c r="B29" s="2755"/>
      <c r="C29" s="2755"/>
      <c r="D29" s="2755"/>
      <c r="E29" s="2755"/>
      <c r="F29" s="2755"/>
      <c r="G29" s="2756"/>
      <c r="I29" s="2772">
        <v>45</v>
      </c>
      <c r="J29" s="2772">
        <v>98.4</v>
      </c>
      <c r="K29" s="2772">
        <f t="shared" si="2"/>
        <v>2</v>
      </c>
    </row>
    <row r="30" spans="1:14">
      <c r="A30" s="2754" t="s">
        <v>2517</v>
      </c>
      <c r="B30" s="2755"/>
      <c r="C30" s="2755"/>
      <c r="D30" s="2755"/>
      <c r="E30" s="2755"/>
      <c r="F30" s="2755"/>
      <c r="G30" s="2756"/>
      <c r="I30" s="2772">
        <v>50</v>
      </c>
      <c r="J30" s="2772">
        <v>100</v>
      </c>
      <c r="K30" s="2772">
        <f t="shared" si="2"/>
        <v>1.5999999999999943</v>
      </c>
    </row>
    <row r="31" spans="1:14">
      <c r="A31" s="2754" t="s">
        <v>2518</v>
      </c>
      <c r="B31" s="2755"/>
      <c r="C31" s="2755"/>
      <c r="D31" s="2755"/>
      <c r="E31" s="2755"/>
      <c r="F31" s="2755"/>
      <c r="G31" s="2756"/>
      <c r="I31" s="2772" t="s">
        <v>2549</v>
      </c>
    </row>
    <row r="32" spans="1:14">
      <c r="A32" s="2754" t="s">
        <v>2519</v>
      </c>
      <c r="B32" s="2755"/>
      <c r="C32" s="2755"/>
      <c r="D32" s="2755"/>
      <c r="E32" s="2755"/>
      <c r="F32" s="2755"/>
      <c r="G32" s="2756"/>
    </row>
    <row r="33" spans="1:14">
      <c r="A33" s="2754" t="s">
        <v>2520</v>
      </c>
      <c r="B33" s="2755"/>
      <c r="C33" s="2755"/>
      <c r="D33" s="2755"/>
      <c r="E33" s="2755"/>
      <c r="F33" s="2755"/>
      <c r="G33" s="2756"/>
      <c r="I33" s="2772" t="s">
        <v>2548</v>
      </c>
      <c r="J33" s="2772" t="s">
        <v>2558</v>
      </c>
    </row>
    <row r="34" spans="1:14">
      <c r="A34" s="2754" t="s">
        <v>2521</v>
      </c>
      <c r="B34" s="2755"/>
      <c r="C34" s="2755"/>
      <c r="D34" s="2755"/>
      <c r="E34" s="2755"/>
      <c r="F34" s="2755"/>
      <c r="G34" s="2756"/>
      <c r="I34" s="2772">
        <v>5</v>
      </c>
      <c r="J34" s="2772">
        <v>55.1</v>
      </c>
    </row>
    <row r="35" spans="1:14">
      <c r="A35" s="2754" t="s">
        <v>2522</v>
      </c>
      <c r="B35" s="2755"/>
      <c r="C35" s="2755"/>
      <c r="D35" s="2755"/>
      <c r="E35" s="2755"/>
      <c r="F35" s="2755"/>
      <c r="G35" s="2756"/>
      <c r="I35" s="2772">
        <v>10</v>
      </c>
      <c r="J35" s="2772">
        <v>67</v>
      </c>
      <c r="K35" s="2772">
        <f>J35-J34</f>
        <v>11.899999999999999</v>
      </c>
    </row>
    <row r="36" spans="1:14">
      <c r="A36" s="2754" t="s">
        <v>2523</v>
      </c>
      <c r="B36" s="2755"/>
      <c r="C36" s="2755"/>
      <c r="D36" s="2755"/>
      <c r="E36" s="2755"/>
      <c r="F36" s="2755"/>
      <c r="G36" s="2756"/>
      <c r="I36" s="2772">
        <v>15</v>
      </c>
      <c r="J36" s="2772">
        <v>76.3</v>
      </c>
      <c r="K36" s="2772">
        <f t="shared" ref="K36:K41" si="3">J36-J35</f>
        <v>9.2999999999999972</v>
      </c>
      <c r="L36" s="2772" t="s">
        <v>2551</v>
      </c>
      <c r="N36" s="3123" t="s">
        <v>2552</v>
      </c>
    </row>
    <row r="37" spans="1:14">
      <c r="A37" s="2754" t="s">
        <v>2524</v>
      </c>
      <c r="B37" s="2755"/>
      <c r="C37" s="2755"/>
      <c r="D37" s="2755"/>
      <c r="E37" s="2755"/>
      <c r="F37" s="2755"/>
      <c r="G37" s="2756"/>
      <c r="I37" s="2772">
        <v>20</v>
      </c>
      <c r="J37" s="2772">
        <v>83.6</v>
      </c>
      <c r="K37" s="2772">
        <f t="shared" si="3"/>
        <v>7.2999999999999972</v>
      </c>
      <c r="L37" s="2772" t="s">
        <v>2550</v>
      </c>
      <c r="N37" s="3123">
        <v>10</v>
      </c>
    </row>
    <row r="38" spans="1:14">
      <c r="A38" s="2754" t="s">
        <v>2525</v>
      </c>
      <c r="B38" s="2755"/>
      <c r="C38" s="2755"/>
      <c r="D38" s="2755"/>
      <c r="E38" s="2755"/>
      <c r="F38" s="2755"/>
      <c r="G38" s="2756"/>
      <c r="I38" s="2772">
        <v>25</v>
      </c>
      <c r="J38" s="2772">
        <v>89.3</v>
      </c>
      <c r="K38" s="2772">
        <f t="shared" si="3"/>
        <v>5.7000000000000028</v>
      </c>
      <c r="L38" s="2772" t="s">
        <v>2554</v>
      </c>
      <c r="N38" s="3123">
        <v>8</v>
      </c>
    </row>
    <row r="39" spans="1:14">
      <c r="A39" s="2754"/>
      <c r="B39" s="2755"/>
      <c r="C39" s="2755"/>
      <c r="D39" s="2755"/>
      <c r="E39" s="2755"/>
      <c r="F39" s="2755"/>
      <c r="G39" s="2756"/>
      <c r="I39" s="2772">
        <v>30</v>
      </c>
      <c r="J39" s="2772">
        <v>93.8</v>
      </c>
      <c r="K39" s="2772">
        <f t="shared" si="3"/>
        <v>4.5</v>
      </c>
      <c r="L39" s="2772" t="s">
        <v>2555</v>
      </c>
      <c r="N39" s="3123">
        <v>6</v>
      </c>
    </row>
    <row r="40" spans="1:14">
      <c r="A40" s="2757" t="s">
        <v>2526</v>
      </c>
      <c r="B40" s="2758"/>
      <c r="C40" s="2758"/>
      <c r="D40" s="2758"/>
      <c r="E40" s="2758"/>
      <c r="F40" s="2758"/>
      <c r="G40" s="2759"/>
      <c r="I40" s="2772">
        <v>35</v>
      </c>
      <c r="J40" s="2772">
        <v>97.2</v>
      </c>
      <c r="K40" s="2772">
        <f t="shared" si="3"/>
        <v>3.4000000000000057</v>
      </c>
      <c r="L40" s="2772" t="s">
        <v>2556</v>
      </c>
      <c r="N40" s="3123">
        <v>3</v>
      </c>
    </row>
    <row r="41" spans="1:14">
      <c r="A41" s="2760" t="s">
        <v>2527</v>
      </c>
      <c r="B41" s="2761" t="s">
        <v>2528</v>
      </c>
      <c r="C41" s="2762" t="s">
        <v>2529</v>
      </c>
      <c r="D41" s="2762" t="s">
        <v>2530</v>
      </c>
      <c r="E41" s="2763"/>
      <c r="F41" s="2764"/>
      <c r="G41" s="2765"/>
      <c r="I41" s="2772">
        <v>40</v>
      </c>
      <c r="J41" s="2772">
        <v>100</v>
      </c>
      <c r="K41" s="2772">
        <f t="shared" si="3"/>
        <v>2.7999999999999972</v>
      </c>
    </row>
    <row r="42" spans="1:14">
      <c r="A42" s="2760" t="s">
        <v>2531</v>
      </c>
      <c r="B42" s="2761" t="s">
        <v>2532</v>
      </c>
      <c r="C42" s="2762" t="s">
        <v>2533</v>
      </c>
      <c r="D42" s="2766" t="s">
        <v>2534</v>
      </c>
      <c r="E42" s="2758" t="s">
        <v>2535</v>
      </c>
      <c r="F42" s="2758"/>
      <c r="G42" s="2759"/>
    </row>
    <row r="43" spans="1:14">
      <c r="A43" s="2760" t="s">
        <v>2536</v>
      </c>
      <c r="B43" s="2761" t="s">
        <v>2537</v>
      </c>
      <c r="C43" s="2762" t="s">
        <v>2538</v>
      </c>
      <c r="D43" s="2762" t="s">
        <v>2539</v>
      </c>
      <c r="E43" s="2763" t="s">
        <v>2540</v>
      </c>
      <c r="F43" s="2764"/>
      <c r="G43" s="2765"/>
      <c r="I43" s="2772" t="s">
        <v>2548</v>
      </c>
      <c r="J43" s="2772" t="s">
        <v>2559</v>
      </c>
    </row>
    <row r="44" spans="1:14">
      <c r="A44" s="2760" t="s">
        <v>2541</v>
      </c>
      <c r="B44" s="2761" t="s">
        <v>2542</v>
      </c>
      <c r="C44" s="2762" t="s">
        <v>2543</v>
      </c>
      <c r="D44" s="2766">
        <v>0.5</v>
      </c>
      <c r="E44" s="2763" t="s">
        <v>2544</v>
      </c>
      <c r="F44" s="2764"/>
      <c r="G44" s="2765"/>
      <c r="I44" s="2772">
        <v>30</v>
      </c>
      <c r="J44" s="2772">
        <v>81.7</v>
      </c>
    </row>
    <row r="45" spans="1:14" ht="14.25" thickBot="1">
      <c r="A45" s="2767" t="s">
        <v>2545</v>
      </c>
      <c r="B45" s="2768" t="s">
        <v>2532</v>
      </c>
      <c r="C45" s="2769" t="s">
        <v>2532</v>
      </c>
      <c r="D45" s="2769" t="s">
        <v>2546</v>
      </c>
      <c r="E45" s="2770" t="s">
        <v>2547</v>
      </c>
      <c r="F45" s="2770"/>
      <c r="G45" s="2771"/>
      <c r="I45" s="2772">
        <v>40</v>
      </c>
      <c r="J45" s="2772">
        <v>89.2</v>
      </c>
      <c r="K45" s="2772">
        <f>J45-J44</f>
        <v>7.5</v>
      </c>
    </row>
    <row r="46" spans="1:14">
      <c r="I46" s="2772">
        <v>50</v>
      </c>
      <c r="J46" s="2772">
        <v>94.3</v>
      </c>
      <c r="K46" s="2772">
        <f t="shared" ref="K46:K47" si="4">J46-J45</f>
        <v>5.0999999999999943</v>
      </c>
    </row>
    <row r="47" spans="1:14">
      <c r="I47" s="2772">
        <v>60</v>
      </c>
      <c r="J47" s="2772">
        <v>97.7</v>
      </c>
      <c r="K47" s="2772">
        <f t="shared" si="4"/>
        <v>3.4000000000000057</v>
      </c>
    </row>
    <row r="48" spans="1:14" ht="14.25" thickBot="1"/>
    <row r="49" spans="1:4">
      <c r="A49" s="2728" t="s">
        <v>3365</v>
      </c>
    </row>
    <row r="50" spans="1:4">
      <c r="A50" s="3115" t="s">
        <v>3366</v>
      </c>
      <c r="B50" s="3115" t="s">
        <v>3367</v>
      </c>
      <c r="C50" s="3115" t="s">
        <v>3368</v>
      </c>
      <c r="D50" s="3115" t="s">
        <v>3369</v>
      </c>
    </row>
    <row r="51" spans="1:4">
      <c r="A51" s="3115" t="s">
        <v>3370</v>
      </c>
      <c r="B51" s="2737">
        <f>B52+B53</f>
        <v>15000</v>
      </c>
      <c r="C51" s="3116">
        <f>D51/B51</f>
        <v>2666.6666666666665</v>
      </c>
      <c r="D51" s="2737">
        <f>D52+D53</f>
        <v>40000000</v>
      </c>
    </row>
    <row r="52" spans="1:4">
      <c r="A52" s="3117" t="s">
        <v>3371</v>
      </c>
      <c r="B52" s="3118">
        <v>10000</v>
      </c>
      <c r="C52" s="3118">
        <v>1500</v>
      </c>
      <c r="D52" s="3119">
        <f>C52*B52</f>
        <v>15000000</v>
      </c>
    </row>
    <row r="53" spans="1:4">
      <c r="A53" s="3117" t="s">
        <v>3372</v>
      </c>
      <c r="B53" s="3118">
        <v>5000</v>
      </c>
      <c r="C53" s="3118">
        <v>5000</v>
      </c>
      <c r="D53" s="3119">
        <f>C53*B53</f>
        <v>25000000</v>
      </c>
    </row>
    <row r="54" spans="1:4">
      <c r="A54" s="3115" t="s">
        <v>3373</v>
      </c>
      <c r="B54" s="2737">
        <f>B51</f>
        <v>15000</v>
      </c>
      <c r="C54" s="2743">
        <v>700</v>
      </c>
      <c r="D54" s="2737">
        <f t="shared" ref="D54:D55" si="5">C54*B54</f>
        <v>10500000</v>
      </c>
    </row>
    <row r="55" spans="1:4">
      <c r="A55" s="3115" t="s">
        <v>3374</v>
      </c>
      <c r="B55" s="2737">
        <f>B51</f>
        <v>15000</v>
      </c>
      <c r="C55" s="2743">
        <v>1500</v>
      </c>
      <c r="D55" s="2737">
        <f t="shared" si="5"/>
        <v>22500000</v>
      </c>
    </row>
    <row r="56" spans="1:4">
      <c r="A56" s="3115" t="s">
        <v>3375</v>
      </c>
      <c r="B56" s="2737">
        <f>B51</f>
        <v>15000</v>
      </c>
      <c r="C56" s="3120">
        <f>C51+C54+C55</f>
        <v>4866.6666666666661</v>
      </c>
      <c r="D56" s="2737">
        <f>D51+D54+D55</f>
        <v>73000000</v>
      </c>
    </row>
    <row r="58" spans="1:4">
      <c r="A58" s="3115" t="s">
        <v>3376</v>
      </c>
      <c r="B58" s="3121">
        <v>0.05</v>
      </c>
      <c r="C58" s="2737">
        <f>C56*(1+B58)</f>
        <v>5110</v>
      </c>
      <c r="D58" s="2737">
        <f>D56*B58</f>
        <v>3650000</v>
      </c>
    </row>
    <row r="60" spans="1:4">
      <c r="A60" s="3115" t="s">
        <v>3377</v>
      </c>
      <c r="B60" s="2743">
        <v>3500</v>
      </c>
      <c r="C60" s="2743">
        <f>C53</f>
        <v>5000</v>
      </c>
      <c r="D60" s="2737">
        <f>C60*B60</f>
        <v>17500000</v>
      </c>
    </row>
    <row r="62" spans="1:4">
      <c r="A62" s="3115" t="s">
        <v>3378</v>
      </c>
      <c r="B62" s="2743">
        <f>B51</f>
        <v>15000</v>
      </c>
      <c r="C62" s="3122">
        <f>D62/B62</f>
        <v>6276.666666666667</v>
      </c>
      <c r="D62" s="2743">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6" sqref="A26:L30"/>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2163</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2164</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2165</v>
      </c>
      <c r="B3" s="2162">
        <v>45952</v>
      </c>
      <c r="C3" s="2163" t="s">
        <v>2166</v>
      </c>
      <c r="D3" s="2162">
        <v>45952</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2167</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2168</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2169</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2170</v>
      </c>
      <c r="B7" s="2175"/>
      <c r="C7" s="2173"/>
      <c r="D7" s="2174"/>
      <c r="E7" s="2417"/>
      <c r="F7" s="2418"/>
      <c r="G7" s="2418"/>
      <c r="H7" s="2418"/>
      <c r="I7" s="2418"/>
      <c r="J7" s="2222"/>
      <c r="K7" s="2379"/>
      <c r="L7" s="2376"/>
      <c r="M7" s="2376"/>
      <c r="N7" s="2222"/>
      <c r="O7" s="1647"/>
      <c r="P7" s="2222"/>
      <c r="Q7" s="2222"/>
      <c r="R7" s="2222"/>
    </row>
    <row r="8" spans="1:30">
      <c r="A8" s="2176" t="s">
        <v>2171</v>
      </c>
      <c r="B8" s="2177" t="s">
        <v>3396</v>
      </c>
      <c r="C8" s="2178"/>
      <c r="D8" s="3319" t="s">
        <v>2172</v>
      </c>
      <c r="E8" s="2179" t="s">
        <v>3397</v>
      </c>
      <c r="F8" s="2180"/>
      <c r="G8" s="2418"/>
      <c r="H8" s="2418"/>
      <c r="I8" s="2418"/>
      <c r="J8" s="2222"/>
      <c r="K8" s="2377"/>
      <c r="L8" s="2376"/>
      <c r="M8" s="2376"/>
      <c r="N8" s="2222"/>
      <c r="O8" s="1647"/>
      <c r="P8" s="2222"/>
      <c r="Q8" s="2222"/>
      <c r="R8" s="2222"/>
    </row>
    <row r="9" spans="1:30" ht="13.5" thickBot="1">
      <c r="A9" s="2181" t="s">
        <v>2173</v>
      </c>
      <c r="B9" s="2182" t="s">
        <v>3397</v>
      </c>
      <c r="C9" s="2183"/>
      <c r="D9" s="3320"/>
      <c r="E9" s="2182" t="s">
        <v>43</v>
      </c>
      <c r="F9" s="2184"/>
      <c r="G9" s="2419"/>
      <c r="H9" s="2419"/>
      <c r="I9" s="2419"/>
      <c r="J9" s="2222"/>
      <c r="K9" s="2379"/>
      <c r="L9" s="2376"/>
      <c r="M9" s="2376"/>
      <c r="N9" s="2222"/>
      <c r="O9" s="1647"/>
      <c r="P9" s="2222"/>
      <c r="Q9" s="2222"/>
      <c r="R9" s="2222"/>
    </row>
    <row r="10" spans="1:30" ht="13.5" thickTop="1">
      <c r="A10" s="2185" t="s">
        <v>2174</v>
      </c>
      <c r="B10" s="2186" t="s">
        <v>3398</v>
      </c>
      <c r="C10" s="2187"/>
      <c r="D10" s="2170"/>
      <c r="E10" s="2188" t="s">
        <v>2175</v>
      </c>
      <c r="F10" s="2420"/>
      <c r="G10" s="2421"/>
      <c r="H10" s="2422"/>
      <c r="I10" s="2423"/>
      <c r="J10" s="2222"/>
      <c r="K10" s="2379"/>
      <c r="L10" s="2376"/>
      <c r="M10" s="2376"/>
      <c r="N10" s="2222"/>
      <c r="O10" s="1647"/>
      <c r="P10" s="2222"/>
      <c r="Q10" s="2222"/>
      <c r="R10" s="2222"/>
    </row>
    <row r="11" spans="1:30">
      <c r="A11" s="2189" t="s">
        <v>2176</v>
      </c>
      <c r="B11" s="2190" t="s">
        <v>3399</v>
      </c>
      <c r="C11" s="2191"/>
      <c r="D11" s="2192"/>
      <c r="E11" s="2159"/>
      <c r="F11" s="2159"/>
      <c r="G11" s="2159"/>
      <c r="H11" s="2159"/>
      <c r="I11" s="2159"/>
      <c r="J11" s="2774"/>
      <c r="K11" s="2376"/>
      <c r="L11" s="2376"/>
      <c r="M11" s="2376"/>
      <c r="N11" s="2222"/>
      <c r="O11" s="1647"/>
      <c r="P11" s="2222"/>
      <c r="Q11" s="2222"/>
      <c r="R11" s="2222"/>
    </row>
    <row r="12" spans="1:30">
      <c r="A12" s="2193" t="s">
        <v>2177</v>
      </c>
      <c r="B12" s="308" t="s">
        <v>2178</v>
      </c>
      <c r="C12" s="2194" t="s">
        <v>2179</v>
      </c>
      <c r="D12" s="2194" t="s">
        <v>2180</v>
      </c>
      <c r="E12" s="2194" t="s">
        <v>2181</v>
      </c>
      <c r="F12" s="2194" t="s">
        <v>2182</v>
      </c>
      <c r="G12" s="2194" t="s">
        <v>2183</v>
      </c>
      <c r="H12" s="2194" t="s">
        <v>2184</v>
      </c>
      <c r="I12" s="2773" t="s">
        <v>2560</v>
      </c>
      <c r="J12" s="2775"/>
      <c r="K12" s="2376"/>
      <c r="L12" s="2376"/>
      <c r="M12" s="2222"/>
      <c r="N12" s="1647"/>
      <c r="O12" s="2222"/>
      <c r="P12" s="2222"/>
      <c r="Q12" s="2222"/>
      <c r="AD12" s="1595"/>
    </row>
    <row r="13" spans="1:30">
      <c r="A13" s="3094" t="s">
        <v>3314</v>
      </c>
      <c r="B13" s="2195" t="s">
        <v>2185</v>
      </c>
      <c r="C13" s="785"/>
      <c r="D13" s="785">
        <v>58313</v>
      </c>
      <c r="E13" s="785">
        <v>61966</v>
      </c>
      <c r="F13" s="785"/>
      <c r="G13" s="785"/>
      <c r="H13" s="785"/>
      <c r="I13" s="785">
        <v>61966</v>
      </c>
      <c r="J13" s="2775"/>
      <c r="K13" s="2376"/>
      <c r="L13" s="2376"/>
      <c r="M13" s="2222"/>
      <c r="N13" s="1647"/>
      <c r="O13" s="2222"/>
      <c r="P13" s="2222"/>
      <c r="Q13" s="2222"/>
      <c r="AD13" s="1595"/>
    </row>
    <row r="14" spans="1:30">
      <c r="A14" s="996"/>
      <c r="B14" s="2195" t="s">
        <v>2186</v>
      </c>
      <c r="C14" s="2196"/>
      <c r="D14" s="2196">
        <v>40</v>
      </c>
      <c r="E14" s="2196">
        <v>50</v>
      </c>
      <c r="F14" s="2196"/>
      <c r="G14" s="2196"/>
      <c r="H14" s="2196"/>
      <c r="I14" s="2196">
        <v>50</v>
      </c>
      <c r="J14" s="2776"/>
      <c r="K14" s="2376"/>
      <c r="L14" s="2376"/>
      <c r="M14" s="2222"/>
      <c r="N14" s="1647"/>
      <c r="O14" s="2222"/>
      <c r="P14" s="2222"/>
      <c r="Q14" s="2222"/>
      <c r="AD14" s="1595"/>
    </row>
    <row r="15" spans="1:30">
      <c r="A15" s="305"/>
      <c r="B15" s="2197" t="s">
        <v>2187</v>
      </c>
      <c r="C15" s="2198" t="str">
        <f>IF(A13="出让",IF(C13="","",ROUNDDOWN(MIN((C13-$D$3)/365,C14),2)),C14)</f>
        <v/>
      </c>
      <c r="D15" s="2198">
        <f>IF(A13="出让",IF(D13="","",ROUNDDOWN(MIN((D13-$D$3)/365,D14),2)),D14)</f>
        <v>33.86</v>
      </c>
      <c r="E15" s="2198">
        <f>IF(A13="出让",IF(E13="","",ROUNDDOWN(MIN((E13-$D$3)/365,E14),2)),E14)</f>
        <v>43.87</v>
      </c>
      <c r="F15" s="2198" t="str">
        <f>IF(A13="出让",IF(F13="","",ROUNDDOWN(MIN((F13-$D$3)/365,F14),2)),F14)</f>
        <v/>
      </c>
      <c r="G15" s="2198" t="str">
        <f>IF(A13="出让",IF(G13="","",ROUNDDOWN(MIN((G13-$D$3)/365,G14),2)),G14)</f>
        <v/>
      </c>
      <c r="H15" s="2198" t="str">
        <f>IF(A13="出让",IF(H13="","",ROUNDDOWN(MIN((H13-$D$3)/365,H14),2)),H14)</f>
        <v/>
      </c>
      <c r="I15" s="2198">
        <f>IF(A13="出让",IF(I13="","",ROUNDDOWN(MIN((I13-$D$3)/365,I14),2)),I14)</f>
        <v>43.87</v>
      </c>
      <c r="J15" s="2777"/>
      <c r="K15" s="1647"/>
      <c r="L15" s="1647"/>
      <c r="M15" s="2222"/>
      <c r="N15" s="1647"/>
      <c r="O15" s="2222"/>
      <c r="P15" s="2222"/>
      <c r="Q15" s="2222"/>
      <c r="AD15" s="1595"/>
    </row>
    <row r="16" spans="1:30">
      <c r="A16" s="2188" t="s">
        <v>2188</v>
      </c>
      <c r="B16" s="3326"/>
      <c r="C16" s="3327"/>
      <c r="D16" s="3328"/>
      <c r="E16" s="2199" t="s">
        <v>2189</v>
      </c>
      <c r="F16" s="3329"/>
      <c r="G16" s="3330"/>
      <c r="H16" s="3330"/>
      <c r="I16" s="3331"/>
      <c r="J16" s="2222"/>
      <c r="K16" s="2380"/>
      <c r="L16" s="1647"/>
      <c r="M16" s="1647"/>
      <c r="N16" s="2222"/>
      <c r="O16" s="1647"/>
      <c r="P16" s="2222"/>
      <c r="Q16" s="2222"/>
      <c r="R16" s="2222"/>
    </row>
    <row r="17" spans="1:28">
      <c r="A17" s="299" t="s">
        <v>2190</v>
      </c>
      <c r="B17" s="288" t="s">
        <v>2191</v>
      </c>
      <c r="C17" s="8">
        <f>'数据-汇总表'!E3</f>
        <v>45214.01</v>
      </c>
      <c r="D17" s="1234" t="s">
        <v>2192</v>
      </c>
      <c r="E17" s="3332" t="s">
        <v>2193</v>
      </c>
      <c r="F17" s="3333"/>
      <c r="G17" s="3333"/>
      <c r="H17" s="3333"/>
      <c r="I17" s="3334"/>
      <c r="J17" s="2222"/>
      <c r="K17" s="2381"/>
      <c r="L17" s="1647"/>
      <c r="M17" s="1647"/>
      <c r="N17" s="2222"/>
      <c r="O17" s="1647"/>
      <c r="P17" s="2222"/>
      <c r="Q17" s="2222"/>
      <c r="R17" s="2222"/>
      <c r="S17" s="2222"/>
      <c r="T17" s="2222"/>
      <c r="U17" s="2222"/>
      <c r="V17" s="2222"/>
    </row>
    <row r="18" spans="1:28" ht="24.75" thickBot="1">
      <c r="A18" s="2200" t="s">
        <v>2194</v>
      </c>
      <c r="B18" s="1005" t="s">
        <v>2195</v>
      </c>
      <c r="C18" s="2201">
        <f>'数据-汇总表'!D3</f>
        <v>37658.28</v>
      </c>
      <c r="D18" s="1007" t="s">
        <v>2196</v>
      </c>
      <c r="E18" s="3335" t="s">
        <v>2197</v>
      </c>
      <c r="F18" s="3336"/>
      <c r="G18" s="3336"/>
      <c r="H18" s="3336"/>
      <c r="I18" s="3337"/>
      <c r="J18" s="2222"/>
      <c r="K18" s="2381"/>
      <c r="L18" s="1647"/>
      <c r="M18" s="1647"/>
      <c r="N18" s="2222"/>
      <c r="O18" s="1647"/>
      <c r="P18" s="2222"/>
      <c r="Q18" s="2222"/>
      <c r="R18" s="2222"/>
      <c r="S18" s="2222"/>
      <c r="T18" s="2222"/>
      <c r="U18" s="2222"/>
      <c r="V18" s="2222"/>
    </row>
    <row r="19" spans="1:28" ht="37.5" thickTop="1" thickBot="1">
      <c r="A19" s="312" t="s">
        <v>1052</v>
      </c>
      <c r="B19" s="293" t="s">
        <v>2198</v>
      </c>
      <c r="C19" s="1433"/>
      <c r="D19" s="1434" t="s">
        <v>2199</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2200</v>
      </c>
      <c r="B20" s="3322" t="s">
        <v>2201</v>
      </c>
      <c r="C20" s="3323"/>
      <c r="D20" s="3324" t="s">
        <v>2202</v>
      </c>
      <c r="E20" s="3325"/>
      <c r="F20" s="2407" t="s">
        <v>1053</v>
      </c>
      <c r="G20" s="2418"/>
      <c r="H20" s="2418"/>
      <c r="I20" s="2418"/>
      <c r="J20" s="2222"/>
      <c r="K20" s="3321" t="s">
        <v>2203</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2204</v>
      </c>
      <c r="C21" s="2273" t="s">
        <v>1054</v>
      </c>
      <c r="D21" s="1438" t="s">
        <v>2205</v>
      </c>
      <c r="E21" s="2396" t="s">
        <v>1054</v>
      </c>
      <c r="F21" s="2408"/>
      <c r="G21" s="2418"/>
      <c r="H21" s="2418"/>
      <c r="I21" s="2418"/>
      <c r="J21" s="2222"/>
      <c r="K21" s="3321"/>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2206</v>
      </c>
      <c r="C22" s="2273" t="s">
        <v>1055</v>
      </c>
      <c r="D22" s="2418"/>
      <c r="E22" s="2418"/>
      <c r="F22" s="2418"/>
      <c r="G22" s="2418"/>
      <c r="H22" s="2418"/>
      <c r="I22" s="2418"/>
      <c r="J22" s="2222"/>
      <c r="K22" s="3321"/>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2207</v>
      </c>
      <c r="B23" s="2270" t="s">
        <v>2208</v>
      </c>
      <c r="C23" s="2399"/>
      <c r="D23" s="2400" t="s">
        <v>2208</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1056</v>
      </c>
      <c r="C24" s="2248"/>
      <c r="D24" s="2398" t="s">
        <v>1056</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1057</v>
      </c>
      <c r="C25" s="2248"/>
      <c r="D25" s="2398" t="s">
        <v>1057</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1058</v>
      </c>
      <c r="C26" s="2405"/>
      <c r="D26" s="2403" t="s">
        <v>1058</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310" t="s">
        <v>2209</v>
      </c>
      <c r="B27" s="305" t="s">
        <v>2210</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310"/>
      <c r="B28" s="288" t="s">
        <v>2211</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310"/>
      <c r="B29" s="288" t="s">
        <v>2212</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311"/>
      <c r="B30" s="288" t="s">
        <v>2213</v>
      </c>
      <c r="C30" s="3312"/>
      <c r="D30" s="3313"/>
      <c r="E30" s="2418"/>
      <c r="F30" s="2418"/>
      <c r="G30" s="2418"/>
      <c r="H30" s="2418"/>
      <c r="I30" s="2418"/>
      <c r="J30" s="2222"/>
      <c r="K30" s="2379"/>
      <c r="L30" s="2376"/>
      <c r="M30" s="2376"/>
      <c r="N30" s="2222"/>
      <c r="O30" s="1647"/>
      <c r="P30" s="2222"/>
      <c r="Q30" s="2222"/>
      <c r="R30" s="2222"/>
      <c r="S30" s="2222"/>
      <c r="T30" s="2222"/>
      <c r="U30" s="2222"/>
      <c r="V30" s="2222"/>
    </row>
    <row r="31" spans="1:28">
      <c r="A31" s="3314" t="s">
        <v>2214</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315"/>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315"/>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2215</v>
      </c>
      <c r="B34" s="1847"/>
      <c r="C34" s="1847"/>
      <c r="D34" s="1847"/>
      <c r="E34" s="1847"/>
      <c r="F34" s="1847"/>
      <c r="G34" s="1847"/>
      <c r="H34" s="1847"/>
      <c r="I34" s="2418"/>
      <c r="J34" s="2222"/>
      <c r="K34" s="8">
        <f>COUNTIF(B34:H34,"——")</f>
        <v>0</v>
      </c>
      <c r="L34" s="308" t="s">
        <v>2216</v>
      </c>
      <c r="M34" s="308" t="s">
        <v>2217</v>
      </c>
      <c r="N34" s="308" t="s">
        <v>2218</v>
      </c>
      <c r="O34" s="308" t="s">
        <v>2219</v>
      </c>
      <c r="P34" s="308" t="s">
        <v>2220</v>
      </c>
      <c r="Q34" s="308" t="s">
        <v>2221</v>
      </c>
      <c r="R34" s="308" t="s">
        <v>2222</v>
      </c>
      <c r="S34" s="3309" t="s">
        <v>2223</v>
      </c>
      <c r="T34" s="308" t="str">
        <f>NUMBERSTRING(7-K34,1)&amp;"通"</f>
        <v>七通</v>
      </c>
      <c r="U34" s="2222"/>
      <c r="V34" s="2222"/>
    </row>
    <row r="35" spans="1:30">
      <c r="A35" s="2213"/>
      <c r="B35" s="3309" t="s">
        <v>2224</v>
      </c>
      <c r="C35" s="3309"/>
      <c r="D35" s="3309"/>
      <c r="E35" s="3309"/>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309"/>
      <c r="T35" s="132" t="str">
        <f>IF(T34="一通",L35,IF(T34="二通",M35,IF(T34="三通",N35,IF(T34="四通",O35,IF(T34="五通",P35,IF(T34="六通",Q35,R35))))))</f>
        <v>、、、、、、</v>
      </c>
      <c r="U35" s="2222"/>
      <c r="V35" s="2222"/>
    </row>
    <row r="36" spans="1:30">
      <c r="A36" s="2160"/>
      <c r="B36" s="8" t="s">
        <v>2180</v>
      </c>
      <c r="C36" s="8" t="s">
        <v>2181</v>
      </c>
      <c r="D36" s="8" t="s">
        <v>2179</v>
      </c>
      <c r="E36" s="8" t="s">
        <v>2184</v>
      </c>
      <c r="F36" s="2773" t="s">
        <v>2563</v>
      </c>
      <c r="G36" s="2418"/>
      <c r="H36" s="2418"/>
      <c r="I36" s="2418"/>
      <c r="J36" s="2222"/>
      <c r="K36" s="2379"/>
      <c r="L36" s="2376"/>
      <c r="M36" s="2376"/>
      <c r="N36" s="2222"/>
      <c r="O36" s="1647"/>
      <c r="P36" s="2222"/>
      <c r="Q36" s="2222"/>
      <c r="R36" s="2222"/>
      <c r="S36" s="2222"/>
      <c r="T36" s="2222"/>
      <c r="U36" s="2222"/>
      <c r="V36" s="2222"/>
    </row>
    <row r="37" spans="1:30">
      <c r="A37" s="2392" t="s">
        <v>2225</v>
      </c>
      <c r="B37" s="2214" t="s">
        <v>29</v>
      </c>
      <c r="C37" s="2214" t="s">
        <v>29</v>
      </c>
      <c r="D37" s="2214"/>
      <c r="E37" s="2214"/>
      <c r="F37" s="2214" t="s">
        <v>29</v>
      </c>
      <c r="G37" s="2418"/>
      <c r="H37" s="2418"/>
      <c r="I37" s="2418"/>
      <c r="J37" s="2222"/>
      <c r="K37" s="2379"/>
      <c r="L37" s="2376"/>
      <c r="M37" s="2376"/>
      <c r="N37" s="2222"/>
      <c r="O37" s="1647"/>
      <c r="P37" s="2222"/>
      <c r="Q37" s="2222"/>
      <c r="R37" s="2222"/>
      <c r="S37" s="2222"/>
      <c r="T37" s="2222"/>
      <c r="U37" s="2222"/>
      <c r="V37" s="2222"/>
    </row>
    <row r="38" spans="1:30" ht="13.5" thickBot="1">
      <c r="A38" s="2393" t="s">
        <v>2226</v>
      </c>
      <c r="B38" s="2215" t="s">
        <v>189</v>
      </c>
      <c r="C38" s="2215" t="s">
        <v>189</v>
      </c>
      <c r="D38" s="2215"/>
      <c r="E38" s="2215"/>
      <c r="F38" s="2215" t="s">
        <v>189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2227</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2228</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2229</v>
      </c>
      <c r="B42" s="8" t="s">
        <v>2230</v>
      </c>
      <c r="C42" s="8" t="s">
        <v>2231</v>
      </c>
      <c r="D42" s="8" t="s">
        <v>2232</v>
      </c>
      <c r="E42" s="8" t="s">
        <v>2233</v>
      </c>
      <c r="F42" s="8" t="s">
        <v>2234</v>
      </c>
      <c r="G42" s="8" t="s">
        <v>2235</v>
      </c>
      <c r="H42" s="8" t="s">
        <v>2236</v>
      </c>
      <c r="I42" s="8" t="s">
        <v>2237</v>
      </c>
      <c r="J42" s="2388" t="s">
        <v>2238</v>
      </c>
      <c r="K42" s="2389" t="s">
        <v>2239</v>
      </c>
      <c r="L42" s="2389" t="s">
        <v>2240</v>
      </c>
      <c r="M42" s="2389" t="s">
        <v>2241</v>
      </c>
      <c r="N42" s="2382" t="s">
        <v>2242</v>
      </c>
      <c r="O42" s="2382" t="s">
        <v>2243</v>
      </c>
      <c r="P42" s="2382" t="s">
        <v>2244</v>
      </c>
      <c r="Q42" s="2383" t="s">
        <v>2245</v>
      </c>
      <c r="R42" s="2383" t="s">
        <v>2246</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customWidth="1"/>
    <col min="18" max="18" width="9.25" style="1441" customWidth="1"/>
    <col min="19" max="19" width="10.875" style="1441" customWidth="1"/>
    <col min="20" max="21" width="10.75" style="1441" customWidth="1"/>
    <col min="22" max="22" width="10.875" style="1441" customWidth="1"/>
    <col min="23" max="27" width="10.75" style="1441" customWidth="1"/>
    <col min="28" max="28" width="10.875" style="1441" customWidth="1"/>
    <col min="29" max="29" width="11" style="1441" bestFit="1" customWidth="1"/>
    <col min="30" max="30" width="10" style="1441" bestFit="1" customWidth="1"/>
    <col min="31" max="31" width="9.75" style="1441" customWidth="1"/>
    <col min="32"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1059</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1060</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1061</v>
      </c>
      <c r="B2" s="8" t="s">
        <v>1062</v>
      </c>
      <c r="C2" s="8" t="s">
        <v>1063</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1064</v>
      </c>
      <c r="AZ2" s="966" t="s">
        <v>1065</v>
      </c>
      <c r="BA2" s="8" t="s">
        <v>1066</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f>评估范围!N31</f>
        <v>37658.28</v>
      </c>
      <c r="B3" s="11">
        <f>IF(C3="否",G5-AT5,G5)</f>
        <v>45214.01</v>
      </c>
      <c r="C3" s="1447" t="s">
        <v>1067</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1068</v>
      </c>
      <c r="B5" s="1237"/>
      <c r="C5" s="1237"/>
      <c r="D5" s="1238"/>
      <c r="E5" s="13" t="s">
        <v>0</v>
      </c>
      <c r="F5" s="13">
        <f>SUM(F13:F587)</f>
        <v>0</v>
      </c>
      <c r="G5" s="13">
        <f>SUM(G13:G587)</f>
        <v>45214.01</v>
      </c>
      <c r="H5" s="13">
        <f t="shared" ref="H5:AT5" si="0">SUM(H13:H656)</f>
        <v>45214.01</v>
      </c>
      <c r="I5" s="13">
        <f t="shared" si="0"/>
        <v>7681.7400000000007</v>
      </c>
      <c r="J5" s="13">
        <f t="shared" si="0"/>
        <v>0</v>
      </c>
      <c r="K5" s="13">
        <f t="shared" si="0"/>
        <v>37532.270000000004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1068</v>
      </c>
      <c r="AW5" s="1237"/>
      <c r="AX5" s="1237"/>
      <c r="AY5" s="14" t="s">
        <v>2</v>
      </c>
      <c r="AZ5" s="15">
        <f t="shared" ref="AZ5:BT5" si="1">SUM(AZ13:AZ656)</f>
        <v>45214.01</v>
      </c>
      <c r="BA5" s="15">
        <f t="shared" si="1"/>
        <v>45214.01</v>
      </c>
      <c r="BB5" s="15">
        <f t="shared" si="1"/>
        <v>7681.7400000000007</v>
      </c>
      <c r="BC5" s="15">
        <f t="shared" si="1"/>
        <v>37532.270000000004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5" customFormat="1" ht="12.75">
      <c r="A6" s="12" t="s">
        <v>1069</v>
      </c>
      <c r="B6" s="1452"/>
      <c r="C6" s="1452"/>
      <c r="D6" s="1453"/>
      <c r="E6" s="13">
        <f>H6+AC6+AT6</f>
        <v>37658.28</v>
      </c>
      <c r="F6" s="13" t="s">
        <v>0</v>
      </c>
      <c r="G6" s="13" t="s">
        <v>1</v>
      </c>
      <c r="H6" s="17">
        <f>SUMIF(I$12:AB$12,"总值",I6:AB6)</f>
        <v>37658.28</v>
      </c>
      <c r="I6" s="13">
        <f t="shared" ref="I6:AB6" si="2">ROUND($A$3*I5/$B$3,2)</f>
        <v>6398.04</v>
      </c>
      <c r="J6" s="13">
        <f t="shared" si="2"/>
        <v>0</v>
      </c>
      <c r="K6" s="13">
        <f t="shared" si="2"/>
        <v>31260.240000000002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1069</v>
      </c>
      <c r="AW6" s="1452"/>
      <c r="AX6" s="1452"/>
      <c r="AY6" s="18">
        <f>IF(AY3&gt;0,AY3,ROUND($A$3*AZ5/$B$3,2))</f>
        <v>37658.28</v>
      </c>
      <c r="AZ6" s="13" t="s">
        <v>2</v>
      </c>
      <c r="BA6" s="13">
        <f>ROUND($AY$6*BA5/$AZ$5,2)</f>
        <v>37658.28</v>
      </c>
      <c r="BB6" s="13">
        <f>ROUND($AY$6*BB5/$AZ$5,2)</f>
        <v>6398.04</v>
      </c>
      <c r="BC6" s="13">
        <f t="shared" ref="BC6:BH6" si="4">ROUND($AY$6*BC5/$AZ$5,2)</f>
        <v>31260.240000000002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6" customFormat="1" ht="24.75">
      <c r="A7" s="1439" t="s">
        <v>1070</v>
      </c>
      <c r="B7" s="1439" t="s">
        <v>1071</v>
      </c>
      <c r="C7" s="1439" t="s">
        <v>1072</v>
      </c>
      <c r="D7" s="1439" t="s">
        <v>1073</v>
      </c>
      <c r="E7" s="1439" t="s">
        <v>1074</v>
      </c>
      <c r="F7" s="1439" t="s">
        <v>1075</v>
      </c>
      <c r="G7" s="1456" t="s">
        <v>1076</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1077</v>
      </c>
      <c r="AV7" s="20" t="s">
        <v>1078</v>
      </c>
      <c r="AW7" s="1444" t="s">
        <v>1079</v>
      </c>
      <c r="AX7" s="20" t="s">
        <v>1072</v>
      </c>
      <c r="AY7" s="1237" t="s">
        <v>1080</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1081</v>
      </c>
      <c r="H8" s="1462" t="s">
        <v>1082</v>
      </c>
      <c r="I8" s="1463"/>
      <c r="J8" s="1247"/>
      <c r="K8" s="1247"/>
      <c r="L8" s="1247"/>
      <c r="M8" s="1247"/>
      <c r="N8" s="1247"/>
      <c r="O8" s="1247"/>
      <c r="P8" s="1247"/>
      <c r="Q8" s="1247"/>
      <c r="R8" s="1247"/>
      <c r="S8" s="1247"/>
      <c r="T8" s="1247"/>
      <c r="U8" s="1247"/>
      <c r="V8" s="1464"/>
      <c r="W8" s="1247"/>
      <c r="X8" s="1247"/>
      <c r="Y8" s="1247"/>
      <c r="Z8" s="1247"/>
      <c r="AA8" s="1464"/>
      <c r="AB8" s="1465"/>
      <c r="AC8" s="743" t="s">
        <v>1083</v>
      </c>
      <c r="AD8" s="1466"/>
      <c r="AE8" s="1458"/>
      <c r="AF8" s="1247"/>
      <c r="AG8" s="1247"/>
      <c r="AH8" s="1247"/>
      <c r="AI8" s="1247"/>
      <c r="AJ8" s="1247"/>
      <c r="AK8" s="1247"/>
      <c r="AL8" s="1247"/>
      <c r="AM8" s="1247"/>
      <c r="AN8" s="1247"/>
      <c r="AO8" s="1247"/>
      <c r="AP8" s="1247"/>
      <c r="AQ8" s="1247"/>
      <c r="AR8" s="1247"/>
      <c r="AS8" s="1247"/>
      <c r="AT8" s="986" t="s">
        <v>1084</v>
      </c>
      <c r="AU8" s="1460" t="s">
        <v>1085</v>
      </c>
      <c r="AV8" s="986"/>
      <c r="AW8" s="1445"/>
      <c r="AX8" s="986"/>
      <c r="AY8" s="1444" t="s">
        <v>1086</v>
      </c>
      <c r="AZ8" s="1246" t="s">
        <v>1087</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1088</v>
      </c>
      <c r="I9" s="1469" t="s">
        <v>3471</v>
      </c>
      <c r="J9" s="743"/>
      <c r="K9" s="1469" t="s">
        <v>3471</v>
      </c>
      <c r="L9" s="743"/>
      <c r="M9" s="1469"/>
      <c r="N9" s="743"/>
      <c r="O9" s="1469"/>
      <c r="P9" s="743"/>
      <c r="Q9" s="1469"/>
      <c r="R9" s="743"/>
      <c r="S9" s="1469"/>
      <c r="T9" s="743"/>
      <c r="U9" s="1469"/>
      <c r="V9" s="743"/>
      <c r="W9" s="1469"/>
      <c r="X9" s="1470"/>
      <c r="Y9" s="1469"/>
      <c r="Z9" s="743"/>
      <c r="AA9" s="1469"/>
      <c r="AB9" s="743"/>
      <c r="AC9" s="1461" t="s">
        <v>1088</v>
      </c>
      <c r="AD9" s="12" t="s">
        <v>1089</v>
      </c>
      <c r="AE9" s="992"/>
      <c r="AF9" s="12" t="s">
        <v>1090</v>
      </c>
      <c r="AG9" s="992"/>
      <c r="AH9" s="12" t="s">
        <v>1089</v>
      </c>
      <c r="AI9" s="992"/>
      <c r="AJ9" s="12" t="s">
        <v>1090</v>
      </c>
      <c r="AK9" s="992"/>
      <c r="AL9" s="12" t="s">
        <v>1089</v>
      </c>
      <c r="AM9" s="992"/>
      <c r="AN9" s="12" t="s">
        <v>1090</v>
      </c>
      <c r="AO9" s="992"/>
      <c r="AP9" s="12" t="s">
        <v>1089</v>
      </c>
      <c r="AQ9" s="992"/>
      <c r="AR9" s="12" t="s">
        <v>1090</v>
      </c>
      <c r="AS9" s="1471"/>
      <c r="AT9" s="1460"/>
      <c r="AU9" s="1460" t="s">
        <v>1091</v>
      </c>
      <c r="AV9" s="986"/>
      <c r="AW9" s="1445"/>
      <c r="AX9" s="986"/>
      <c r="AY9" s="25"/>
      <c r="AZ9" s="25" t="s">
        <v>1081</v>
      </c>
      <c r="BA9" s="1472" t="s">
        <v>1092</v>
      </c>
      <c r="BB9" s="1473"/>
      <c r="BC9" s="1003"/>
      <c r="BD9" s="1003"/>
      <c r="BE9" s="1003"/>
      <c r="BF9" s="1003"/>
      <c r="BG9" s="1003"/>
      <c r="BH9" s="1003"/>
      <c r="BI9" s="1003"/>
      <c r="BJ9" s="1003"/>
      <c r="BK9" s="1474"/>
      <c r="BL9" s="12" t="s">
        <v>1093</v>
      </c>
      <c r="BM9" s="1247"/>
      <c r="BN9" s="1463"/>
      <c r="BO9" s="1247"/>
      <c r="BP9" s="1247"/>
      <c r="BQ9" s="1247"/>
      <c r="BR9" s="1247"/>
      <c r="BS9" s="1247"/>
      <c r="BT9" s="23"/>
    </row>
    <row r="10" spans="1:72" s="1467" customFormat="1" ht="12.75">
      <c r="A10" s="1460"/>
      <c r="B10" s="1460"/>
      <c r="C10" s="1460"/>
      <c r="D10" s="1460"/>
      <c r="E10" s="1460"/>
      <c r="F10" s="1460"/>
      <c r="G10" s="986"/>
      <c r="H10" s="25"/>
      <c r="I10" s="1469" t="s">
        <v>670</v>
      </c>
      <c r="J10" s="743"/>
      <c r="K10" s="1475" t="s">
        <v>21</v>
      </c>
      <c r="L10" s="743"/>
      <c r="M10" s="1475"/>
      <c r="N10" s="743"/>
      <c r="O10" s="1475"/>
      <c r="P10" s="743"/>
      <c r="Q10" s="1475"/>
      <c r="R10" s="743"/>
      <c r="S10" s="1475"/>
      <c r="T10" s="743"/>
      <c r="U10" s="1475"/>
      <c r="V10" s="743"/>
      <c r="W10" s="1475"/>
      <c r="X10" s="743"/>
      <c r="Y10" s="1475"/>
      <c r="Z10" s="743"/>
      <c r="AA10" s="1475"/>
      <c r="AB10" s="743"/>
      <c r="AC10" s="986"/>
      <c r="AD10" s="12" t="s">
        <v>1094</v>
      </c>
      <c r="AE10" s="1476"/>
      <c r="AF10" s="12" t="s">
        <v>1094</v>
      </c>
      <c r="AG10" s="1476"/>
      <c r="AH10" s="12" t="s">
        <v>1095</v>
      </c>
      <c r="AI10" s="1476"/>
      <c r="AJ10" s="12" t="s">
        <v>1095</v>
      </c>
      <c r="AK10" s="1476"/>
      <c r="AL10" s="12" t="s">
        <v>1096</v>
      </c>
      <c r="AM10" s="992"/>
      <c r="AN10" s="12" t="s">
        <v>1096</v>
      </c>
      <c r="AO10" s="992"/>
      <c r="AP10" s="12" t="s">
        <v>1097</v>
      </c>
      <c r="AQ10" s="992"/>
      <c r="AR10" s="12" t="s">
        <v>1097</v>
      </c>
      <c r="AS10" s="992"/>
      <c r="AT10" s="1460"/>
      <c r="AU10" s="1460"/>
      <c r="AV10" s="986"/>
      <c r="AW10" s="1445"/>
      <c r="AX10" s="986"/>
      <c r="AY10" s="25"/>
      <c r="AZ10" s="25"/>
      <c r="BA10" s="1477" t="s">
        <v>1088</v>
      </c>
      <c r="BB10" s="1478" t="str">
        <f>I9</f>
        <v>地上</v>
      </c>
      <c r="BC10" s="26" t="str">
        <f>K9</f>
        <v>地上</v>
      </c>
      <c r="BD10" s="26">
        <f>M9</f>
        <v>0</v>
      </c>
      <c r="BE10" s="26">
        <f>O9</f>
        <v>0</v>
      </c>
      <c r="BF10" s="26">
        <f>Q9</f>
        <v>0</v>
      </c>
      <c r="BG10" s="26">
        <f>S9</f>
        <v>0</v>
      </c>
      <c r="BH10" s="26">
        <f>U9</f>
        <v>0</v>
      </c>
      <c r="BI10" s="26">
        <f>W9</f>
        <v>0</v>
      </c>
      <c r="BJ10" s="26">
        <f>Y9</f>
        <v>0</v>
      </c>
      <c r="BK10" s="26">
        <f>AA9</f>
        <v>0</v>
      </c>
      <c r="BL10" s="22" t="s">
        <v>1088</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1098</v>
      </c>
      <c r="AE11" s="1248"/>
      <c r="AF11" s="1482" t="s">
        <v>1098</v>
      </c>
      <c r="AG11" s="1248"/>
      <c r="AH11" s="1482" t="s">
        <v>1099</v>
      </c>
      <c r="AI11" s="1483"/>
      <c r="AJ11" s="1482" t="s">
        <v>1099</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t="str">
        <f>K10</f>
        <v>办公</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36" t="s">
        <v>1101</v>
      </c>
      <c r="W12" s="8" t="s">
        <v>1100</v>
      </c>
      <c r="X12" s="8" t="s">
        <v>1101</v>
      </c>
      <c r="Y12" s="8" t="s">
        <v>1100</v>
      </c>
      <c r="Z12" s="8" t="s">
        <v>1101</v>
      </c>
      <c r="AA12" s="8" t="s">
        <v>1100</v>
      </c>
      <c r="AB12" s="8" t="s">
        <v>1101</v>
      </c>
      <c r="AC12" s="1487"/>
      <c r="AD12" s="1238"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85" t="s">
        <v>1101</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61" t="s">
        <v>2591</v>
      </c>
      <c r="D13" s="1491" t="s">
        <v>3470</v>
      </c>
      <c r="E13" s="13">
        <f>IF($C$3="是",ROUND($A$3*G13/$B$3,2),ROUND($A$3*(G13-AT13)/$B$3,2))</f>
        <v>6398.04</v>
      </c>
      <c r="F13" s="29"/>
      <c r="G13" s="30">
        <f>H13+AC13+AT13</f>
        <v>7681.7400000000007</v>
      </c>
      <c r="H13" s="17">
        <f>SUMIF(I$12:AB$12,"总值",I13:AB13)</f>
        <v>7681.7400000000007</v>
      </c>
      <c r="I13" s="1492">
        <f>评估范围!I31</f>
        <v>7681.7400000000007</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3"/>
      <c r="AV13" s="8">
        <f t="shared" ref="AV13:AX17" si="6">A13</f>
        <v>0</v>
      </c>
      <c r="AW13" s="8">
        <f t="shared" si="6"/>
        <v>0</v>
      </c>
      <c r="AX13" s="8" t="str">
        <f t="shared" si="6"/>
        <v>商业</v>
      </c>
      <c r="AY13" s="1238">
        <f>ROUND($AY$6*AZ13/$AZ$5,2)</f>
        <v>6398.04</v>
      </c>
      <c r="AZ13" s="13">
        <f>BA13+BL13</f>
        <v>7681.7400000000007</v>
      </c>
      <c r="BA13" s="13">
        <f>SUM(BB13:BK13)</f>
        <v>7681.7400000000007</v>
      </c>
      <c r="BB13" s="13">
        <f>IF($D13="是",I13-J13,0)</f>
        <v>7681.7400000000007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6" customFormat="1" ht="12.75">
      <c r="A14" s="621"/>
      <c r="B14" s="621"/>
      <c r="C14" s="3161" t="s">
        <v>460</v>
      </c>
      <c r="D14" s="1491" t="s">
        <v>3470</v>
      </c>
      <c r="E14" s="13">
        <f>IF($C$3="是",ROUND($A$3*G14/$B$3,2),ROUND($A$3*(G14-AT14)/$B$3,2))</f>
        <v>31260.240000000002</v>
      </c>
      <c r="F14" s="29"/>
      <c r="G14" s="30">
        <f>H14+AC14+AT14</f>
        <v>37532.270000000004</v>
      </c>
      <c r="H14" s="17">
        <f>SUMIF(I$12:AB$12,"总值",I14:AB14)</f>
        <v>37532.270000000004</v>
      </c>
      <c r="I14" s="1492"/>
      <c r="J14" s="1492"/>
      <c r="K14" s="1492">
        <f>评估范围!J31</f>
        <v>37532.270000000004</v>
      </c>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办公</v>
      </c>
      <c r="AY14" s="1238">
        <f>ROUND($AY$6*AZ14/$AZ$5,2)</f>
        <v>31260.240000000002</v>
      </c>
      <c r="AZ14" s="13">
        <f>BA14+BL14</f>
        <v>37532.270000000004</v>
      </c>
      <c r="BA14" s="13">
        <f>SUM(BB14:BK14)</f>
        <v>37532.270000000004</v>
      </c>
      <c r="BB14" s="13">
        <f>IF($D14="是",I14-J14,0)</f>
        <v>0</v>
      </c>
      <c r="BC14" s="13">
        <f>IF($D14="是",K14-L14,0)</f>
        <v>37532.270000000004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3161"/>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3161"/>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983E-E0FE-4891-BC9A-27FCB1C2C176}">
  <dimension ref="A1"/>
  <sheetViews>
    <sheetView workbookViewId="0">
      <selection activeCell="I69" sqref="I69"/>
    </sheetView>
  </sheetViews>
  <sheetFormatPr defaultRowHeight="13.5"/>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7F472-423A-4F9D-A09A-FB9ECFB480B1}">
  <sheetPr>
    <pageSetUpPr fitToPage="1"/>
  </sheetPr>
  <dimension ref="A1:O96"/>
  <sheetViews>
    <sheetView zoomScale="85" zoomScaleNormal="85" workbookViewId="0">
      <selection activeCell="A75" sqref="A75:P84"/>
    </sheetView>
  </sheetViews>
  <sheetFormatPr defaultRowHeight="13.5"/>
  <cols>
    <col min="1" max="1" width="5.25" bestFit="1" customWidth="1"/>
    <col min="2" max="2" width="42.75" bestFit="1" customWidth="1"/>
    <col min="3" max="3" width="10.5" bestFit="1" customWidth="1"/>
    <col min="4" max="4" width="7.375" bestFit="1" customWidth="1"/>
    <col min="5" max="5" width="29.625" bestFit="1" customWidth="1"/>
    <col min="6" max="6" width="24.75" bestFit="1" customWidth="1"/>
    <col min="7" max="7" width="42.125" bestFit="1" customWidth="1"/>
    <col min="8" max="8" width="16.75" customWidth="1"/>
    <col min="9" max="10" width="13" bestFit="1" customWidth="1"/>
    <col min="12" max="12" width="10.5" bestFit="1" customWidth="1"/>
    <col min="15" max="15" width="7.5" bestFit="1" customWidth="1"/>
  </cols>
  <sheetData>
    <row r="1" spans="1:15">
      <c r="A1" s="1407" t="s">
        <v>3400</v>
      </c>
      <c r="B1" s="1407" t="s">
        <v>3401</v>
      </c>
      <c r="C1" s="1407" t="s">
        <v>3402</v>
      </c>
      <c r="D1" s="1407" t="s">
        <v>3406</v>
      </c>
      <c r="E1" s="1407" t="s">
        <v>3444</v>
      </c>
      <c r="F1" s="1407" t="s">
        <v>3416</v>
      </c>
      <c r="G1" s="1407" t="s">
        <v>3441</v>
      </c>
      <c r="H1" s="3155" t="s">
        <v>3472</v>
      </c>
      <c r="I1" s="3155" t="s">
        <v>3463</v>
      </c>
      <c r="J1" s="3155" t="s">
        <v>3464</v>
      </c>
      <c r="K1" s="1407" t="s">
        <v>3466</v>
      </c>
      <c r="L1" s="1407" t="s">
        <v>3467</v>
      </c>
      <c r="M1" s="1407" t="s">
        <v>3468</v>
      </c>
      <c r="N1" s="1407" t="s">
        <v>3469</v>
      </c>
      <c r="O1" s="3156"/>
    </row>
    <row r="2" spans="1:15">
      <c r="A2" s="3140">
        <v>1</v>
      </c>
      <c r="B2" s="3141" t="s">
        <v>3404</v>
      </c>
      <c r="C2" s="3140">
        <v>6568.5</v>
      </c>
      <c r="D2" s="3141" t="s">
        <v>3407</v>
      </c>
      <c r="E2" s="3141" t="s">
        <v>3403</v>
      </c>
      <c r="F2" s="3344" t="s">
        <v>3448</v>
      </c>
      <c r="G2" s="3344" t="s">
        <v>3442</v>
      </c>
      <c r="H2" s="3344">
        <v>24597.439999999999</v>
      </c>
      <c r="I2" s="3154">
        <f t="shared" ref="I2:I15" si="0">C2</f>
        <v>6568.5</v>
      </c>
      <c r="J2" s="3154"/>
      <c r="K2" s="3151">
        <v>3500</v>
      </c>
      <c r="L2" s="3151">
        <f t="shared" ref="L2:L24" si="1">K2*C2</f>
        <v>22989750</v>
      </c>
      <c r="M2" s="3151">
        <v>2021</v>
      </c>
      <c r="N2" s="3157">
        <f t="shared" ref="N2:N24" si="2">ROUND(1-(2025-M2)/60,2)</f>
        <v>0.93</v>
      </c>
      <c r="O2" s="3160">
        <f t="shared" ref="O2:O24" si="3">N2*C2</f>
        <v>6108.7049999999999</v>
      </c>
    </row>
    <row r="3" spans="1:15">
      <c r="A3" s="3140">
        <v>2</v>
      </c>
      <c r="B3" s="3141" t="s">
        <v>3405</v>
      </c>
      <c r="C3" s="3140">
        <v>9610.94</v>
      </c>
      <c r="D3" s="3141" t="s">
        <v>3408</v>
      </c>
      <c r="E3" s="3141" t="s">
        <v>3403</v>
      </c>
      <c r="F3" s="3349"/>
      <c r="G3" s="3344"/>
      <c r="H3" s="3344"/>
      <c r="I3" s="3154">
        <f t="shared" si="0"/>
        <v>9610.94</v>
      </c>
      <c r="J3" s="3154"/>
      <c r="K3" s="3151">
        <v>3500</v>
      </c>
      <c r="L3" s="3151">
        <f t="shared" si="1"/>
        <v>33638290</v>
      </c>
      <c r="M3" s="3151">
        <v>2021</v>
      </c>
      <c r="N3" s="3157">
        <f t="shared" si="2"/>
        <v>0.93</v>
      </c>
      <c r="O3" s="3160">
        <f t="shared" si="3"/>
        <v>8938.1742000000013</v>
      </c>
    </row>
    <row r="4" spans="1:15">
      <c r="A4" s="3140">
        <v>3</v>
      </c>
      <c r="B4" s="3141" t="s">
        <v>3411</v>
      </c>
      <c r="C4" s="3140">
        <v>992.16</v>
      </c>
      <c r="D4" s="3141" t="s">
        <v>3409</v>
      </c>
      <c r="E4" s="3141" t="s">
        <v>3410</v>
      </c>
      <c r="F4" s="3349"/>
      <c r="G4" s="3344"/>
      <c r="H4" s="3344"/>
      <c r="I4" s="3154">
        <f t="shared" si="0"/>
        <v>992.16</v>
      </c>
      <c r="J4" s="3154"/>
      <c r="K4" s="3151">
        <v>3500</v>
      </c>
      <c r="L4" s="3151">
        <f t="shared" si="1"/>
        <v>3472560</v>
      </c>
      <c r="M4" s="3151">
        <v>2021</v>
      </c>
      <c r="N4" s="3157">
        <f t="shared" si="2"/>
        <v>0.93</v>
      </c>
      <c r="O4" s="3160">
        <f t="shared" si="3"/>
        <v>922.7088</v>
      </c>
    </row>
    <row r="5" spans="1:15">
      <c r="A5" s="3140">
        <v>4</v>
      </c>
      <c r="B5" s="3141" t="s">
        <v>3412</v>
      </c>
      <c r="C5" s="3140">
        <v>1123.8699999999999</v>
      </c>
      <c r="D5" s="3141" t="s">
        <v>3409</v>
      </c>
      <c r="E5" s="3141" t="s">
        <v>3410</v>
      </c>
      <c r="F5" s="3349"/>
      <c r="G5" s="3344"/>
      <c r="H5" s="3344"/>
      <c r="I5" s="3154">
        <f t="shared" si="0"/>
        <v>1123.8699999999999</v>
      </c>
      <c r="J5" s="3154"/>
      <c r="K5" s="3151">
        <v>3500</v>
      </c>
      <c r="L5" s="3151">
        <f t="shared" si="1"/>
        <v>3933544.9999999995</v>
      </c>
      <c r="M5" s="3151">
        <v>2021</v>
      </c>
      <c r="N5" s="3157">
        <f t="shared" si="2"/>
        <v>0.93</v>
      </c>
      <c r="O5" s="3160">
        <f t="shared" si="3"/>
        <v>1045.1991</v>
      </c>
    </row>
    <row r="6" spans="1:15">
      <c r="A6" s="3140">
        <v>5</v>
      </c>
      <c r="B6" s="3141" t="s">
        <v>3413</v>
      </c>
      <c r="C6" s="3140">
        <v>9624.2999999999993</v>
      </c>
      <c r="D6" s="3141" t="s">
        <v>3408</v>
      </c>
      <c r="E6" s="3141" t="s">
        <v>3403</v>
      </c>
      <c r="F6" s="3349"/>
      <c r="G6" s="3344"/>
      <c r="H6" s="3344"/>
      <c r="I6" s="3154">
        <f t="shared" si="0"/>
        <v>9624.2999999999993</v>
      </c>
      <c r="J6" s="3154"/>
      <c r="K6" s="3151">
        <v>3500</v>
      </c>
      <c r="L6" s="3151">
        <f t="shared" si="1"/>
        <v>33685050</v>
      </c>
      <c r="M6" s="3151">
        <v>2021</v>
      </c>
      <c r="N6" s="3157">
        <f t="shared" si="2"/>
        <v>0.93</v>
      </c>
      <c r="O6" s="3160">
        <f t="shared" si="3"/>
        <v>8950.5990000000002</v>
      </c>
    </row>
    <row r="7" spans="1:15">
      <c r="A7" s="3140">
        <v>6</v>
      </c>
      <c r="B7" s="3141" t="s">
        <v>3414</v>
      </c>
      <c r="C7" s="3140">
        <v>1123.9100000000001</v>
      </c>
      <c r="D7" s="3141" t="s">
        <v>3409</v>
      </c>
      <c r="E7" s="3141" t="s">
        <v>3410</v>
      </c>
      <c r="F7" s="3349"/>
      <c r="G7" s="3344"/>
      <c r="H7" s="3344"/>
      <c r="I7" s="3154">
        <f t="shared" si="0"/>
        <v>1123.9100000000001</v>
      </c>
      <c r="J7" s="3154"/>
      <c r="K7" s="3151">
        <v>3500</v>
      </c>
      <c r="L7" s="3151">
        <f t="shared" si="1"/>
        <v>3933685.0000000005</v>
      </c>
      <c r="M7" s="3151">
        <v>2021</v>
      </c>
      <c r="N7" s="3157">
        <f t="shared" si="2"/>
        <v>0.93</v>
      </c>
      <c r="O7" s="3160">
        <f t="shared" si="3"/>
        <v>1045.2363</v>
      </c>
    </row>
    <row r="8" spans="1:15">
      <c r="A8" s="3140">
        <v>7</v>
      </c>
      <c r="B8" s="3141" t="s">
        <v>3415</v>
      </c>
      <c r="C8" s="3140">
        <v>576.54999999999995</v>
      </c>
      <c r="D8" s="3141" t="s">
        <v>3409</v>
      </c>
      <c r="E8" s="3141" t="s">
        <v>3410</v>
      </c>
      <c r="F8" s="3349"/>
      <c r="G8" s="3344"/>
      <c r="H8" s="3344"/>
      <c r="I8" s="3154">
        <f t="shared" si="0"/>
        <v>576.54999999999995</v>
      </c>
      <c r="J8" s="3154"/>
      <c r="K8" s="3151">
        <v>3500</v>
      </c>
      <c r="L8" s="3151">
        <f t="shared" si="1"/>
        <v>2017924.9999999998</v>
      </c>
      <c r="M8" s="3151">
        <v>2021</v>
      </c>
      <c r="N8" s="3157">
        <f t="shared" si="2"/>
        <v>0.93</v>
      </c>
      <c r="O8" s="3160">
        <f t="shared" si="3"/>
        <v>536.19150000000002</v>
      </c>
    </row>
    <row r="9" spans="1:15">
      <c r="A9" s="3142">
        <v>8</v>
      </c>
      <c r="B9" s="3143" t="s">
        <v>3417</v>
      </c>
      <c r="C9" s="3142">
        <v>10768.05</v>
      </c>
      <c r="D9" s="3143" t="s">
        <v>3408</v>
      </c>
      <c r="E9" s="3143" t="s">
        <v>3403</v>
      </c>
      <c r="F9" s="3345" t="s">
        <v>3449</v>
      </c>
      <c r="G9" s="3345" t="s">
        <v>3443</v>
      </c>
      <c r="H9" s="3345">
        <v>28709.39</v>
      </c>
      <c r="I9" s="3154">
        <f t="shared" si="0"/>
        <v>10768.05</v>
      </c>
      <c r="J9" s="3154"/>
      <c r="K9" s="3151">
        <v>3500</v>
      </c>
      <c r="L9" s="3151">
        <f t="shared" si="1"/>
        <v>37688175</v>
      </c>
      <c r="M9" s="3151">
        <v>2021</v>
      </c>
      <c r="N9" s="3157">
        <f t="shared" si="2"/>
        <v>0.93</v>
      </c>
      <c r="O9" s="3160">
        <f t="shared" si="3"/>
        <v>10014.2865</v>
      </c>
    </row>
    <row r="10" spans="1:15">
      <c r="A10" s="3142">
        <v>9</v>
      </c>
      <c r="B10" s="3143" t="s">
        <v>3418</v>
      </c>
      <c r="C10" s="3142">
        <v>10744.17</v>
      </c>
      <c r="D10" s="3143" t="s">
        <v>3408</v>
      </c>
      <c r="E10" s="3143" t="s">
        <v>3403</v>
      </c>
      <c r="F10" s="3346"/>
      <c r="G10" s="3346"/>
      <c r="H10" s="3346"/>
      <c r="I10" s="3154">
        <f t="shared" si="0"/>
        <v>10744.17</v>
      </c>
      <c r="J10" s="3154"/>
      <c r="K10" s="3151">
        <v>3500</v>
      </c>
      <c r="L10" s="3151">
        <f t="shared" si="1"/>
        <v>37604595</v>
      </c>
      <c r="M10" s="3151">
        <v>2021</v>
      </c>
      <c r="N10" s="3157">
        <f t="shared" si="2"/>
        <v>0.93</v>
      </c>
      <c r="O10" s="3160">
        <f t="shared" si="3"/>
        <v>9992.0781000000006</v>
      </c>
    </row>
    <row r="11" spans="1:15">
      <c r="A11" s="3142">
        <v>10</v>
      </c>
      <c r="B11" s="3143" t="s">
        <v>3419</v>
      </c>
      <c r="C11" s="3142">
        <v>4017.67</v>
      </c>
      <c r="D11" s="3143" t="s">
        <v>3420</v>
      </c>
      <c r="E11" s="3143" t="s">
        <v>3403</v>
      </c>
      <c r="F11" s="3346"/>
      <c r="G11" s="3346"/>
      <c r="H11" s="3346"/>
      <c r="I11" s="3154">
        <f t="shared" si="0"/>
        <v>4017.67</v>
      </c>
      <c r="J11" s="3154"/>
      <c r="K11" s="3151">
        <v>3500</v>
      </c>
      <c r="L11" s="3151">
        <f t="shared" si="1"/>
        <v>14061845</v>
      </c>
      <c r="M11" s="3151">
        <v>2021</v>
      </c>
      <c r="N11" s="3157">
        <f t="shared" si="2"/>
        <v>0.93</v>
      </c>
      <c r="O11" s="3160">
        <f t="shared" si="3"/>
        <v>3736.4331000000002</v>
      </c>
    </row>
    <row r="12" spans="1:15">
      <c r="A12" s="3142">
        <v>11</v>
      </c>
      <c r="B12" s="3143" t="s">
        <v>3421</v>
      </c>
      <c r="C12" s="3142">
        <v>3491.32</v>
      </c>
      <c r="D12" s="3143" t="s">
        <v>3407</v>
      </c>
      <c r="E12" s="3143" t="s">
        <v>3403</v>
      </c>
      <c r="F12" s="3346"/>
      <c r="G12" s="3346"/>
      <c r="H12" s="3346"/>
      <c r="I12" s="3154">
        <f t="shared" si="0"/>
        <v>3491.32</v>
      </c>
      <c r="J12" s="3154"/>
      <c r="K12" s="3151">
        <v>3500</v>
      </c>
      <c r="L12" s="3151">
        <f t="shared" si="1"/>
        <v>12219620</v>
      </c>
      <c r="M12" s="3151">
        <v>2021</v>
      </c>
      <c r="N12" s="3157">
        <f t="shared" si="2"/>
        <v>0.93</v>
      </c>
      <c r="O12" s="3160">
        <f t="shared" si="3"/>
        <v>3246.9276000000004</v>
      </c>
    </row>
    <row r="13" spans="1:15">
      <c r="A13" s="3142">
        <v>12</v>
      </c>
      <c r="B13" s="3143" t="s">
        <v>3424</v>
      </c>
      <c r="C13" s="3142">
        <v>5391.64</v>
      </c>
      <c r="D13" s="3143" t="s">
        <v>3422</v>
      </c>
      <c r="E13" s="3143" t="s">
        <v>3423</v>
      </c>
      <c r="F13" s="3346"/>
      <c r="G13" s="3346"/>
      <c r="H13" s="3346"/>
      <c r="I13" s="3154">
        <f t="shared" si="0"/>
        <v>5391.64</v>
      </c>
      <c r="J13" s="3154"/>
      <c r="K13" s="3151">
        <v>3000</v>
      </c>
      <c r="L13" s="3151">
        <f t="shared" si="1"/>
        <v>16174920.000000002</v>
      </c>
      <c r="M13" s="3151">
        <v>2021</v>
      </c>
      <c r="N13" s="3157">
        <f t="shared" si="2"/>
        <v>0.93</v>
      </c>
      <c r="O13" s="3160">
        <f t="shared" si="3"/>
        <v>5014.2252000000008</v>
      </c>
    </row>
    <row r="14" spans="1:15">
      <c r="A14" s="3144">
        <v>13</v>
      </c>
      <c r="B14" s="3145" t="s">
        <v>3425</v>
      </c>
      <c r="C14" s="3144">
        <v>8739</v>
      </c>
      <c r="D14" s="3145" t="s">
        <v>3408</v>
      </c>
      <c r="E14" s="3145" t="s">
        <v>3427</v>
      </c>
      <c r="F14" s="3347" t="s">
        <v>3450</v>
      </c>
      <c r="G14" s="3347" t="s">
        <v>3445</v>
      </c>
      <c r="H14" s="3347">
        <v>22807.439999999999</v>
      </c>
      <c r="I14" s="3154">
        <f t="shared" si="0"/>
        <v>8739</v>
      </c>
      <c r="J14" s="3154"/>
      <c r="K14" s="3151">
        <v>3500</v>
      </c>
      <c r="L14" s="3151">
        <f t="shared" si="1"/>
        <v>30586500</v>
      </c>
      <c r="M14" s="3151">
        <v>2021</v>
      </c>
      <c r="N14" s="3157">
        <f t="shared" si="2"/>
        <v>0.93</v>
      </c>
      <c r="O14" s="3160">
        <f t="shared" si="3"/>
        <v>8127.27</v>
      </c>
    </row>
    <row r="15" spans="1:15">
      <c r="A15" s="3144">
        <v>14</v>
      </c>
      <c r="B15" s="3145" t="s">
        <v>3428</v>
      </c>
      <c r="C15" s="3144">
        <v>2068.3000000000002</v>
      </c>
      <c r="D15" s="3145" t="s">
        <v>3430</v>
      </c>
      <c r="E15" s="3145" t="s">
        <v>3432</v>
      </c>
      <c r="F15" s="3347"/>
      <c r="G15" s="3348"/>
      <c r="H15" s="3348"/>
      <c r="I15" s="3154">
        <f t="shared" si="0"/>
        <v>2068.3000000000002</v>
      </c>
      <c r="J15" s="3154"/>
      <c r="K15" s="3151">
        <v>3500</v>
      </c>
      <c r="L15" s="3151">
        <f t="shared" si="1"/>
        <v>7239050.0000000009</v>
      </c>
      <c r="M15" s="3151">
        <v>2021</v>
      </c>
      <c r="N15" s="3157">
        <f t="shared" si="2"/>
        <v>0.93</v>
      </c>
      <c r="O15" s="3160">
        <f t="shared" si="3"/>
        <v>1923.5190000000002</v>
      </c>
    </row>
    <row r="16" spans="1:15">
      <c r="A16" s="3144">
        <v>15</v>
      </c>
      <c r="B16" s="3145" t="s">
        <v>3433</v>
      </c>
      <c r="C16" s="3144">
        <v>13575.6</v>
      </c>
      <c r="D16" s="3146" t="s">
        <v>3434</v>
      </c>
      <c r="E16" s="3144" t="s">
        <v>3435</v>
      </c>
      <c r="F16" s="3347"/>
      <c r="G16" s="3348"/>
      <c r="H16" s="3348"/>
      <c r="I16" s="3154">
        <f>ROUND(C16/7*6,2)</f>
        <v>11636.23</v>
      </c>
      <c r="J16" s="3154">
        <f>ROUND(C16/7,2)</f>
        <v>1939.37</v>
      </c>
      <c r="K16" s="3151">
        <v>4000</v>
      </c>
      <c r="L16" s="3151">
        <f t="shared" si="1"/>
        <v>54302400</v>
      </c>
      <c r="M16" s="3151">
        <v>2021</v>
      </c>
      <c r="N16" s="3157">
        <f t="shared" si="2"/>
        <v>0.93</v>
      </c>
      <c r="O16" s="3160">
        <f t="shared" si="3"/>
        <v>12625.308000000001</v>
      </c>
    </row>
    <row r="17" spans="1:15">
      <c r="A17" s="3147">
        <v>16</v>
      </c>
      <c r="B17" s="3148" t="s">
        <v>3436</v>
      </c>
      <c r="C17" s="3147">
        <v>39017.56</v>
      </c>
      <c r="D17" s="3148" t="s">
        <v>3438</v>
      </c>
      <c r="E17" s="3148" t="s">
        <v>3437</v>
      </c>
      <c r="F17" s="3148" t="s">
        <v>3451</v>
      </c>
      <c r="G17" s="3148" t="s">
        <v>3447</v>
      </c>
      <c r="H17" s="3148">
        <v>22941.1</v>
      </c>
      <c r="I17" s="3154">
        <f t="shared" ref="I17:I24" si="4">C17</f>
        <v>39017.56</v>
      </c>
      <c r="J17" s="3154"/>
      <c r="K17" s="3151">
        <v>5000</v>
      </c>
      <c r="L17" s="3151">
        <f t="shared" si="1"/>
        <v>195087800</v>
      </c>
      <c r="M17" s="3151">
        <v>2021</v>
      </c>
      <c r="N17" s="3157">
        <f t="shared" si="2"/>
        <v>0.93</v>
      </c>
      <c r="O17" s="3160">
        <f t="shared" si="3"/>
        <v>36286.330800000003</v>
      </c>
    </row>
    <row r="18" spans="1:15">
      <c r="A18" s="3149">
        <v>17</v>
      </c>
      <c r="B18" s="3150" t="s">
        <v>3439</v>
      </c>
      <c r="C18" s="3149">
        <v>7525.88</v>
      </c>
      <c r="D18" s="3150" t="s">
        <v>3407</v>
      </c>
      <c r="E18" s="3150" t="s">
        <v>3427</v>
      </c>
      <c r="F18" s="3338" t="s">
        <v>3452</v>
      </c>
      <c r="G18" s="3339" t="s">
        <v>3446</v>
      </c>
      <c r="H18" s="3339">
        <v>11919.92</v>
      </c>
      <c r="I18" s="3154">
        <f t="shared" si="4"/>
        <v>7525.88</v>
      </c>
      <c r="J18" s="3154"/>
      <c r="K18" s="3151">
        <v>3500</v>
      </c>
      <c r="L18" s="3151">
        <f t="shared" si="1"/>
        <v>26340580</v>
      </c>
      <c r="M18" s="3151">
        <v>2021</v>
      </c>
      <c r="N18" s="3157">
        <f t="shared" si="2"/>
        <v>0.93</v>
      </c>
      <c r="O18" s="3160">
        <f t="shared" si="3"/>
        <v>6999.0684000000001</v>
      </c>
    </row>
    <row r="19" spans="1:15">
      <c r="A19" s="3149">
        <v>18</v>
      </c>
      <c r="B19" s="3150" t="s">
        <v>3440</v>
      </c>
      <c r="C19" s="3149">
        <v>2942.32</v>
      </c>
      <c r="D19" s="3150" t="s">
        <v>3430</v>
      </c>
      <c r="E19" s="3150" t="s">
        <v>3453</v>
      </c>
      <c r="F19" s="3338"/>
      <c r="G19" s="3339"/>
      <c r="H19" s="3339"/>
      <c r="I19" s="3154">
        <f t="shared" si="4"/>
        <v>2942.32</v>
      </c>
      <c r="J19" s="3154"/>
      <c r="K19" s="3151">
        <v>3500</v>
      </c>
      <c r="L19" s="3151">
        <f t="shared" si="1"/>
        <v>10298120</v>
      </c>
      <c r="M19" s="3151">
        <v>2021</v>
      </c>
      <c r="N19" s="3157">
        <f t="shared" si="2"/>
        <v>0.93</v>
      </c>
      <c r="O19" s="3160">
        <f t="shared" si="3"/>
        <v>2736.3576000000003</v>
      </c>
    </row>
    <row r="20" spans="1:15">
      <c r="A20" s="3149">
        <v>19</v>
      </c>
      <c r="B20" s="3150" t="s">
        <v>3454</v>
      </c>
      <c r="C20" s="3149">
        <v>4049.79</v>
      </c>
      <c r="D20" s="3150" t="s">
        <v>3430</v>
      </c>
      <c r="E20" s="3150" t="s">
        <v>3432</v>
      </c>
      <c r="F20" s="3338"/>
      <c r="G20" s="3339"/>
      <c r="H20" s="3339"/>
      <c r="I20" s="3154">
        <f t="shared" si="4"/>
        <v>4049.79</v>
      </c>
      <c r="J20" s="3154"/>
      <c r="K20" s="3151">
        <v>3500</v>
      </c>
      <c r="L20" s="3151">
        <f t="shared" si="1"/>
        <v>14174265</v>
      </c>
      <c r="M20" s="3151">
        <v>2021</v>
      </c>
      <c r="N20" s="3157">
        <f t="shared" si="2"/>
        <v>0.93</v>
      </c>
      <c r="O20" s="3160">
        <f t="shared" si="3"/>
        <v>3766.3047000000001</v>
      </c>
    </row>
    <row r="21" spans="1:15">
      <c r="A21" s="3152">
        <v>20</v>
      </c>
      <c r="B21" s="3153" t="s">
        <v>3456</v>
      </c>
      <c r="C21" s="3152">
        <v>9338.98</v>
      </c>
      <c r="D21" s="3153" t="s">
        <v>3407</v>
      </c>
      <c r="E21" s="3152" t="s">
        <v>3426</v>
      </c>
      <c r="F21" s="3343" t="s">
        <v>3457</v>
      </c>
      <c r="G21" s="3340" t="s">
        <v>3446</v>
      </c>
      <c r="H21" s="3340">
        <v>21398.42</v>
      </c>
      <c r="I21" s="3154">
        <f t="shared" si="4"/>
        <v>9338.98</v>
      </c>
      <c r="J21" s="3154"/>
      <c r="K21" s="3151">
        <v>3500</v>
      </c>
      <c r="L21" s="3151">
        <f t="shared" si="1"/>
        <v>32686430</v>
      </c>
      <c r="M21" s="3151">
        <v>2022</v>
      </c>
      <c r="N21" s="3157">
        <f t="shared" si="2"/>
        <v>0.95</v>
      </c>
      <c r="O21" s="3160">
        <f t="shared" si="3"/>
        <v>8872.030999999999</v>
      </c>
    </row>
    <row r="22" spans="1:15">
      <c r="A22" s="3152">
        <v>21</v>
      </c>
      <c r="B22" s="3153" t="s">
        <v>3458</v>
      </c>
      <c r="C22" s="3152">
        <v>11105.08</v>
      </c>
      <c r="D22" s="3152" t="s">
        <v>3459</v>
      </c>
      <c r="E22" s="3153" t="s">
        <v>3460</v>
      </c>
      <c r="F22" s="3341"/>
      <c r="G22" s="3341"/>
      <c r="H22" s="3341"/>
      <c r="I22" s="3154">
        <f t="shared" si="4"/>
        <v>11105.08</v>
      </c>
      <c r="J22" s="3154"/>
      <c r="K22" s="3151">
        <v>3500</v>
      </c>
      <c r="L22" s="3151">
        <f t="shared" si="1"/>
        <v>38867780</v>
      </c>
      <c r="M22" s="3151">
        <v>2022</v>
      </c>
      <c r="N22" s="3157">
        <f t="shared" si="2"/>
        <v>0.95</v>
      </c>
      <c r="O22" s="3160">
        <f t="shared" si="3"/>
        <v>10549.825999999999</v>
      </c>
    </row>
    <row r="23" spans="1:15">
      <c r="A23" s="3152">
        <v>22</v>
      </c>
      <c r="B23" s="3153" t="s">
        <v>3455</v>
      </c>
      <c r="C23" s="3152">
        <v>2771.5</v>
      </c>
      <c r="D23" s="3152" t="s">
        <v>3429</v>
      </c>
      <c r="E23" s="3152" t="s">
        <v>3431</v>
      </c>
      <c r="F23" s="3341"/>
      <c r="G23" s="3341"/>
      <c r="H23" s="3341"/>
      <c r="I23" s="3154">
        <f t="shared" si="4"/>
        <v>2771.5</v>
      </c>
      <c r="J23" s="3154"/>
      <c r="K23" s="3151">
        <v>3500</v>
      </c>
      <c r="L23" s="3151">
        <f t="shared" si="1"/>
        <v>9700250</v>
      </c>
      <c r="M23" s="3151">
        <v>2022</v>
      </c>
      <c r="N23" s="3157">
        <f t="shared" si="2"/>
        <v>0.95</v>
      </c>
      <c r="O23" s="3160">
        <f t="shared" si="3"/>
        <v>2632.9249999999997</v>
      </c>
    </row>
    <row r="24" spans="1:15">
      <c r="A24" s="3152">
        <v>23</v>
      </c>
      <c r="B24" s="3153" t="s">
        <v>3461</v>
      </c>
      <c r="C24" s="3152">
        <v>2943.43</v>
      </c>
      <c r="D24" s="3152" t="s">
        <v>3429</v>
      </c>
      <c r="E24" s="3152" t="s">
        <v>3431</v>
      </c>
      <c r="F24" s="3342"/>
      <c r="G24" s="3342"/>
      <c r="H24" s="3342"/>
      <c r="I24" s="3154">
        <f t="shared" si="4"/>
        <v>2943.43</v>
      </c>
      <c r="J24" s="3154"/>
      <c r="K24" s="3151">
        <v>3500</v>
      </c>
      <c r="L24" s="3151">
        <f t="shared" si="1"/>
        <v>10302005</v>
      </c>
      <c r="M24" s="3151">
        <v>2022</v>
      </c>
      <c r="N24" s="3157">
        <f t="shared" si="2"/>
        <v>0.95</v>
      </c>
      <c r="O24" s="3160">
        <f t="shared" si="3"/>
        <v>2796.2584999999999</v>
      </c>
    </row>
    <row r="25" spans="1:15">
      <c r="A25" s="3154"/>
      <c r="B25" s="3154" t="s">
        <v>3462</v>
      </c>
      <c r="C25" s="3154">
        <f>SUM(C2:C24)</f>
        <v>168110.52</v>
      </c>
      <c r="D25" s="3154"/>
      <c r="E25" s="3154"/>
      <c r="F25" s="3154"/>
      <c r="G25" s="3154"/>
      <c r="H25" s="3154"/>
      <c r="I25" s="3154">
        <f>SUM(I2:I24)</f>
        <v>166171.15</v>
      </c>
      <c r="J25" s="3154">
        <f>SUM(J2:J24)</f>
        <v>1939.37</v>
      </c>
      <c r="K25" s="3158">
        <f>ROUND(L25/C25,0)</f>
        <v>3872</v>
      </c>
      <c r="L25" s="3151">
        <f>SUM(L2:L24)</f>
        <v>651005140</v>
      </c>
      <c r="M25" s="3151"/>
      <c r="N25" s="3159">
        <f>ROUND(O25/C25,2)</f>
        <v>0.93</v>
      </c>
      <c r="O25" s="3160">
        <f>SUM(O2:O24)</f>
        <v>156865.96340000001</v>
      </c>
    </row>
    <row r="85" spans="1:15">
      <c r="A85" s="3144"/>
      <c r="B85" s="3145"/>
      <c r="C85" s="3144"/>
      <c r="D85" s="3145"/>
      <c r="E85" s="3145"/>
      <c r="F85" s="3347"/>
      <c r="G85" s="3347"/>
      <c r="H85" s="3347"/>
      <c r="I85" s="3154"/>
      <c r="J85" s="3154"/>
      <c r="K85" s="3151"/>
      <c r="L85" s="3151"/>
      <c r="M85" s="3151"/>
      <c r="N85" s="3157"/>
      <c r="O85" s="3160"/>
    </row>
    <row r="86" spans="1:15">
      <c r="A86" s="3144"/>
      <c r="B86" s="3145"/>
      <c r="C86" s="3144"/>
      <c r="D86" s="3145"/>
      <c r="E86" s="3145"/>
      <c r="F86" s="3347"/>
      <c r="G86" s="3348"/>
      <c r="H86" s="3348"/>
      <c r="I86" s="3154"/>
      <c r="J86" s="3154"/>
      <c r="K86" s="3151"/>
      <c r="L86" s="3151"/>
      <c r="M86" s="3151"/>
      <c r="N86" s="3157"/>
      <c r="O86" s="3160"/>
    </row>
    <row r="87" spans="1:15">
      <c r="A87" s="3144"/>
      <c r="B87" s="3145"/>
      <c r="C87" s="3144"/>
      <c r="D87" s="3146"/>
      <c r="E87" s="3144"/>
      <c r="F87" s="3347"/>
      <c r="G87" s="3348"/>
      <c r="H87" s="3348"/>
      <c r="I87" s="3154"/>
      <c r="J87" s="3154"/>
      <c r="K87" s="3151"/>
      <c r="L87" s="3151"/>
      <c r="M87" s="3151"/>
      <c r="N87" s="3157"/>
      <c r="O87" s="3160"/>
    </row>
    <row r="88" spans="1:15">
      <c r="A88" s="3147"/>
      <c r="B88" s="3148"/>
      <c r="C88" s="3147"/>
      <c r="D88" s="3148"/>
      <c r="E88" s="3148"/>
      <c r="F88" s="3148"/>
      <c r="G88" s="3148"/>
      <c r="H88" s="3148"/>
      <c r="I88" s="3154"/>
      <c r="J88" s="3154"/>
      <c r="K88" s="3151"/>
      <c r="L88" s="3151"/>
      <c r="M88" s="3151"/>
      <c r="N88" s="3157"/>
      <c r="O88" s="3160"/>
    </row>
    <row r="89" spans="1:15">
      <c r="A89" s="3149"/>
      <c r="B89" s="3150"/>
      <c r="C89" s="3149"/>
      <c r="D89" s="3150"/>
      <c r="E89" s="3150"/>
      <c r="F89" s="3338"/>
      <c r="G89" s="3339"/>
      <c r="H89" s="3339"/>
      <c r="I89" s="3154"/>
      <c r="J89" s="3154"/>
      <c r="K89" s="3151"/>
      <c r="L89" s="3151"/>
      <c r="M89" s="3151"/>
      <c r="N89" s="3157"/>
      <c r="O89" s="3160"/>
    </row>
    <row r="90" spans="1:15">
      <c r="A90" s="3149"/>
      <c r="B90" s="3150"/>
      <c r="C90" s="3149"/>
      <c r="D90" s="3150"/>
      <c r="E90" s="3150"/>
      <c r="F90" s="3338"/>
      <c r="G90" s="3339"/>
      <c r="H90" s="3339"/>
      <c r="I90" s="3154"/>
      <c r="J90" s="3154"/>
      <c r="K90" s="3151"/>
      <c r="L90" s="3151"/>
      <c r="M90" s="3151"/>
      <c r="N90" s="3157"/>
      <c r="O90" s="3160"/>
    </row>
    <row r="91" spans="1:15">
      <c r="A91" s="3149"/>
      <c r="B91" s="3150"/>
      <c r="C91" s="3149"/>
      <c r="D91" s="3150"/>
      <c r="E91" s="3150"/>
      <c r="F91" s="3338"/>
      <c r="G91" s="3339"/>
      <c r="H91" s="3339"/>
      <c r="I91" s="3154"/>
      <c r="J91" s="3154"/>
      <c r="K91" s="3151"/>
      <c r="L91" s="3151"/>
      <c r="M91" s="3151"/>
      <c r="N91" s="3157"/>
      <c r="O91" s="3160"/>
    </row>
    <row r="92" spans="1:15">
      <c r="A92" s="3152"/>
      <c r="B92" s="3153"/>
      <c r="C92" s="3152"/>
      <c r="D92" s="3153"/>
      <c r="E92" s="3152"/>
      <c r="F92" s="3343"/>
      <c r="G92" s="3340"/>
      <c r="H92" s="3340"/>
      <c r="I92" s="3154"/>
      <c r="J92" s="3154"/>
      <c r="K92" s="3151"/>
      <c r="L92" s="3151"/>
      <c r="M92" s="3151"/>
      <c r="N92" s="3157"/>
      <c r="O92" s="3160"/>
    </row>
    <row r="93" spans="1:15">
      <c r="A93" s="3152"/>
      <c r="B93" s="3153"/>
      <c r="C93" s="3152"/>
      <c r="D93" s="3152"/>
      <c r="E93" s="3153"/>
      <c r="F93" s="3341"/>
      <c r="G93" s="3341"/>
      <c r="H93" s="3341"/>
      <c r="I93" s="3154"/>
      <c r="J93" s="3154"/>
      <c r="K93" s="3151"/>
      <c r="L93" s="3151"/>
      <c r="M93" s="3151"/>
      <c r="N93" s="3157"/>
      <c r="O93" s="3160"/>
    </row>
    <row r="94" spans="1:15">
      <c r="A94" s="3152"/>
      <c r="B94" s="3153"/>
      <c r="C94" s="3152"/>
      <c r="D94" s="3152"/>
      <c r="E94" s="3152"/>
      <c r="F94" s="3341"/>
      <c r="G94" s="3341"/>
      <c r="H94" s="3341"/>
      <c r="I94" s="3154"/>
      <c r="J94" s="3154"/>
      <c r="K94" s="3151"/>
      <c r="L94" s="3151"/>
      <c r="M94" s="3151"/>
      <c r="N94" s="3157"/>
      <c r="O94" s="3160"/>
    </row>
    <row r="95" spans="1:15">
      <c r="A95" s="3152"/>
      <c r="B95" s="3153"/>
      <c r="C95" s="3152"/>
      <c r="D95" s="3152"/>
      <c r="E95" s="3152"/>
      <c r="F95" s="3342"/>
      <c r="G95" s="3342"/>
      <c r="H95" s="3342"/>
      <c r="I95" s="3154"/>
      <c r="J95" s="3154"/>
      <c r="K95" s="3151"/>
      <c r="L95" s="3151"/>
      <c r="M95" s="3151"/>
      <c r="N95" s="3157"/>
      <c r="O95" s="3160"/>
    </row>
    <row r="96" spans="1:15">
      <c r="A96" s="3154"/>
      <c r="B96" s="3154"/>
      <c r="C96" s="3154"/>
      <c r="D96" s="3154"/>
      <c r="E96" s="3154"/>
      <c r="F96" s="3154"/>
      <c r="G96" s="3154"/>
      <c r="H96" s="3154"/>
      <c r="I96" s="3154"/>
      <c r="J96" s="3154"/>
      <c r="K96" s="3158"/>
      <c r="L96" s="3151"/>
      <c r="M96" s="3151"/>
      <c r="N96" s="3159"/>
      <c r="O96" s="3160"/>
    </row>
  </sheetData>
  <mergeCells count="24">
    <mergeCell ref="F92:F95"/>
    <mergeCell ref="G92:G95"/>
    <mergeCell ref="H92:H95"/>
    <mergeCell ref="F85:F87"/>
    <mergeCell ref="G85:G87"/>
    <mergeCell ref="H85:H87"/>
    <mergeCell ref="F89:F91"/>
    <mergeCell ref="G89:G91"/>
    <mergeCell ref="H89:H91"/>
    <mergeCell ref="F18:F20"/>
    <mergeCell ref="G18:G20"/>
    <mergeCell ref="G21:G24"/>
    <mergeCell ref="F21:F24"/>
    <mergeCell ref="H2:H8"/>
    <mergeCell ref="H9:H13"/>
    <mergeCell ref="H14:H16"/>
    <mergeCell ref="H18:H20"/>
    <mergeCell ref="H21:H24"/>
    <mergeCell ref="F2:F8"/>
    <mergeCell ref="F9:F13"/>
    <mergeCell ref="F14:F16"/>
    <mergeCell ref="G2:G8"/>
    <mergeCell ref="G9:G13"/>
    <mergeCell ref="G14:G16"/>
  </mergeCells>
  <phoneticPr fontId="135" type="noConversion"/>
  <pageMargins left="0.7" right="0.7" top="0.75" bottom="0.75" header="0.3" footer="0.3"/>
  <pageSetup paperSize="9" scale="3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734F-981C-45A7-867A-654404F0ABFD}">
  <dimension ref="A1:N28"/>
  <sheetViews>
    <sheetView workbookViewId="0">
      <selection sqref="A1:G8"/>
    </sheetView>
  </sheetViews>
  <sheetFormatPr defaultRowHeight="13.5"/>
  <cols>
    <col min="1" max="1" width="39.5" bestFit="1" customWidth="1"/>
    <col min="3" max="3" width="7.125" bestFit="1" customWidth="1"/>
    <col min="4" max="4" width="11" bestFit="1" customWidth="1"/>
    <col min="5" max="5" width="11" customWidth="1"/>
    <col min="6" max="6" width="17" customWidth="1"/>
    <col min="7" max="9" width="13" bestFit="1" customWidth="1"/>
    <col min="11" max="12" width="9.5" bestFit="1" customWidth="1"/>
    <col min="13" max="13" width="7.125" bestFit="1" customWidth="1"/>
    <col min="14" max="14" width="5.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c r="N1" s="3156"/>
    </row>
    <row r="2" spans="1:14">
      <c r="A2" s="3141" t="s">
        <v>3404</v>
      </c>
      <c r="B2" s="3140">
        <v>6568.5</v>
      </c>
      <c r="C2" s="3141" t="s">
        <v>3407</v>
      </c>
      <c r="D2" s="3141" t="s">
        <v>3403</v>
      </c>
      <c r="E2" s="3344" t="s">
        <v>3448</v>
      </c>
      <c r="F2" s="3344" t="s">
        <v>3442</v>
      </c>
      <c r="G2" s="3344">
        <v>24597.439999999999</v>
      </c>
      <c r="H2" s="3154">
        <f>B2</f>
        <v>6568.5</v>
      </c>
      <c r="I2" s="3154"/>
      <c r="J2" s="3151">
        <v>3500</v>
      </c>
      <c r="K2" s="3151">
        <f>J2*B2</f>
        <v>22989750</v>
      </c>
      <c r="L2" s="3151">
        <v>2021</v>
      </c>
      <c r="M2" s="3157">
        <f>ROUND(1-(2025-L2)/60,2)</f>
        <v>0.93</v>
      </c>
      <c r="N2" s="3160"/>
    </row>
    <row r="3" spans="1:14">
      <c r="A3" s="3141" t="s">
        <v>3405</v>
      </c>
      <c r="B3" s="3140">
        <v>9610.94</v>
      </c>
      <c r="C3" s="3141" t="s">
        <v>3408</v>
      </c>
      <c r="D3" s="3141" t="s">
        <v>3403</v>
      </c>
      <c r="E3" s="3349"/>
      <c r="F3" s="3344"/>
      <c r="G3" s="3344"/>
      <c r="H3" s="3154">
        <f t="shared" ref="H3:H8" si="0">B3</f>
        <v>9610.94</v>
      </c>
      <c r="I3" s="3154"/>
      <c r="J3" s="3151">
        <v>3500</v>
      </c>
      <c r="K3" s="3151">
        <f t="shared" ref="K3:K8" si="1">J3*B3</f>
        <v>33638290</v>
      </c>
      <c r="L3" s="3151">
        <v>2021</v>
      </c>
      <c r="M3" s="3157">
        <f t="shared" ref="M3:M8" si="2">ROUND(1-(2025-L3)/60,2)</f>
        <v>0.93</v>
      </c>
      <c r="N3" s="3160"/>
    </row>
    <row r="4" spans="1:14">
      <c r="A4" s="3141" t="s">
        <v>3411</v>
      </c>
      <c r="B4" s="3140">
        <v>992.16</v>
      </c>
      <c r="C4" s="3141" t="s">
        <v>3409</v>
      </c>
      <c r="D4" s="3141" t="s">
        <v>3410</v>
      </c>
      <c r="E4" s="3349"/>
      <c r="F4" s="3344"/>
      <c r="G4" s="3344"/>
      <c r="H4" s="3154">
        <f t="shared" si="0"/>
        <v>992.16</v>
      </c>
      <c r="I4" s="3154"/>
      <c r="J4" s="3151">
        <v>3500</v>
      </c>
      <c r="K4" s="3151">
        <f t="shared" si="1"/>
        <v>3472560</v>
      </c>
      <c r="L4" s="3151">
        <v>2021</v>
      </c>
      <c r="M4" s="3157">
        <f t="shared" si="2"/>
        <v>0.93</v>
      </c>
      <c r="N4" s="3160"/>
    </row>
    <row r="5" spans="1:14">
      <c r="A5" s="3141" t="s">
        <v>3412</v>
      </c>
      <c r="B5" s="3140">
        <v>1123.8699999999999</v>
      </c>
      <c r="C5" s="3141" t="s">
        <v>3409</v>
      </c>
      <c r="D5" s="3141" t="s">
        <v>3410</v>
      </c>
      <c r="E5" s="3349"/>
      <c r="F5" s="3344"/>
      <c r="G5" s="3344"/>
      <c r="H5" s="3154">
        <f t="shared" si="0"/>
        <v>1123.8699999999999</v>
      </c>
      <c r="I5" s="3154"/>
      <c r="J5" s="3151">
        <v>3500</v>
      </c>
      <c r="K5" s="3151">
        <f t="shared" si="1"/>
        <v>3933544.9999999995</v>
      </c>
      <c r="L5" s="3151">
        <v>2021</v>
      </c>
      <c r="M5" s="3157">
        <f t="shared" si="2"/>
        <v>0.93</v>
      </c>
      <c r="N5" s="3160"/>
    </row>
    <row r="6" spans="1:14">
      <c r="A6" s="3141" t="s">
        <v>3413</v>
      </c>
      <c r="B6" s="3140">
        <v>9624.2999999999993</v>
      </c>
      <c r="C6" s="3141" t="s">
        <v>3408</v>
      </c>
      <c r="D6" s="3141" t="s">
        <v>3403</v>
      </c>
      <c r="E6" s="3349"/>
      <c r="F6" s="3344"/>
      <c r="G6" s="3344"/>
      <c r="H6" s="3154">
        <f t="shared" si="0"/>
        <v>9624.2999999999993</v>
      </c>
      <c r="I6" s="3154"/>
      <c r="J6" s="3151">
        <v>3500</v>
      </c>
      <c r="K6" s="3151">
        <f t="shared" si="1"/>
        <v>33685050</v>
      </c>
      <c r="L6" s="3151">
        <v>2021</v>
      </c>
      <c r="M6" s="3157">
        <f t="shared" si="2"/>
        <v>0.93</v>
      </c>
      <c r="N6" s="3160"/>
    </row>
    <row r="7" spans="1:14">
      <c r="A7" s="3141" t="s">
        <v>3414</v>
      </c>
      <c r="B7" s="3140">
        <v>1123.9100000000001</v>
      </c>
      <c r="C7" s="3141" t="s">
        <v>3409</v>
      </c>
      <c r="D7" s="3141" t="s">
        <v>3410</v>
      </c>
      <c r="E7" s="3349"/>
      <c r="F7" s="3344"/>
      <c r="G7" s="3344"/>
      <c r="H7" s="3154">
        <f t="shared" si="0"/>
        <v>1123.9100000000001</v>
      </c>
      <c r="I7" s="3154"/>
      <c r="J7" s="3151">
        <v>3500</v>
      </c>
      <c r="K7" s="3151">
        <f t="shared" si="1"/>
        <v>3933685.0000000005</v>
      </c>
      <c r="L7" s="3151">
        <v>2021</v>
      </c>
      <c r="M7" s="3157">
        <f t="shared" si="2"/>
        <v>0.93</v>
      </c>
      <c r="N7" s="3160"/>
    </row>
    <row r="8" spans="1:14">
      <c r="A8" s="3141" t="s">
        <v>3415</v>
      </c>
      <c r="B8" s="3140">
        <v>576.54999999999995</v>
      </c>
      <c r="C8" s="3141" t="s">
        <v>3409</v>
      </c>
      <c r="D8" s="3141" t="s">
        <v>3410</v>
      </c>
      <c r="E8" s="3349"/>
      <c r="F8" s="3344"/>
      <c r="G8" s="3344"/>
      <c r="H8" s="3154">
        <f t="shared" si="0"/>
        <v>576.54999999999995</v>
      </c>
      <c r="I8" s="3154"/>
      <c r="J8" s="3151">
        <v>3500</v>
      </c>
      <c r="K8" s="3151">
        <f t="shared" si="1"/>
        <v>2017924.9999999998</v>
      </c>
      <c r="L8" s="3151">
        <v>2021</v>
      </c>
      <c r="M8" s="3157">
        <f t="shared" si="2"/>
        <v>0.93</v>
      </c>
      <c r="N8" s="3160"/>
    </row>
    <row r="9" spans="1:14">
      <c r="J9" s="3245">
        <v>3500</v>
      </c>
    </row>
    <row r="12" spans="1:14">
      <c r="A12" s="1407" t="s">
        <v>3401</v>
      </c>
      <c r="B12" s="1407" t="s">
        <v>3402</v>
      </c>
      <c r="C12" s="1407" t="s">
        <v>3406</v>
      </c>
      <c r="D12" s="1407" t="s">
        <v>3444</v>
      </c>
      <c r="E12" s="1407" t="s">
        <v>3943</v>
      </c>
      <c r="F12" s="1407" t="s">
        <v>3942</v>
      </c>
      <c r="G12" s="1407" t="s">
        <v>3944</v>
      </c>
      <c r="H12" s="1407" t="s">
        <v>3945</v>
      </c>
      <c r="I12" s="1407" t="s">
        <v>3946</v>
      </c>
      <c r="J12" s="1407" t="s">
        <v>3947</v>
      </c>
      <c r="K12" s="1407" t="s">
        <v>3948</v>
      </c>
      <c r="L12" s="1407" t="s">
        <v>3949</v>
      </c>
    </row>
    <row r="13" spans="1:14">
      <c r="A13" s="3141" t="s">
        <v>3404</v>
      </c>
      <c r="B13" s="3140">
        <v>6568.5</v>
      </c>
      <c r="C13" s="3141" t="s">
        <v>3407</v>
      </c>
      <c r="D13" s="3141" t="s">
        <v>3403</v>
      </c>
      <c r="E13" s="3141">
        <v>6466.35</v>
      </c>
      <c r="F13" s="3141">
        <v>1356.75</v>
      </c>
      <c r="G13" s="3141">
        <v>5109.6000000000004</v>
      </c>
      <c r="H13" s="3141">
        <f>ROUND(F13/E13*B13,2)</f>
        <v>1378.18</v>
      </c>
      <c r="I13" s="3141">
        <f>ROUND(G13/E13*B13,2)</f>
        <v>5190.32</v>
      </c>
      <c r="J13" s="3141" t="s">
        <v>3422</v>
      </c>
      <c r="K13" s="3141">
        <f>H13</f>
        <v>1378.18</v>
      </c>
      <c r="L13" s="3141"/>
    </row>
    <row r="14" spans="1:14">
      <c r="A14" s="3141" t="s">
        <v>3405</v>
      </c>
      <c r="B14" s="3140">
        <v>9610.94</v>
      </c>
      <c r="C14" s="3141" t="s">
        <v>3408</v>
      </c>
      <c r="D14" s="3141" t="s">
        <v>3403</v>
      </c>
      <c r="E14" s="3141">
        <v>9618.1299999999992</v>
      </c>
      <c r="F14" s="3141">
        <v>1279.55</v>
      </c>
      <c r="G14" s="3141">
        <v>8338.58</v>
      </c>
      <c r="H14" s="3141">
        <f>ROUND(F14/E14*B14,2)</f>
        <v>1278.5899999999999</v>
      </c>
      <c r="I14" s="3141">
        <f>ROUND(G14/E14*B14,2)</f>
        <v>8332.35</v>
      </c>
      <c r="J14" s="3141" t="s">
        <v>3422</v>
      </c>
      <c r="K14" s="3141">
        <f>H14</f>
        <v>1278.5899999999999</v>
      </c>
      <c r="L14" s="3141"/>
    </row>
    <row r="15" spans="1:14">
      <c r="A15" s="3141" t="s">
        <v>3411</v>
      </c>
      <c r="B15" s="3140">
        <v>992.16</v>
      </c>
      <c r="C15" s="3141" t="s">
        <v>3409</v>
      </c>
      <c r="D15" s="3141" t="s">
        <v>3410</v>
      </c>
      <c r="E15" s="3141"/>
      <c r="F15" s="3141"/>
      <c r="G15" s="3141"/>
      <c r="H15" s="3141">
        <f>B15</f>
        <v>992.16</v>
      </c>
      <c r="I15" s="3141"/>
      <c r="J15" s="3141" t="s">
        <v>3409</v>
      </c>
      <c r="K15" s="3141">
        <f>B15/2</f>
        <v>496.08</v>
      </c>
      <c r="L15" s="3141">
        <f>K15</f>
        <v>496.08</v>
      </c>
    </row>
    <row r="16" spans="1:14">
      <c r="A16" s="3141" t="s">
        <v>3412</v>
      </c>
      <c r="B16" s="3140">
        <v>1123.8699999999999</v>
      </c>
      <c r="C16" s="3141" t="s">
        <v>3409</v>
      </c>
      <c r="D16" s="3141" t="s">
        <v>3410</v>
      </c>
      <c r="E16" s="3141"/>
      <c r="F16" s="3141"/>
      <c r="G16" s="3141"/>
      <c r="H16" s="3141">
        <f>B16</f>
        <v>1123.8699999999999</v>
      </c>
      <c r="I16" s="3141"/>
      <c r="J16" s="3141" t="s">
        <v>3409</v>
      </c>
      <c r="K16" s="3141">
        <f>B16/2</f>
        <v>561.93499999999995</v>
      </c>
      <c r="L16" s="3141">
        <f>K16</f>
        <v>561.93499999999995</v>
      </c>
    </row>
    <row r="17" spans="1:12">
      <c r="A17" s="3141" t="s">
        <v>3413</v>
      </c>
      <c r="B17" s="3140">
        <v>9624.2999999999993</v>
      </c>
      <c r="C17" s="3141" t="s">
        <v>3408</v>
      </c>
      <c r="D17" s="3141" t="s">
        <v>3403</v>
      </c>
      <c r="E17" s="3141">
        <v>9619.35</v>
      </c>
      <c r="F17" s="3141">
        <v>1279.3399999999999</v>
      </c>
      <c r="G17" s="3141">
        <v>8340.01</v>
      </c>
      <c r="H17" s="3141">
        <f>ROUND(F17/E17*B17,2)</f>
        <v>1280</v>
      </c>
      <c r="I17" s="3141">
        <f>ROUND(G17/E17*B17,2)</f>
        <v>8344.2999999999993</v>
      </c>
      <c r="J17" s="3141" t="s">
        <v>3422</v>
      </c>
      <c r="K17" s="3141">
        <f>H17</f>
        <v>1280</v>
      </c>
      <c r="L17" s="3141"/>
    </row>
    <row r="18" spans="1:12">
      <c r="A18" s="3141" t="s">
        <v>3414</v>
      </c>
      <c r="B18" s="3140">
        <v>1123.9100000000001</v>
      </c>
      <c r="C18" s="3141" t="s">
        <v>3409</v>
      </c>
      <c r="D18" s="3141" t="s">
        <v>3410</v>
      </c>
      <c r="E18" s="3141"/>
      <c r="F18" s="3141"/>
      <c r="G18" s="3141"/>
      <c r="H18" s="3141">
        <f>B18</f>
        <v>1123.9100000000001</v>
      </c>
      <c r="I18" s="3141"/>
      <c r="J18" s="3141" t="s">
        <v>3409</v>
      </c>
      <c r="K18" s="3141">
        <f>B18/2</f>
        <v>561.95500000000004</v>
      </c>
      <c r="L18" s="3141">
        <f>K18</f>
        <v>561.95500000000004</v>
      </c>
    </row>
    <row r="19" spans="1:12">
      <c r="A19" s="3141" t="s">
        <v>3415</v>
      </c>
      <c r="B19" s="3140">
        <v>576.54999999999995</v>
      </c>
      <c r="C19" s="3141" t="s">
        <v>3409</v>
      </c>
      <c r="D19" s="3141" t="s">
        <v>3410</v>
      </c>
      <c r="E19" s="3141"/>
      <c r="F19" s="3141"/>
      <c r="G19" s="3141"/>
      <c r="H19" s="3141">
        <f>B19</f>
        <v>576.54999999999995</v>
      </c>
      <c r="I19" s="3141"/>
      <c r="J19" s="3141" t="s">
        <v>3409</v>
      </c>
      <c r="K19" s="3141">
        <f>B19/2</f>
        <v>288.27499999999998</v>
      </c>
      <c r="L19" s="3141">
        <f>K19</f>
        <v>288.27499999999998</v>
      </c>
    </row>
    <row r="20" spans="1:12">
      <c r="B20" s="3141">
        <f>SUM(B13:B19)</f>
        <v>29620.23</v>
      </c>
      <c r="E20" s="3141"/>
      <c r="F20" s="3141"/>
      <c r="G20" s="3141"/>
      <c r="H20" s="3141">
        <f>SUM(H13:H19)</f>
        <v>7753.2599999999993</v>
      </c>
      <c r="I20" s="3141">
        <f>SUM(I13:I19)</f>
        <v>21866.97</v>
      </c>
      <c r="J20" s="3141"/>
      <c r="K20" s="3141">
        <f>SUM(K13:K19)</f>
        <v>5845.0149999999994</v>
      </c>
      <c r="L20" s="3141">
        <f>SUM(L13:L19)</f>
        <v>1908.2449999999999</v>
      </c>
    </row>
    <row r="25" spans="1:12">
      <c r="F25" s="1383" t="s">
        <v>3977</v>
      </c>
      <c r="G25" s="1383" t="s">
        <v>3976</v>
      </c>
      <c r="H25" s="1383" t="s">
        <v>3978</v>
      </c>
      <c r="I25" s="1383" t="s">
        <v>3979</v>
      </c>
    </row>
    <row r="26" spans="1:12">
      <c r="F26">
        <v>1</v>
      </c>
      <c r="G26">
        <f>K20</f>
        <v>5845.0149999999994</v>
      </c>
      <c r="H26">
        <v>1</v>
      </c>
      <c r="I26">
        <v>6</v>
      </c>
      <c r="J26">
        <f>I26*G26</f>
        <v>35070.089999999997</v>
      </c>
    </row>
    <row r="27" spans="1:12">
      <c r="F27">
        <v>2</v>
      </c>
      <c r="G27">
        <f>L20</f>
        <v>1908.2449999999999</v>
      </c>
      <c r="H27">
        <v>0.6</v>
      </c>
      <c r="I27">
        <f>I26*H27</f>
        <v>3.5999999999999996</v>
      </c>
      <c r="J27">
        <f>I27*G27</f>
        <v>6869.6819999999989</v>
      </c>
    </row>
    <row r="28" spans="1:12">
      <c r="G28">
        <f>SUM(G26:G27)</f>
        <v>7753.2599999999993</v>
      </c>
      <c r="I28">
        <f>J28/G28</f>
        <v>5.4093080845992523</v>
      </c>
      <c r="J28">
        <f>SUM(J26:J27)</f>
        <v>41939.771999999997</v>
      </c>
    </row>
  </sheetData>
  <mergeCells count="3">
    <mergeCell ref="E2:E8"/>
    <mergeCell ref="F2:F8"/>
    <mergeCell ref="G2:G8"/>
  </mergeCells>
  <phoneticPr fontId="1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8781E-A4FD-49D4-9A52-4D1A1393B80C}">
  <dimension ref="A1:N24"/>
  <sheetViews>
    <sheetView workbookViewId="0">
      <selection sqref="A1:G6"/>
    </sheetView>
  </sheetViews>
  <sheetFormatPr defaultRowHeight="13.5"/>
  <cols>
    <col min="1" max="1" width="39.5" bestFit="1" customWidth="1"/>
    <col min="2" max="2" width="9.5" bestFit="1" customWidth="1"/>
    <col min="4" max="4" width="11" bestFit="1" customWidth="1"/>
    <col min="5" max="5" width="23" customWidth="1"/>
    <col min="6" max="6" width="39.125" customWidth="1"/>
    <col min="7" max="8" width="13" bestFit="1" customWidth="1"/>
    <col min="11" max="11" width="9.5" bestFit="1" customWidth="1"/>
    <col min="12" max="12" width="9" bestFit="1" customWidth="1"/>
    <col min="13" max="13" width="4.5" bestFit="1" customWidth="1"/>
    <col min="14" max="14" width="6.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c r="N1" s="3156"/>
    </row>
    <row r="2" spans="1:14">
      <c r="A2" s="3143" t="s">
        <v>3417</v>
      </c>
      <c r="B2" s="3142">
        <v>10768.05</v>
      </c>
      <c r="C2" s="3143" t="s">
        <v>3408</v>
      </c>
      <c r="D2" s="3143" t="s">
        <v>3403</v>
      </c>
      <c r="E2" s="3345" t="s">
        <v>3449</v>
      </c>
      <c r="F2" s="3345" t="s">
        <v>3443</v>
      </c>
      <c r="G2" s="3345">
        <v>28709.39</v>
      </c>
      <c r="H2" s="3154">
        <f t="shared" ref="H2:H6" si="0">B2</f>
        <v>10768.05</v>
      </c>
      <c r="I2" s="3154"/>
      <c r="J2" s="3151">
        <v>3500</v>
      </c>
      <c r="K2" s="3151">
        <f t="shared" ref="K2:K6" si="1">J2*B2</f>
        <v>37688175</v>
      </c>
      <c r="L2" s="3151">
        <v>2021</v>
      </c>
      <c r="M2" s="3157">
        <f t="shared" ref="M2:M6" si="2">ROUND(1-(2025-L2)/60,2)</f>
        <v>0.93</v>
      </c>
      <c r="N2" s="3160">
        <f t="shared" ref="N2:N6" si="3">M2*B2</f>
        <v>10014.2865</v>
      </c>
    </row>
    <row r="3" spans="1:14">
      <c r="A3" s="3143" t="s">
        <v>3418</v>
      </c>
      <c r="B3" s="3142">
        <v>10744.17</v>
      </c>
      <c r="C3" s="3143" t="s">
        <v>3408</v>
      </c>
      <c r="D3" s="3143" t="s">
        <v>3403</v>
      </c>
      <c r="E3" s="3346"/>
      <c r="F3" s="3346"/>
      <c r="G3" s="3346"/>
      <c r="H3" s="3154">
        <f t="shared" si="0"/>
        <v>10744.17</v>
      </c>
      <c r="I3" s="3154"/>
      <c r="J3" s="3151">
        <v>3500</v>
      </c>
      <c r="K3" s="3151">
        <f t="shared" si="1"/>
        <v>37604595</v>
      </c>
      <c r="L3" s="3151">
        <v>2021</v>
      </c>
      <c r="M3" s="3157">
        <f t="shared" si="2"/>
        <v>0.93</v>
      </c>
      <c r="N3" s="3160">
        <f t="shared" si="3"/>
        <v>9992.0781000000006</v>
      </c>
    </row>
    <row r="4" spans="1:14">
      <c r="A4" s="3143" t="s">
        <v>3419</v>
      </c>
      <c r="B4" s="3142">
        <v>4017.67</v>
      </c>
      <c r="C4" s="3143" t="s">
        <v>3420</v>
      </c>
      <c r="D4" s="3143" t="s">
        <v>3403</v>
      </c>
      <c r="E4" s="3346"/>
      <c r="F4" s="3346"/>
      <c r="G4" s="3346"/>
      <c r="H4" s="3154">
        <f t="shared" si="0"/>
        <v>4017.67</v>
      </c>
      <c r="I4" s="3154"/>
      <c r="J4" s="3151">
        <v>3500</v>
      </c>
      <c r="K4" s="3151">
        <f t="shared" si="1"/>
        <v>14061845</v>
      </c>
      <c r="L4" s="3151">
        <v>2021</v>
      </c>
      <c r="M4" s="3157">
        <f t="shared" si="2"/>
        <v>0.93</v>
      </c>
      <c r="N4" s="3160">
        <f t="shared" si="3"/>
        <v>3736.4331000000002</v>
      </c>
    </row>
    <row r="5" spans="1:14">
      <c r="A5" s="3143" t="s">
        <v>3421</v>
      </c>
      <c r="B5" s="3142">
        <v>3491.32</v>
      </c>
      <c r="C5" s="3143" t="s">
        <v>3407</v>
      </c>
      <c r="D5" s="3143" t="s">
        <v>3403</v>
      </c>
      <c r="E5" s="3346"/>
      <c r="F5" s="3346"/>
      <c r="G5" s="3346"/>
      <c r="H5" s="3154">
        <f t="shared" si="0"/>
        <v>3491.32</v>
      </c>
      <c r="I5" s="3154"/>
      <c r="J5" s="3151">
        <v>3500</v>
      </c>
      <c r="K5" s="3151">
        <f t="shared" si="1"/>
        <v>12219620</v>
      </c>
      <c r="L5" s="3151">
        <v>2021</v>
      </c>
      <c r="M5" s="3157">
        <f t="shared" si="2"/>
        <v>0.93</v>
      </c>
      <c r="N5" s="3160">
        <f t="shared" si="3"/>
        <v>3246.9276000000004</v>
      </c>
    </row>
    <row r="6" spans="1:14">
      <c r="A6" s="3143" t="s">
        <v>3424</v>
      </c>
      <c r="B6" s="3142">
        <v>5391.64</v>
      </c>
      <c r="C6" s="3143" t="s">
        <v>3422</v>
      </c>
      <c r="D6" s="3143" t="s">
        <v>3423</v>
      </c>
      <c r="E6" s="3346"/>
      <c r="F6" s="3346"/>
      <c r="G6" s="3346"/>
      <c r="H6" s="3154">
        <f t="shared" si="0"/>
        <v>5391.64</v>
      </c>
      <c r="I6" s="3154"/>
      <c r="J6" s="3151">
        <v>3000</v>
      </c>
      <c r="K6" s="3151">
        <f t="shared" si="1"/>
        <v>16174920.000000002</v>
      </c>
      <c r="L6" s="3151">
        <v>2021</v>
      </c>
      <c r="M6" s="3157">
        <f t="shared" si="2"/>
        <v>0.93</v>
      </c>
      <c r="N6" s="3160">
        <f t="shared" si="3"/>
        <v>5014.2252000000008</v>
      </c>
    </row>
    <row r="9" spans="1:14">
      <c r="A9" s="1407" t="s">
        <v>3401</v>
      </c>
      <c r="B9" s="1407" t="s">
        <v>3402</v>
      </c>
      <c r="C9" s="1407" t="s">
        <v>3406</v>
      </c>
      <c r="D9" s="1407" t="s">
        <v>3444</v>
      </c>
      <c r="E9" s="1407" t="s">
        <v>3943</v>
      </c>
      <c r="F9" s="1407" t="s">
        <v>3942</v>
      </c>
      <c r="G9" s="1407" t="s">
        <v>3944</v>
      </c>
      <c r="H9" s="1407" t="s">
        <v>3945</v>
      </c>
      <c r="I9" s="1407" t="s">
        <v>3946</v>
      </c>
      <c r="J9" s="1407" t="s">
        <v>3947</v>
      </c>
      <c r="K9" s="1407" t="s">
        <v>3948</v>
      </c>
      <c r="L9" s="1407" t="s">
        <v>3949</v>
      </c>
    </row>
    <row r="10" spans="1:14">
      <c r="A10" s="3143" t="s">
        <v>3417</v>
      </c>
      <c r="B10" s="3142">
        <v>10768.05</v>
      </c>
      <c r="C10" s="3143" t="s">
        <v>3408</v>
      </c>
      <c r="D10" s="3143" t="s">
        <v>3403</v>
      </c>
      <c r="E10" s="3143">
        <v>10758.58</v>
      </c>
      <c r="F10" s="3143">
        <v>1408.28</v>
      </c>
      <c r="G10" s="3143">
        <v>9350.2999999999993</v>
      </c>
      <c r="H10" s="3143">
        <f>ROUND(F10/E10*B10,2)</f>
        <v>1409.52</v>
      </c>
      <c r="I10" s="3143">
        <f>ROUND(G10/E10*B10,2)</f>
        <v>9358.5300000000007</v>
      </c>
      <c r="J10" s="3143" t="s">
        <v>3422</v>
      </c>
      <c r="K10" s="3143">
        <f>H10</f>
        <v>1409.52</v>
      </c>
      <c r="L10" s="3143"/>
    </row>
    <row r="11" spans="1:14">
      <c r="A11" s="3143" t="s">
        <v>3418</v>
      </c>
      <c r="B11" s="3142">
        <v>10744.17</v>
      </c>
      <c r="C11" s="3143" t="s">
        <v>3408</v>
      </c>
      <c r="D11" s="3143" t="s">
        <v>3403</v>
      </c>
      <c r="E11" s="3143">
        <v>10597</v>
      </c>
      <c r="F11" s="3143">
        <v>1276.47</v>
      </c>
      <c r="G11" s="3143">
        <v>9320.5300000000007</v>
      </c>
      <c r="H11" s="3143">
        <f>ROUND(F11/E11*B11,2)</f>
        <v>1294.2</v>
      </c>
      <c r="I11" s="3143">
        <f>ROUND(G11/E11*B11,2)</f>
        <v>9449.9699999999993</v>
      </c>
      <c r="J11" s="3143" t="s">
        <v>3422</v>
      </c>
      <c r="K11" s="3143">
        <f>H11</f>
        <v>1294.2</v>
      </c>
      <c r="L11" s="3143"/>
    </row>
    <row r="12" spans="1:14">
      <c r="A12" s="3143" t="s">
        <v>3419</v>
      </c>
      <c r="B12" s="3142">
        <v>4017.67</v>
      </c>
      <c r="C12" s="3143" t="s">
        <v>3420</v>
      </c>
      <c r="D12" s="3143" t="s">
        <v>3403</v>
      </c>
      <c r="E12" s="3143">
        <v>3965.04</v>
      </c>
      <c r="F12" s="3143">
        <v>611.24</v>
      </c>
      <c r="G12" s="3143">
        <v>3353.8</v>
      </c>
      <c r="H12" s="3143">
        <f>ROUND(F12/E12*B12,2)</f>
        <v>619.35</v>
      </c>
      <c r="I12" s="3143">
        <f>ROUND(G12/E12*B12,2)</f>
        <v>3398.32</v>
      </c>
      <c r="J12" s="3143" t="s">
        <v>3422</v>
      </c>
      <c r="K12" s="3143">
        <f>H12</f>
        <v>619.35</v>
      </c>
      <c r="L12" s="3143"/>
    </row>
    <row r="13" spans="1:14">
      <c r="A13" s="3143" t="s">
        <v>3421</v>
      </c>
      <c r="B13" s="3142">
        <v>3491.32</v>
      </c>
      <c r="C13" s="3143" t="s">
        <v>3407</v>
      </c>
      <c r="D13" s="3143" t="s">
        <v>3403</v>
      </c>
      <c r="E13" s="3143">
        <v>3498.81</v>
      </c>
      <c r="F13" s="3143">
        <v>1704.14</v>
      </c>
      <c r="G13" s="3143">
        <v>1794.67</v>
      </c>
      <c r="H13" s="3143">
        <f>ROUND(F13/E13*B13,2)</f>
        <v>1700.49</v>
      </c>
      <c r="I13" s="3143">
        <f>ROUND(G13/E13*B13,2)</f>
        <v>1790.83</v>
      </c>
      <c r="J13" s="3143" t="s">
        <v>3409</v>
      </c>
      <c r="K13" s="3143">
        <f>H13/2</f>
        <v>850.245</v>
      </c>
      <c r="L13" s="3143">
        <f>K13</f>
        <v>850.245</v>
      </c>
    </row>
    <row r="14" spans="1:14">
      <c r="A14" s="3143" t="s">
        <v>3424</v>
      </c>
      <c r="B14" s="3142">
        <v>5391.64</v>
      </c>
      <c r="C14" s="3143" t="s">
        <v>3422</v>
      </c>
      <c r="D14" s="3143" t="s">
        <v>3423</v>
      </c>
      <c r="E14" s="3143"/>
      <c r="F14" s="3143"/>
      <c r="G14" s="3143"/>
      <c r="H14" s="3143"/>
      <c r="I14" s="3143"/>
      <c r="J14" s="3143"/>
      <c r="K14" s="3143"/>
      <c r="L14" s="3143"/>
    </row>
    <row r="15" spans="1:14">
      <c r="B15" s="3143">
        <f>SUM(B10:B14)</f>
        <v>34412.85</v>
      </c>
      <c r="H15" s="3143">
        <f>SUM(H10:H14)</f>
        <v>5023.5600000000004</v>
      </c>
      <c r="I15" s="3143">
        <f>SUM(I10:I14)</f>
        <v>23997.65</v>
      </c>
      <c r="J15" s="3143"/>
      <c r="K15" s="3143">
        <f>SUM(K10:K14)</f>
        <v>4173.3150000000005</v>
      </c>
      <c r="L15" s="3143">
        <f>SUM(L10:L14)</f>
        <v>850.245</v>
      </c>
    </row>
    <row r="21" spans="6:10">
      <c r="F21" s="1383" t="s">
        <v>3977</v>
      </c>
      <c r="G21" s="1383" t="s">
        <v>3367</v>
      </c>
      <c r="H21" s="1383" t="s">
        <v>3978</v>
      </c>
      <c r="I21" s="1383" t="s">
        <v>651</v>
      </c>
    </row>
    <row r="22" spans="6:10">
      <c r="F22">
        <v>1</v>
      </c>
      <c r="G22">
        <f>K15</f>
        <v>4173.3150000000005</v>
      </c>
      <c r="H22">
        <f>'739地块'!H26</f>
        <v>1</v>
      </c>
      <c r="I22">
        <f>'739地块'!I26</f>
        <v>6</v>
      </c>
      <c r="J22">
        <f>I22*G22</f>
        <v>25039.890000000003</v>
      </c>
    </row>
    <row r="23" spans="6:10">
      <c r="F23">
        <v>2</v>
      </c>
      <c r="G23">
        <f>L15</f>
        <v>850.245</v>
      </c>
      <c r="H23">
        <f>'739地块'!H27</f>
        <v>0.6</v>
      </c>
      <c r="I23">
        <f>'739地块'!I27</f>
        <v>3.5999999999999996</v>
      </c>
      <c r="J23">
        <f>I23*G23</f>
        <v>3060.8819999999996</v>
      </c>
    </row>
    <row r="24" spans="6:10">
      <c r="G24">
        <f>SUM(G22:G23)</f>
        <v>5023.5600000000004</v>
      </c>
      <c r="I24">
        <f>J24/G24</f>
        <v>5.5937964312161101</v>
      </c>
      <c r="J24">
        <f>SUM(J22:J23)</f>
        <v>28100.772000000004</v>
      </c>
    </row>
  </sheetData>
  <mergeCells count="3">
    <mergeCell ref="E2:E6"/>
    <mergeCell ref="F2:F6"/>
    <mergeCell ref="G2:G6"/>
  </mergeCells>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8A0D8-06FC-4F72-A942-542EE307254C}">
  <dimension ref="B1:R41"/>
  <sheetViews>
    <sheetView topLeftCell="A10" workbookViewId="0">
      <selection activeCell="H39" sqref="H39"/>
    </sheetView>
  </sheetViews>
  <sheetFormatPr defaultRowHeight="13.5"/>
  <cols>
    <col min="1" max="1" width="5.25" bestFit="1" customWidth="1"/>
    <col min="2" max="2" width="39.5" bestFit="1" customWidth="1"/>
    <col min="3" max="3" width="13" bestFit="1" customWidth="1"/>
    <col min="4" max="4" width="7.125" bestFit="1" customWidth="1"/>
    <col min="5" max="6" width="11" bestFit="1" customWidth="1"/>
    <col min="7" max="8" width="13" bestFit="1" customWidth="1"/>
    <col min="10" max="10" width="9.5" bestFit="1" customWidth="1"/>
    <col min="12" max="12" width="9.5" bestFit="1" customWidth="1"/>
    <col min="13" max="13" width="8.5" bestFit="1" customWidth="1"/>
  </cols>
  <sheetData>
    <row r="1" spans="2:15">
      <c r="B1" s="1407" t="s">
        <v>3401</v>
      </c>
      <c r="C1" s="1407" t="s">
        <v>3402</v>
      </c>
      <c r="D1" s="1407" t="s">
        <v>3406</v>
      </c>
      <c r="E1" s="1407" t="s">
        <v>3444</v>
      </c>
      <c r="F1" s="1407" t="s">
        <v>3416</v>
      </c>
      <c r="G1" s="1407" t="s">
        <v>3441</v>
      </c>
      <c r="H1" s="3155" t="s">
        <v>3472</v>
      </c>
    </row>
    <row r="2" spans="2:15">
      <c r="B2" s="3141" t="s">
        <v>3404</v>
      </c>
      <c r="C2" s="3140">
        <v>6568.5</v>
      </c>
      <c r="D2" s="3141" t="s">
        <v>3407</v>
      </c>
      <c r="E2" s="3141" t="s">
        <v>3403</v>
      </c>
      <c r="F2" s="3344" t="s">
        <v>3448</v>
      </c>
      <c r="G2" s="3344" t="s">
        <v>3442</v>
      </c>
      <c r="H2" s="3344">
        <v>24597.439999999999</v>
      </c>
      <c r="I2" s="1383" t="s">
        <v>4009</v>
      </c>
    </row>
    <row r="3" spans="2:15">
      <c r="B3" s="3141" t="s">
        <v>3405</v>
      </c>
      <c r="C3" s="3140">
        <v>9610.94</v>
      </c>
      <c r="D3" s="3141" t="s">
        <v>3408</v>
      </c>
      <c r="E3" s="3141" t="s">
        <v>3403</v>
      </c>
      <c r="F3" s="3349"/>
      <c r="G3" s="3344"/>
      <c r="H3" s="3344"/>
      <c r="I3" s="1383" t="s">
        <v>4010</v>
      </c>
    </row>
    <row r="4" spans="2:15">
      <c r="B4" s="3141" t="s">
        <v>3411</v>
      </c>
      <c r="C4" s="3140">
        <v>992.16</v>
      </c>
      <c r="D4" s="3141" t="s">
        <v>3409</v>
      </c>
      <c r="E4" s="3141" t="s">
        <v>3410</v>
      </c>
      <c r="F4" s="3349"/>
      <c r="G4" s="3344"/>
      <c r="H4" s="3344"/>
      <c r="I4" s="1383" t="s">
        <v>4011</v>
      </c>
      <c r="N4" s="1383"/>
    </row>
    <row r="5" spans="2:15">
      <c r="B5" s="3141" t="s">
        <v>3412</v>
      </c>
      <c r="C5" s="3140">
        <v>1123.8699999999999</v>
      </c>
      <c r="D5" s="3141" t="s">
        <v>3409</v>
      </c>
      <c r="E5" s="3141" t="s">
        <v>3410</v>
      </c>
      <c r="F5" s="3349"/>
      <c r="G5" s="3344"/>
      <c r="H5" s="3344"/>
      <c r="I5" s="1383" t="s">
        <v>4012</v>
      </c>
      <c r="N5" s="1383"/>
    </row>
    <row r="6" spans="2:15">
      <c r="B6" s="3141" t="s">
        <v>3413</v>
      </c>
      <c r="C6" s="3140">
        <v>9624.2999999999993</v>
      </c>
      <c r="D6" s="3141" t="s">
        <v>3408</v>
      </c>
      <c r="E6" s="3141" t="s">
        <v>3403</v>
      </c>
      <c r="F6" s="3349"/>
      <c r="G6" s="3344"/>
      <c r="H6" s="3344"/>
      <c r="I6" s="1383" t="s">
        <v>4013</v>
      </c>
      <c r="N6" s="1383"/>
    </row>
    <row r="7" spans="2:15">
      <c r="B7" s="3141" t="s">
        <v>3414</v>
      </c>
      <c r="C7" s="3140">
        <v>1123.9100000000001</v>
      </c>
      <c r="D7" s="3141" t="s">
        <v>3409</v>
      </c>
      <c r="E7" s="3141" t="s">
        <v>3410</v>
      </c>
      <c r="F7" s="3349"/>
      <c r="G7" s="3344"/>
      <c r="H7" s="3344"/>
      <c r="I7" s="1383" t="s">
        <v>4014</v>
      </c>
    </row>
    <row r="8" spans="2:15">
      <c r="B8" s="3141" t="s">
        <v>3415</v>
      </c>
      <c r="C8" s="3140">
        <v>576.54999999999995</v>
      </c>
      <c r="D8" s="3141" t="s">
        <v>3409</v>
      </c>
      <c r="E8" s="3141" t="s">
        <v>3410</v>
      </c>
      <c r="F8" s="3349"/>
      <c r="G8" s="3344"/>
      <c r="H8" s="3344"/>
      <c r="I8" s="1383" t="s">
        <v>4015</v>
      </c>
    </row>
    <row r="9" spans="2:15">
      <c r="C9" s="1383">
        <f>SUM(C2:C8)</f>
        <v>29620.23</v>
      </c>
    </row>
    <row r="10" spans="2:15">
      <c r="B10" s="1383" t="s">
        <v>3992</v>
      </c>
    </row>
    <row r="11" spans="2:15">
      <c r="B11" s="1407" t="s">
        <v>3401</v>
      </c>
      <c r="C11" s="1407" t="s">
        <v>3402</v>
      </c>
      <c r="D11" s="1407" t="s">
        <v>3406</v>
      </c>
      <c r="E11" s="1407" t="s">
        <v>3444</v>
      </c>
      <c r="F11" s="1407" t="s">
        <v>3416</v>
      </c>
      <c r="G11" s="1407" t="s">
        <v>3441</v>
      </c>
      <c r="H11" s="3155" t="s">
        <v>3472</v>
      </c>
      <c r="O11" s="1383" t="s">
        <v>3472</v>
      </c>
    </row>
    <row r="12" spans="2:15">
      <c r="B12" s="3143" t="s">
        <v>3417</v>
      </c>
      <c r="C12" s="3142">
        <v>10768.05</v>
      </c>
      <c r="D12" s="3143" t="s">
        <v>3408</v>
      </c>
      <c r="E12" s="3143" t="s">
        <v>3403</v>
      </c>
      <c r="F12" s="3345" t="s">
        <v>3449</v>
      </c>
      <c r="G12" s="3345" t="s">
        <v>3443</v>
      </c>
      <c r="H12" s="3345">
        <v>28709.39</v>
      </c>
      <c r="I12" s="1383" t="s">
        <v>3993</v>
      </c>
      <c r="N12" s="1383" t="s">
        <v>3993</v>
      </c>
      <c r="O12">
        <f>'738地块'!G2</f>
        <v>28709.39</v>
      </c>
    </row>
    <row r="13" spans="2:15">
      <c r="B13" s="3143" t="s">
        <v>3418</v>
      </c>
      <c r="C13" s="3142">
        <v>10744.17</v>
      </c>
      <c r="D13" s="3143" t="s">
        <v>3408</v>
      </c>
      <c r="E13" s="3143" t="s">
        <v>3403</v>
      </c>
      <c r="F13" s="3346"/>
      <c r="G13" s="3346"/>
      <c r="H13" s="3346"/>
      <c r="I13" s="1383" t="s">
        <v>3994</v>
      </c>
      <c r="N13" s="1383" t="s">
        <v>3994</v>
      </c>
    </row>
    <row r="14" spans="2:15">
      <c r="B14" s="3143" t="s">
        <v>3419</v>
      </c>
      <c r="C14" s="3142">
        <v>4017.67</v>
      </c>
      <c r="D14" s="3143" t="s">
        <v>3420</v>
      </c>
      <c r="E14" s="3143" t="s">
        <v>3403</v>
      </c>
      <c r="F14" s="3346"/>
      <c r="G14" s="3346"/>
      <c r="H14" s="3346"/>
      <c r="I14" s="1383" t="s">
        <v>3995</v>
      </c>
      <c r="N14" s="1383" t="s">
        <v>3995</v>
      </c>
    </row>
    <row r="15" spans="2:15">
      <c r="B15" s="3143" t="s">
        <v>3421</v>
      </c>
      <c r="C15" s="3142">
        <v>3491.32</v>
      </c>
      <c r="D15" s="3143" t="s">
        <v>3407</v>
      </c>
      <c r="E15" s="3143" t="s">
        <v>3403</v>
      </c>
      <c r="F15" s="3346"/>
      <c r="G15" s="3346"/>
      <c r="H15" s="3346"/>
      <c r="I15" s="1383" t="s">
        <v>3996</v>
      </c>
      <c r="N15" s="1383" t="s">
        <v>3996</v>
      </c>
    </row>
    <row r="16" spans="2:15">
      <c r="B16" s="3143" t="s">
        <v>3424</v>
      </c>
      <c r="C16" s="3142">
        <v>5391.64</v>
      </c>
      <c r="D16" s="3143" t="s">
        <v>3422</v>
      </c>
      <c r="E16" s="3143" t="s">
        <v>3423</v>
      </c>
      <c r="F16" s="3346"/>
      <c r="G16" s="3346"/>
      <c r="H16" s="3346"/>
      <c r="I16" s="1383" t="s">
        <v>3997</v>
      </c>
      <c r="N16" s="1383" t="s">
        <v>3997</v>
      </c>
    </row>
    <row r="17" spans="2:18">
      <c r="C17" s="3143">
        <f>SUM(C12:C16)</f>
        <v>34412.85</v>
      </c>
    </row>
    <row r="19" spans="2:18">
      <c r="C19" s="1383"/>
    </row>
    <row r="21" spans="2:18">
      <c r="C21" s="1383"/>
    </row>
    <row r="22" spans="2:18">
      <c r="P22" s="1383" t="s">
        <v>4019</v>
      </c>
      <c r="R22" s="1383" t="s">
        <v>4020</v>
      </c>
    </row>
    <row r="23" spans="2:18">
      <c r="B23" s="1383" t="s">
        <v>4005</v>
      </c>
      <c r="P23">
        <f ca="1">结果表!G19</f>
        <v>109723</v>
      </c>
      <c r="R23">
        <f ca="1">结果表!N59</f>
        <v>87101</v>
      </c>
    </row>
    <row r="24" spans="2:18">
      <c r="B24" s="1407" t="s">
        <v>3401</v>
      </c>
      <c r="C24" s="1407" t="s">
        <v>3402</v>
      </c>
      <c r="D24" s="1407" t="s">
        <v>3406</v>
      </c>
      <c r="E24" s="1407" t="s">
        <v>3444</v>
      </c>
      <c r="F24" s="1407" t="s">
        <v>3943</v>
      </c>
      <c r="G24" s="1407" t="s">
        <v>3942</v>
      </c>
      <c r="H24" s="1407" t="s">
        <v>3944</v>
      </c>
      <c r="I24" s="1407" t="s">
        <v>3945</v>
      </c>
      <c r="J24" s="1407" t="s">
        <v>3946</v>
      </c>
      <c r="K24" s="1407" t="s">
        <v>3947</v>
      </c>
      <c r="L24" s="1407" t="s">
        <v>3948</v>
      </c>
      <c r="M24" s="1407" t="s">
        <v>3949</v>
      </c>
      <c r="N24" s="3155" t="s">
        <v>4008</v>
      </c>
      <c r="O24" s="3618" t="s">
        <v>4021</v>
      </c>
      <c r="P24" s="3617" t="s">
        <v>4018</v>
      </c>
      <c r="Q24" s="3618" t="s">
        <v>4021</v>
      </c>
      <c r="R24" s="3617" t="s">
        <v>4018</v>
      </c>
    </row>
    <row r="25" spans="2:18">
      <c r="B25" s="3141" t="s">
        <v>3404</v>
      </c>
      <c r="C25" s="3140">
        <v>6568.5</v>
      </c>
      <c r="D25" s="3141" t="s">
        <v>3407</v>
      </c>
      <c r="E25" s="3141" t="s">
        <v>3403</v>
      </c>
      <c r="F25" s="3141">
        <v>6466.35</v>
      </c>
      <c r="G25" s="3141">
        <v>1356.75</v>
      </c>
      <c r="H25" s="3141">
        <v>5109.6000000000004</v>
      </c>
      <c r="I25" s="3141">
        <f t="shared" ref="I25:I30" si="0">ROUND(G25/F25*C25,2)</f>
        <v>1378.18</v>
      </c>
      <c r="J25" s="3141">
        <f t="shared" ref="J25:J30" si="1">ROUND(H25/F25*C25,2)</f>
        <v>5190.32</v>
      </c>
      <c r="K25" s="3141" t="s">
        <v>3422</v>
      </c>
      <c r="L25" s="3141">
        <f>I25</f>
        <v>1378.18</v>
      </c>
      <c r="M25" s="3141"/>
      <c r="N25">
        <f>ROUND(C25/$C$9*$H$2,2)</f>
        <v>5454.66</v>
      </c>
      <c r="O25">
        <f ca="1">ROUND(P25*10000/C25,0)</f>
        <v>24267</v>
      </c>
      <c r="P25">
        <f ca="1">ROUND(C25/$C$31*$P$23,0)</f>
        <v>15940</v>
      </c>
      <c r="Q25">
        <f ca="1">ROUND(R25*10000/C25,0)</f>
        <v>19265</v>
      </c>
      <c r="R25">
        <f ca="1">ROUND(C25/$C$31*$R$23,0)</f>
        <v>12654</v>
      </c>
    </row>
    <row r="26" spans="2:18">
      <c r="B26" s="3141" t="s">
        <v>3413</v>
      </c>
      <c r="C26" s="3140">
        <v>9624.2999999999993</v>
      </c>
      <c r="D26" s="3141" t="s">
        <v>3408</v>
      </c>
      <c r="E26" s="3141" t="s">
        <v>3403</v>
      </c>
      <c r="F26" s="3141">
        <v>9619.35</v>
      </c>
      <c r="G26" s="3141">
        <v>1279.3399999999999</v>
      </c>
      <c r="H26" s="3141">
        <v>8340.01</v>
      </c>
      <c r="I26" s="3141">
        <f t="shared" si="0"/>
        <v>1280</v>
      </c>
      <c r="J26" s="3141">
        <f t="shared" si="1"/>
        <v>8344.2999999999993</v>
      </c>
      <c r="K26" s="3141" t="s">
        <v>3422</v>
      </c>
      <c r="L26" s="3141">
        <f>I26</f>
        <v>1280</v>
      </c>
      <c r="M26" s="3141"/>
      <c r="N26">
        <f>ROUND(C26/$C$9*$H$2,2)</f>
        <v>7992.28</v>
      </c>
      <c r="O26">
        <f t="shared" ref="O26:O30" ca="1" si="2">ROUND(P26*10000/C26,0)</f>
        <v>24268</v>
      </c>
      <c r="P26">
        <f t="shared" ref="P26:P30" ca="1" si="3">ROUND(C26/$C$31*$P$23,0)</f>
        <v>23356</v>
      </c>
      <c r="Q26">
        <f t="shared" ref="Q26:Q30" ca="1" si="4">ROUND(R26*10000/C26,0)</f>
        <v>19264</v>
      </c>
      <c r="R26">
        <f t="shared" ref="R26:R30" ca="1" si="5">ROUND(C26/$C$31*$R$23,0)</f>
        <v>18540</v>
      </c>
    </row>
    <row r="27" spans="2:18">
      <c r="B27" s="3143" t="s">
        <v>3417</v>
      </c>
      <c r="C27" s="3142">
        <v>10768.05</v>
      </c>
      <c r="D27" s="3143" t="s">
        <v>3408</v>
      </c>
      <c r="E27" s="3143" t="s">
        <v>3403</v>
      </c>
      <c r="F27" s="3143">
        <v>10758.58</v>
      </c>
      <c r="G27" s="3143">
        <v>1408.28</v>
      </c>
      <c r="H27" s="3143">
        <v>9350.2999999999993</v>
      </c>
      <c r="I27" s="3143">
        <f t="shared" si="0"/>
        <v>1409.52</v>
      </c>
      <c r="J27" s="3143">
        <f t="shared" si="1"/>
        <v>9358.5300000000007</v>
      </c>
      <c r="K27" s="3143" t="s">
        <v>3422</v>
      </c>
      <c r="L27" s="3143">
        <f>I27</f>
        <v>1409.52</v>
      </c>
      <c r="M27" s="3143"/>
      <c r="N27">
        <f>ROUND(C27/$C$17*$H$12,2)</f>
        <v>8983.39</v>
      </c>
      <c r="O27">
        <f t="shared" ca="1" si="2"/>
        <v>24267</v>
      </c>
      <c r="P27">
        <f t="shared" ca="1" si="3"/>
        <v>26131</v>
      </c>
      <c r="Q27">
        <f t="shared" ca="1" si="4"/>
        <v>19264</v>
      </c>
      <c r="R27">
        <f t="shared" ca="1" si="5"/>
        <v>20744</v>
      </c>
    </row>
    <row r="28" spans="2:18">
      <c r="B28" s="3143" t="s">
        <v>3418</v>
      </c>
      <c r="C28" s="3142">
        <v>10744.17</v>
      </c>
      <c r="D28" s="3143" t="s">
        <v>3408</v>
      </c>
      <c r="E28" s="3143" t="s">
        <v>3403</v>
      </c>
      <c r="F28" s="3143">
        <v>10597</v>
      </c>
      <c r="G28" s="3143">
        <v>1276.47</v>
      </c>
      <c r="H28" s="3143">
        <v>9320.5300000000007</v>
      </c>
      <c r="I28" s="3143">
        <f t="shared" si="0"/>
        <v>1294.2</v>
      </c>
      <c r="J28" s="3143">
        <f t="shared" si="1"/>
        <v>9449.9699999999993</v>
      </c>
      <c r="K28" s="3143" t="s">
        <v>3422</v>
      </c>
      <c r="L28" s="3143">
        <f>I28</f>
        <v>1294.2</v>
      </c>
      <c r="M28" s="3143"/>
      <c r="N28">
        <f t="shared" ref="N28:N30" si="6">ROUND(C28/$C$17*$H$12,2)</f>
        <v>8963.4699999999993</v>
      </c>
      <c r="O28">
        <f t="shared" ca="1" si="2"/>
        <v>24267</v>
      </c>
      <c r="P28">
        <f t="shared" ca="1" si="3"/>
        <v>26073</v>
      </c>
      <c r="Q28">
        <f t="shared" ca="1" si="4"/>
        <v>19264</v>
      </c>
      <c r="R28">
        <f t="shared" ca="1" si="5"/>
        <v>20698</v>
      </c>
    </row>
    <row r="29" spans="2:18">
      <c r="B29" s="3143" t="s">
        <v>3419</v>
      </c>
      <c r="C29" s="3142">
        <v>4017.67</v>
      </c>
      <c r="D29" s="3143" t="s">
        <v>3420</v>
      </c>
      <c r="E29" s="3143" t="s">
        <v>3403</v>
      </c>
      <c r="F29" s="3143">
        <v>3965.04</v>
      </c>
      <c r="G29" s="3143">
        <v>611.24</v>
      </c>
      <c r="H29" s="3143">
        <v>3353.8</v>
      </c>
      <c r="I29" s="3143">
        <f t="shared" si="0"/>
        <v>619.35</v>
      </c>
      <c r="J29" s="3143">
        <f t="shared" si="1"/>
        <v>3398.32</v>
      </c>
      <c r="K29" s="3143" t="s">
        <v>3422</v>
      </c>
      <c r="L29" s="3143">
        <f>I29</f>
        <v>619.35</v>
      </c>
      <c r="M29" s="3143"/>
      <c r="N29">
        <f t="shared" si="6"/>
        <v>3351.8</v>
      </c>
      <c r="O29">
        <f t="shared" ca="1" si="2"/>
        <v>24268</v>
      </c>
      <c r="P29">
        <f t="shared" ca="1" si="3"/>
        <v>9750</v>
      </c>
      <c r="Q29">
        <f t="shared" ca="1" si="4"/>
        <v>19265</v>
      </c>
      <c r="R29">
        <f t="shared" ca="1" si="5"/>
        <v>7740</v>
      </c>
    </row>
    <row r="30" spans="2:18">
      <c r="B30" s="3143" t="s">
        <v>3421</v>
      </c>
      <c r="C30" s="3142">
        <v>3491.32</v>
      </c>
      <c r="D30" s="3143" t="s">
        <v>3407</v>
      </c>
      <c r="E30" s="3143" t="s">
        <v>3403</v>
      </c>
      <c r="F30" s="3143">
        <v>3498.81</v>
      </c>
      <c r="G30" s="3143">
        <v>1704.14</v>
      </c>
      <c r="H30" s="3143">
        <v>1794.67</v>
      </c>
      <c r="I30" s="3143">
        <f t="shared" si="0"/>
        <v>1700.49</v>
      </c>
      <c r="J30" s="3143">
        <f t="shared" si="1"/>
        <v>1790.83</v>
      </c>
      <c r="K30" s="3143" t="s">
        <v>3409</v>
      </c>
      <c r="L30" s="3143">
        <f>I30/2</f>
        <v>850.245</v>
      </c>
      <c r="M30" s="3143">
        <f>L30</f>
        <v>850.245</v>
      </c>
      <c r="N30">
        <f t="shared" si="6"/>
        <v>2912.68</v>
      </c>
      <c r="O30">
        <f t="shared" ca="1" si="2"/>
        <v>24269</v>
      </c>
      <c r="P30">
        <f t="shared" ca="1" si="3"/>
        <v>8473</v>
      </c>
      <c r="Q30">
        <f t="shared" ca="1" si="4"/>
        <v>19265</v>
      </c>
      <c r="R30">
        <f ca="1">ROUND(C30/$C$31*$R$23,0)</f>
        <v>6726</v>
      </c>
    </row>
    <row r="31" spans="2:18">
      <c r="C31">
        <f>SUM(C25:C30)</f>
        <v>45214.009999999995</v>
      </c>
      <c r="I31">
        <f>SUM(I25:I30)</f>
        <v>7681.7400000000007</v>
      </c>
      <c r="J31">
        <f>SUM(J25:J30)</f>
        <v>37532.270000000004</v>
      </c>
      <c r="L31">
        <f t="shared" ref="L31:M31" si="7">SUM(L25:L30)</f>
        <v>6831.4950000000008</v>
      </c>
      <c r="M31">
        <f t="shared" si="7"/>
        <v>850.245</v>
      </c>
      <c r="N31">
        <f>SUM(N25:N30)</f>
        <v>37658.28</v>
      </c>
      <c r="P31">
        <f ca="1">SUM(P25:P30)</f>
        <v>109723</v>
      </c>
      <c r="R31">
        <f ca="1">SUM(R25:R30)</f>
        <v>87102</v>
      </c>
    </row>
    <row r="32" spans="2:18">
      <c r="B32" s="3266"/>
    </row>
    <row r="35" spans="2:14">
      <c r="B35" s="1383" t="s">
        <v>4006</v>
      </c>
    </row>
    <row r="36" spans="2:14">
      <c r="B36" s="1407" t="s">
        <v>3401</v>
      </c>
      <c r="C36" s="1407" t="s">
        <v>3402</v>
      </c>
      <c r="D36" s="1407" t="s">
        <v>3406</v>
      </c>
      <c r="E36" s="1407" t="s">
        <v>3444</v>
      </c>
      <c r="F36" s="1407" t="s">
        <v>3943</v>
      </c>
      <c r="G36" s="1407" t="s">
        <v>3942</v>
      </c>
      <c r="H36" s="1407" t="s">
        <v>3944</v>
      </c>
      <c r="I36" s="1407" t="s">
        <v>3945</v>
      </c>
      <c r="J36" s="1407" t="s">
        <v>3946</v>
      </c>
      <c r="K36" s="1407" t="s">
        <v>3947</v>
      </c>
      <c r="L36" s="1407" t="s">
        <v>3948</v>
      </c>
      <c r="M36" s="1407" t="s">
        <v>3949</v>
      </c>
    </row>
    <row r="37" spans="2:14">
      <c r="B37" s="3141" t="s">
        <v>3415</v>
      </c>
      <c r="C37" s="3140">
        <v>576.54999999999995</v>
      </c>
      <c r="D37" s="3141" t="s">
        <v>3409</v>
      </c>
      <c r="E37" s="3141" t="s">
        <v>3410</v>
      </c>
      <c r="F37" s="3141"/>
      <c r="G37" s="3141"/>
      <c r="H37" s="3141"/>
      <c r="I37" s="3141">
        <f>C37</f>
        <v>576.54999999999995</v>
      </c>
      <c r="J37" s="3141"/>
      <c r="K37" s="3141" t="s">
        <v>3409</v>
      </c>
      <c r="L37" s="3141">
        <f>C37/2</f>
        <v>288.27499999999998</v>
      </c>
      <c r="M37" s="3141">
        <f>L37</f>
        <v>288.27499999999998</v>
      </c>
      <c r="N37">
        <f>ROUND(C37/$C$9*$H$2,2)</f>
        <v>478.78</v>
      </c>
    </row>
    <row r="40" spans="2:14">
      <c r="B40" s="1383" t="s">
        <v>4007</v>
      </c>
    </row>
    <row r="41" spans="2:14">
      <c r="B41" s="3143" t="s">
        <v>3424</v>
      </c>
      <c r="C41" s="3142">
        <v>5391.64</v>
      </c>
      <c r="D41" s="3143" t="s">
        <v>3422</v>
      </c>
      <c r="E41" s="3143" t="s">
        <v>3423</v>
      </c>
      <c r="F41" s="3143"/>
      <c r="G41" s="3143"/>
      <c r="H41" s="3143"/>
      <c r="I41" s="3143"/>
      <c r="J41" s="3143"/>
      <c r="K41" s="3143"/>
      <c r="L41" s="3143"/>
      <c r="M41" s="3143"/>
      <c r="N41">
        <f>ROUND(C41/$C$17*$H$12,2)</f>
        <v>4498.05</v>
      </c>
    </row>
  </sheetData>
  <mergeCells count="6">
    <mergeCell ref="F2:F8"/>
    <mergeCell ref="G2:G8"/>
    <mergeCell ref="H2:H8"/>
    <mergeCell ref="F12:F16"/>
    <mergeCell ref="G12:G16"/>
    <mergeCell ref="H12:H16"/>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07A31-3B17-43BA-8DFE-A0E51DD19029}">
  <dimension ref="A1:N5"/>
  <sheetViews>
    <sheetView workbookViewId="0">
      <selection activeCell="D23" sqref="D23"/>
    </sheetView>
  </sheetViews>
  <sheetFormatPr defaultRowHeight="13.5"/>
  <cols>
    <col min="1" max="1" width="42.75" bestFit="1" customWidth="1"/>
    <col min="3" max="3" width="7.375" bestFit="1" customWidth="1"/>
    <col min="4" max="4" width="29.625" bestFit="1" customWidth="1"/>
    <col min="5" max="5" width="20.5" bestFit="1" customWidth="1"/>
    <col min="6" max="6" width="15.125" bestFit="1" customWidth="1"/>
    <col min="7" max="7" width="9.5" bestFit="1" customWidth="1"/>
    <col min="8" max="9" width="13" bestFit="1" customWidth="1"/>
    <col min="11" max="11" width="9.5" bestFit="1" customWidth="1"/>
    <col min="13" max="13" width="7.125" bestFit="1" customWidth="1"/>
    <col min="14" max="14" width="6.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row>
    <row r="2" spans="1:14">
      <c r="A2" s="3145" t="s">
        <v>3425</v>
      </c>
      <c r="B2" s="3144">
        <v>8739</v>
      </c>
      <c r="C2" s="3145" t="s">
        <v>3408</v>
      </c>
      <c r="D2" s="3145" t="s">
        <v>3427</v>
      </c>
      <c r="E2" s="3347" t="s">
        <v>3450</v>
      </c>
      <c r="F2" s="3347" t="s">
        <v>3445</v>
      </c>
      <c r="G2" s="3347">
        <v>22807.439999999999</v>
      </c>
      <c r="H2" s="3154">
        <f t="shared" ref="H2:H3" si="0">B2</f>
        <v>8739</v>
      </c>
      <c r="I2" s="3154"/>
      <c r="J2" s="3151">
        <v>3500</v>
      </c>
      <c r="K2" s="3151">
        <f t="shared" ref="K2:K4" si="1">J2*B2</f>
        <v>30586500</v>
      </c>
      <c r="L2" s="3151">
        <v>2021</v>
      </c>
      <c r="M2" s="3157">
        <f t="shared" ref="M2:M4" si="2">ROUND(1-(2025-L2)/60,2)</f>
        <v>0.93</v>
      </c>
      <c r="N2" s="3160">
        <f t="shared" ref="N2:N4" si="3">M2*B2</f>
        <v>8127.27</v>
      </c>
    </row>
    <row r="3" spans="1:14">
      <c r="A3" s="3145" t="s">
        <v>3428</v>
      </c>
      <c r="B3" s="3144">
        <v>2068.3000000000002</v>
      </c>
      <c r="C3" s="3145" t="s">
        <v>3430</v>
      </c>
      <c r="D3" s="3145" t="s">
        <v>3432</v>
      </c>
      <c r="E3" s="3347"/>
      <c r="F3" s="3348"/>
      <c r="G3" s="3348"/>
      <c r="H3" s="3154">
        <f t="shared" si="0"/>
        <v>2068.3000000000002</v>
      </c>
      <c r="I3" s="3154"/>
      <c r="J3" s="3151">
        <v>3500</v>
      </c>
      <c r="K3" s="3151">
        <f t="shared" si="1"/>
        <v>7239050.0000000009</v>
      </c>
      <c r="L3" s="3151">
        <v>2021</v>
      </c>
      <c r="M3" s="3157">
        <f t="shared" si="2"/>
        <v>0.93</v>
      </c>
      <c r="N3" s="3160">
        <f t="shared" si="3"/>
        <v>1923.5190000000002</v>
      </c>
    </row>
    <row r="4" spans="1:14">
      <c r="A4" s="3145" t="s">
        <v>3433</v>
      </c>
      <c r="B4" s="3144">
        <v>13575.6</v>
      </c>
      <c r="C4" s="3146" t="s">
        <v>3434</v>
      </c>
      <c r="D4" s="3144" t="s">
        <v>3435</v>
      </c>
      <c r="E4" s="3347"/>
      <c r="F4" s="3348"/>
      <c r="G4" s="3348"/>
      <c r="H4" s="3154">
        <f>ROUND(B4/7*6,2)</f>
        <v>11636.23</v>
      </c>
      <c r="I4" s="3154">
        <f>ROUND(B4/7,2)</f>
        <v>1939.37</v>
      </c>
      <c r="J4" s="3151">
        <v>4000</v>
      </c>
      <c r="K4" s="3151">
        <f t="shared" si="1"/>
        <v>54302400</v>
      </c>
      <c r="L4" s="3151">
        <v>2021</v>
      </c>
      <c r="M4" s="3157">
        <f t="shared" si="2"/>
        <v>0.93</v>
      </c>
      <c r="N4" s="3160">
        <f t="shared" si="3"/>
        <v>12625.308000000001</v>
      </c>
    </row>
    <row r="5" spans="1:14">
      <c r="B5">
        <f>SUM(B2:B4)</f>
        <v>24382.9</v>
      </c>
      <c r="H5">
        <f>SUM(H2:H4)</f>
        <v>22443.53</v>
      </c>
      <c r="I5">
        <f>SUM(I2:I4)</f>
        <v>1939.37</v>
      </c>
    </row>
  </sheetData>
  <mergeCells count="3">
    <mergeCell ref="E2:E4"/>
    <mergeCell ref="F2:F4"/>
    <mergeCell ref="G2:G4"/>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267" t="str">
        <f>项目基本情况!B1</f>
        <v>北京市房地产抵押价值预评估</v>
      </c>
      <c r="C37" s="3267"/>
      <c r="D37" s="3267"/>
      <c r="E37" s="3267"/>
      <c r="F37" s="3267"/>
      <c r="G37" s="3267"/>
      <c r="H37" s="3267"/>
      <c r="I37" s="326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FC92-C384-46A3-8E4C-5BDA02DE94FE}">
  <dimension ref="A1:N2"/>
  <sheetViews>
    <sheetView workbookViewId="0">
      <selection activeCell="D23" sqref="D23"/>
    </sheetView>
  </sheetViews>
  <sheetFormatPr defaultRowHeight="13.5"/>
  <cols>
    <col min="1" max="1" width="41.625" bestFit="1" customWidth="1"/>
    <col min="2" max="2" width="9.5" bestFit="1" customWidth="1"/>
    <col min="3" max="3" width="7.125" bestFit="1" customWidth="1"/>
    <col min="4" max="4" width="25.5" bestFit="1" customWidth="1"/>
    <col min="5" max="5" width="20.5" bestFit="1" customWidth="1"/>
    <col min="6" max="6" width="27.625" bestFit="1" customWidth="1"/>
    <col min="8" max="9" width="13" bestFit="1" customWidth="1"/>
    <col min="11" max="11" width="10.5" bestFit="1" customWidth="1"/>
    <col min="13" max="13" width="7.125" bestFit="1" customWidth="1"/>
    <col min="14" max="14" width="6.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c r="N1" s="3156"/>
    </row>
    <row r="2" spans="1:14">
      <c r="A2" s="3148" t="s">
        <v>3436</v>
      </c>
      <c r="B2" s="3147">
        <v>39017.56</v>
      </c>
      <c r="C2" s="3148" t="s">
        <v>3438</v>
      </c>
      <c r="D2" s="3148" t="s">
        <v>3437</v>
      </c>
      <c r="E2" s="3148" t="s">
        <v>3451</v>
      </c>
      <c r="F2" s="3148" t="s">
        <v>3447</v>
      </c>
      <c r="G2" s="3148">
        <v>22941.1</v>
      </c>
      <c r="H2" s="3154">
        <f t="shared" ref="H2" si="0">B2</f>
        <v>39017.56</v>
      </c>
      <c r="I2" s="3154"/>
      <c r="J2" s="3151">
        <v>5000</v>
      </c>
      <c r="K2" s="3151">
        <f t="shared" ref="K2" si="1">J2*B2</f>
        <v>195087800</v>
      </c>
      <c r="L2" s="3151">
        <v>2021</v>
      </c>
      <c r="M2" s="3157">
        <f t="shared" ref="M2" si="2">ROUND(1-(2025-L2)/60,2)</f>
        <v>0.93</v>
      </c>
      <c r="N2" s="3160">
        <f t="shared" ref="N2" si="3">M2*B2</f>
        <v>36286.330800000003</v>
      </c>
    </row>
  </sheetData>
  <phoneticPr fontId="13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E64F4-67AB-4FCC-A56E-3CE02BB33015}">
  <dimension ref="A1:N5"/>
  <sheetViews>
    <sheetView workbookViewId="0">
      <selection activeCell="D23" sqref="D23"/>
    </sheetView>
  </sheetViews>
  <sheetFormatPr defaultRowHeight="13.5"/>
  <cols>
    <col min="1" max="1" width="41.625" bestFit="1" customWidth="1"/>
    <col min="3" max="3" width="7.125" bestFit="1" customWidth="1"/>
    <col min="4" max="4" width="19.25" bestFit="1" customWidth="1"/>
    <col min="5" max="5" width="20.5" bestFit="1" customWidth="1"/>
    <col min="6" max="6" width="27.625" bestFit="1" customWidth="1"/>
    <col min="7" max="7" width="9.5" bestFit="1" customWidth="1"/>
    <col min="8" max="9" width="13" bestFit="1" customWidth="1"/>
    <col min="11" max="11" width="9.5" bestFit="1" customWidth="1"/>
    <col min="13" max="13" width="7.125" bestFit="1" customWidth="1"/>
    <col min="14" max="14" width="5.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c r="N1" s="3156"/>
    </row>
    <row r="2" spans="1:14">
      <c r="A2" s="3150" t="s">
        <v>3439</v>
      </c>
      <c r="B2" s="3149">
        <v>7525.88</v>
      </c>
      <c r="C2" s="3150" t="s">
        <v>3407</v>
      </c>
      <c r="D2" s="3150" t="s">
        <v>3427</v>
      </c>
      <c r="E2" s="3338" t="s">
        <v>3452</v>
      </c>
      <c r="F2" s="3339" t="s">
        <v>3446</v>
      </c>
      <c r="G2" s="3339">
        <v>11919.92</v>
      </c>
      <c r="H2" s="3154">
        <f t="shared" ref="H2:H4" si="0">B2</f>
        <v>7525.88</v>
      </c>
      <c r="I2" s="3154"/>
      <c r="J2" s="3151">
        <v>3500</v>
      </c>
      <c r="K2" s="3151">
        <f t="shared" ref="K2:K4" si="1">J2*B2</f>
        <v>26340580</v>
      </c>
      <c r="L2" s="3151">
        <v>2021</v>
      </c>
      <c r="M2" s="3157">
        <f t="shared" ref="M2:M4" si="2">ROUND(1-(2025-L2)/60,2)</f>
        <v>0.93</v>
      </c>
      <c r="N2" s="3160">
        <f t="shared" ref="N2:N4" si="3">M2*B2</f>
        <v>6999.0684000000001</v>
      </c>
    </row>
    <row r="3" spans="1:14">
      <c r="A3" s="3150" t="s">
        <v>3440</v>
      </c>
      <c r="B3" s="3149">
        <v>2942.32</v>
      </c>
      <c r="C3" s="3150" t="s">
        <v>3430</v>
      </c>
      <c r="D3" s="3150" t="s">
        <v>3453</v>
      </c>
      <c r="E3" s="3338"/>
      <c r="F3" s="3339"/>
      <c r="G3" s="3339"/>
      <c r="H3" s="3154">
        <f t="shared" si="0"/>
        <v>2942.32</v>
      </c>
      <c r="I3" s="3154"/>
      <c r="J3" s="3151">
        <v>3500</v>
      </c>
      <c r="K3" s="3151">
        <f t="shared" si="1"/>
        <v>10298120</v>
      </c>
      <c r="L3" s="3151">
        <v>2021</v>
      </c>
      <c r="M3" s="3157">
        <f t="shared" si="2"/>
        <v>0.93</v>
      </c>
      <c r="N3" s="3160">
        <f t="shared" si="3"/>
        <v>2736.3576000000003</v>
      </c>
    </row>
    <row r="4" spans="1:14">
      <c r="A4" s="3150" t="s">
        <v>3454</v>
      </c>
      <c r="B4" s="3149">
        <v>4049.79</v>
      </c>
      <c r="C4" s="3150" t="s">
        <v>3430</v>
      </c>
      <c r="D4" s="3150" t="s">
        <v>3432</v>
      </c>
      <c r="E4" s="3338"/>
      <c r="F4" s="3339"/>
      <c r="G4" s="3339"/>
      <c r="H4" s="3154">
        <f t="shared" si="0"/>
        <v>4049.79</v>
      </c>
      <c r="I4" s="3154"/>
      <c r="J4" s="3151">
        <v>3500</v>
      </c>
      <c r="K4" s="3151">
        <f t="shared" si="1"/>
        <v>14174265</v>
      </c>
      <c r="L4" s="3151">
        <v>2021</v>
      </c>
      <c r="M4" s="3157">
        <f t="shared" si="2"/>
        <v>0.93</v>
      </c>
      <c r="N4" s="3160">
        <f t="shared" si="3"/>
        <v>3766.3047000000001</v>
      </c>
    </row>
    <row r="5" spans="1:14">
      <c r="B5">
        <f>SUM(B2:B4)</f>
        <v>14517.990000000002</v>
      </c>
      <c r="H5">
        <f>SUM(H2:H4)</f>
        <v>14517.990000000002</v>
      </c>
      <c r="I5">
        <f>SUM(I2:I4)</f>
        <v>0</v>
      </c>
    </row>
  </sheetData>
  <mergeCells count="3">
    <mergeCell ref="E2:E4"/>
    <mergeCell ref="F2:F4"/>
    <mergeCell ref="G2:G4"/>
  </mergeCells>
  <phoneticPr fontId="1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B17-42F5-475F-9A3B-FF5383F01FDB}">
  <dimension ref="A1:N6"/>
  <sheetViews>
    <sheetView workbookViewId="0">
      <selection activeCell="D23" sqref="D23"/>
    </sheetView>
  </sheetViews>
  <sheetFormatPr defaultRowHeight="13.5"/>
  <cols>
    <col min="1" max="1" width="41.625" bestFit="1" customWidth="1"/>
    <col min="2" max="2" width="9.5" bestFit="1" customWidth="1"/>
    <col min="3" max="3" width="7.125" bestFit="1" customWidth="1"/>
    <col min="4" max="4" width="19.25" bestFit="1" customWidth="1"/>
    <col min="5" max="5" width="20.5" bestFit="1" customWidth="1"/>
    <col min="6" max="6" width="27.625" bestFit="1" customWidth="1"/>
    <col min="7" max="7" width="9.5" bestFit="1" customWidth="1"/>
    <col min="8" max="9" width="13" bestFit="1" customWidth="1"/>
    <col min="11" max="11" width="9.5" bestFit="1" customWidth="1"/>
    <col min="13" max="13" width="7.125" bestFit="1" customWidth="1"/>
    <col min="14" max="14" width="6.5" bestFit="1" customWidth="1"/>
  </cols>
  <sheetData>
    <row r="1" spans="1:14">
      <c r="A1" s="1407" t="s">
        <v>3401</v>
      </c>
      <c r="B1" s="1407" t="s">
        <v>3402</v>
      </c>
      <c r="C1" s="1407" t="s">
        <v>3406</v>
      </c>
      <c r="D1" s="1407" t="s">
        <v>3444</v>
      </c>
      <c r="E1" s="1407" t="s">
        <v>3416</v>
      </c>
      <c r="F1" s="1407" t="s">
        <v>3441</v>
      </c>
      <c r="G1" s="3155" t="s">
        <v>3472</v>
      </c>
      <c r="H1" s="3155" t="s">
        <v>3463</v>
      </c>
      <c r="I1" s="3155" t="s">
        <v>3464</v>
      </c>
      <c r="J1" s="1407" t="s">
        <v>3466</v>
      </c>
      <c r="K1" s="1407" t="s">
        <v>3467</v>
      </c>
      <c r="L1" s="1407" t="s">
        <v>3468</v>
      </c>
      <c r="M1" s="1407" t="s">
        <v>3469</v>
      </c>
      <c r="N1" s="3156"/>
    </row>
    <row r="2" spans="1:14">
      <c r="A2" s="3153" t="s">
        <v>3456</v>
      </c>
      <c r="B2" s="3152">
        <v>9338.98</v>
      </c>
      <c r="C2" s="3153" t="s">
        <v>3407</v>
      </c>
      <c r="D2" s="3152" t="s">
        <v>3426</v>
      </c>
      <c r="E2" s="3343" t="s">
        <v>3457</v>
      </c>
      <c r="F2" s="3340" t="s">
        <v>3446</v>
      </c>
      <c r="G2" s="3340">
        <v>21398.42</v>
      </c>
      <c r="H2" s="3154">
        <f t="shared" ref="H2:H5" si="0">B2</f>
        <v>9338.98</v>
      </c>
      <c r="I2" s="3154"/>
      <c r="J2" s="3151">
        <v>3500</v>
      </c>
      <c r="K2" s="3151">
        <f t="shared" ref="K2:K5" si="1">J2*B2</f>
        <v>32686430</v>
      </c>
      <c r="L2" s="3151">
        <v>2022</v>
      </c>
      <c r="M2" s="3157">
        <f t="shared" ref="M2:M5" si="2">ROUND(1-(2025-L2)/60,2)</f>
        <v>0.95</v>
      </c>
      <c r="N2" s="3160">
        <f t="shared" ref="N2:N5" si="3">M2*B2</f>
        <v>8872.030999999999</v>
      </c>
    </row>
    <row r="3" spans="1:14">
      <c r="A3" s="3153" t="s">
        <v>3458</v>
      </c>
      <c r="B3" s="3152">
        <v>11105.08</v>
      </c>
      <c r="C3" s="3152" t="s">
        <v>3459</v>
      </c>
      <c r="D3" s="3153" t="s">
        <v>3460</v>
      </c>
      <c r="E3" s="3341"/>
      <c r="F3" s="3341"/>
      <c r="G3" s="3341"/>
      <c r="H3" s="3154">
        <f t="shared" si="0"/>
        <v>11105.08</v>
      </c>
      <c r="I3" s="3154"/>
      <c r="J3" s="3151">
        <v>3500</v>
      </c>
      <c r="K3" s="3151">
        <f t="shared" si="1"/>
        <v>38867780</v>
      </c>
      <c r="L3" s="3151">
        <v>2022</v>
      </c>
      <c r="M3" s="3157">
        <f t="shared" si="2"/>
        <v>0.95</v>
      </c>
      <c r="N3" s="3160">
        <f t="shared" si="3"/>
        <v>10549.825999999999</v>
      </c>
    </row>
    <row r="4" spans="1:14">
      <c r="A4" s="3153" t="s">
        <v>3455</v>
      </c>
      <c r="B4" s="3152">
        <v>2771.5</v>
      </c>
      <c r="C4" s="3152" t="s">
        <v>3429</v>
      </c>
      <c r="D4" s="3152" t="s">
        <v>3431</v>
      </c>
      <c r="E4" s="3341"/>
      <c r="F4" s="3341"/>
      <c r="G4" s="3341"/>
      <c r="H4" s="3154">
        <f t="shared" si="0"/>
        <v>2771.5</v>
      </c>
      <c r="I4" s="3154"/>
      <c r="J4" s="3151">
        <v>3500</v>
      </c>
      <c r="K4" s="3151">
        <f t="shared" si="1"/>
        <v>9700250</v>
      </c>
      <c r="L4" s="3151">
        <v>2022</v>
      </c>
      <c r="M4" s="3157">
        <f t="shared" si="2"/>
        <v>0.95</v>
      </c>
      <c r="N4" s="3160">
        <f t="shared" si="3"/>
        <v>2632.9249999999997</v>
      </c>
    </row>
    <row r="5" spans="1:14">
      <c r="A5" s="3153" t="s">
        <v>3461</v>
      </c>
      <c r="B5" s="3152">
        <v>2943.43</v>
      </c>
      <c r="C5" s="3152" t="s">
        <v>3429</v>
      </c>
      <c r="D5" s="3152" t="s">
        <v>3431</v>
      </c>
      <c r="E5" s="3342"/>
      <c r="F5" s="3342"/>
      <c r="G5" s="3342"/>
      <c r="H5" s="3154">
        <f t="shared" si="0"/>
        <v>2943.43</v>
      </c>
      <c r="I5" s="3154"/>
      <c r="J5" s="3151">
        <v>3500</v>
      </c>
      <c r="K5" s="3151">
        <f t="shared" si="1"/>
        <v>10302005</v>
      </c>
      <c r="L5" s="3151">
        <v>2022</v>
      </c>
      <c r="M5" s="3157">
        <f t="shared" si="2"/>
        <v>0.95</v>
      </c>
      <c r="N5" s="3160">
        <f t="shared" si="3"/>
        <v>2796.2584999999999</v>
      </c>
    </row>
    <row r="6" spans="1:14">
      <c r="B6">
        <f>SUM(B2:B5)</f>
        <v>26158.989999999998</v>
      </c>
      <c r="H6">
        <f>SUM(H2:H5)</f>
        <v>26158.989999999998</v>
      </c>
    </row>
  </sheetData>
  <mergeCells count="3">
    <mergeCell ref="E2:E5"/>
    <mergeCell ref="F2:F5"/>
    <mergeCell ref="G2:G5"/>
  </mergeCells>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0" sqref="K10"/>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1127</v>
      </c>
      <c r="B1" s="1049"/>
      <c r="C1" s="1049"/>
      <c r="D1" s="1049"/>
      <c r="E1" s="1049"/>
      <c r="F1" s="1049"/>
      <c r="G1" s="1049"/>
      <c r="H1" s="1049"/>
      <c r="I1" s="1049"/>
      <c r="J1" s="1049"/>
      <c r="K1" s="1049"/>
      <c r="L1" s="1049"/>
      <c r="M1" s="1049"/>
      <c r="N1" s="1049"/>
      <c r="O1" s="1049"/>
      <c r="P1" s="1049"/>
    </row>
    <row r="2" spans="1:16" ht="15">
      <c r="A2" s="3359" t="s">
        <v>1128</v>
      </c>
      <c r="B2" s="3359"/>
      <c r="C2" s="3359"/>
      <c r="D2" s="730" t="s">
        <v>1104</v>
      </c>
      <c r="E2" s="1501" t="s">
        <v>1105</v>
      </c>
      <c r="F2" s="2415"/>
      <c r="G2" s="2409"/>
      <c r="H2" s="2410"/>
      <c r="I2" s="2123" t="s">
        <v>1129</v>
      </c>
      <c r="J2" s="2415"/>
      <c r="K2" s="2415"/>
      <c r="L2" s="2415"/>
      <c r="M2" s="2415"/>
      <c r="N2" s="2416"/>
      <c r="O2" s="2415"/>
      <c r="P2" s="2415"/>
    </row>
    <row r="3" spans="1:16" ht="15.75" thickBot="1">
      <c r="A3" s="3360" t="s">
        <v>1102</v>
      </c>
      <c r="B3" s="3360"/>
      <c r="C3" s="3360"/>
      <c r="D3" s="41">
        <f>'数据-基础表'!AY6</f>
        <v>37658.28</v>
      </c>
      <c r="E3" s="41">
        <f>'数据-基础表'!AZ5</f>
        <v>45214.01</v>
      </c>
      <c r="F3" s="2415"/>
      <c r="G3" s="42"/>
      <c r="H3" s="43" t="s">
        <v>1103</v>
      </c>
      <c r="I3" s="784">
        <f>ROUND('数据-基础表'!B3/'数据-基础表'!A3,2)</f>
        <v>1.2</v>
      </c>
      <c r="J3" s="2415"/>
      <c r="K3" s="2415"/>
      <c r="L3" s="2415"/>
      <c r="M3" s="2415"/>
      <c r="N3" s="2416"/>
      <c r="O3" s="2415"/>
      <c r="P3" s="2415"/>
    </row>
    <row r="4" spans="1:16" ht="15">
      <c r="A4" s="3361"/>
      <c r="B4" s="3362"/>
      <c r="C4" s="3363"/>
      <c r="D4" s="1502" t="s">
        <v>1104</v>
      </c>
      <c r="E4" s="1503" t="s">
        <v>1105</v>
      </c>
      <c r="F4" s="2415"/>
      <c r="G4" s="2411" t="s">
        <v>1130</v>
      </c>
      <c r="H4" s="43" t="s">
        <v>1110</v>
      </c>
      <c r="I4" s="784">
        <f>ROUND(SUMIF('数据-基础表'!I9:AS9,"地上",'数据-基础表'!I5:AS5)/'数据-基础表'!A3,2)</f>
        <v>1.2</v>
      </c>
      <c r="J4" s="2415"/>
      <c r="K4" s="2415"/>
      <c r="L4" s="2415"/>
      <c r="M4" s="2415"/>
      <c r="N4" s="2416"/>
      <c r="O4" s="2415"/>
      <c r="P4" s="2415"/>
    </row>
    <row r="5" spans="1:16">
      <c r="A5" s="42" t="s">
        <v>1106</v>
      </c>
      <c r="B5" s="3364" t="s">
        <v>1107</v>
      </c>
      <c r="C5" s="3364"/>
      <c r="D5" s="43">
        <f>ROUND($D$3*E5/$E$3,2)</f>
        <v>0</v>
      </c>
      <c r="E5" s="44">
        <f>SUMIF('数据-基础表'!$11:$11,"住宅",'数据-基础表'!$5:$5)</f>
        <v>0</v>
      </c>
      <c r="F5" s="2415"/>
      <c r="G5" s="42"/>
      <c r="H5" s="43" t="s">
        <v>1103</v>
      </c>
      <c r="I5" s="784">
        <f>ROUND(E31/D31,2)</f>
        <v>1.2</v>
      </c>
      <c r="J5" s="2415"/>
      <c r="K5" s="2415"/>
      <c r="L5" s="2415"/>
      <c r="M5" s="2415"/>
      <c r="N5" s="2415"/>
      <c r="O5" s="2415"/>
      <c r="P5" s="2415"/>
    </row>
    <row r="6" spans="1:16" ht="15" thickBot="1">
      <c r="A6" s="1505"/>
      <c r="B6" s="3364" t="s">
        <v>1108</v>
      </c>
      <c r="C6" s="3364"/>
      <c r="D6" s="43">
        <f>ROUND($D$3*E6/$E$3,2)</f>
        <v>37658.28</v>
      </c>
      <c r="E6" s="44">
        <f>E3-E5</f>
        <v>45214.01</v>
      </c>
      <c r="F6" s="2415"/>
      <c r="G6" s="1507" t="s">
        <v>1109</v>
      </c>
      <c r="H6" s="45" t="s">
        <v>1110</v>
      </c>
      <c r="I6" s="2412">
        <f>ROUND(F31/D31,2)</f>
        <v>1.2</v>
      </c>
      <c r="J6" s="2415"/>
      <c r="K6" s="2415"/>
      <c r="L6" s="2415"/>
      <c r="M6" s="2415"/>
      <c r="N6" s="2415"/>
      <c r="O6" s="2415"/>
      <c r="P6" s="2415"/>
    </row>
    <row r="7" spans="1:16" ht="15.75" thickBot="1">
      <c r="A7" s="3356"/>
      <c r="B7" s="3357"/>
      <c r="C7" s="3358"/>
      <c r="D7" s="1502" t="s">
        <v>1104</v>
      </c>
      <c r="E7" s="1506" t="s">
        <v>1111</v>
      </c>
      <c r="F7" s="2415"/>
      <c r="G7" s="2413" t="s">
        <v>1112</v>
      </c>
      <c r="H7" s="95"/>
      <c r="I7" s="2414"/>
      <c r="J7" s="2415"/>
      <c r="K7" s="2415"/>
      <c r="L7" s="2415"/>
      <c r="M7" s="2415"/>
      <c r="N7" s="2415"/>
      <c r="O7" s="2415"/>
      <c r="P7" s="2415"/>
    </row>
    <row r="8" spans="1:16">
      <c r="A8" s="42" t="s">
        <v>1113</v>
      </c>
      <c r="B8" s="45" t="s">
        <v>1114</v>
      </c>
      <c r="C8" s="43" t="s">
        <v>1115</v>
      </c>
      <c r="D8" s="43">
        <f t="shared" ref="D8:D15" si="0">ROUND($D$3*E8/$E$3,2)</f>
        <v>37658.28</v>
      </c>
      <c r="E8" s="46">
        <f>SUMIF('数据-基础表'!BB10:BK10,"地上",'数据-基础表'!BB5:BK5)</f>
        <v>45214.01</v>
      </c>
      <c r="F8" s="2415"/>
      <c r="G8" s="2415"/>
      <c r="H8" s="2415"/>
      <c r="I8" s="2415"/>
      <c r="J8" s="2415"/>
      <c r="K8" s="2415"/>
      <c r="L8" s="2415"/>
      <c r="M8" s="2415"/>
      <c r="N8" s="2415"/>
      <c r="O8" s="2415"/>
      <c r="P8" s="2415"/>
    </row>
    <row r="9" spans="1:16">
      <c r="A9" s="1507"/>
      <c r="B9" s="1508"/>
      <c r="C9" s="43" t="s">
        <v>1116</v>
      </c>
      <c r="D9" s="43">
        <f t="shared" si="0"/>
        <v>0</v>
      </c>
      <c r="E9" s="47">
        <v>0</v>
      </c>
      <c r="F9" s="2415"/>
      <c r="G9" s="2415"/>
      <c r="H9" s="2415"/>
      <c r="I9" s="2415"/>
      <c r="J9" s="2415"/>
      <c r="K9" s="2415"/>
      <c r="L9" s="2415"/>
      <c r="M9" s="2415"/>
      <c r="N9" s="2415"/>
      <c r="O9" s="2415"/>
      <c r="P9" s="2415"/>
    </row>
    <row r="10" spans="1:16">
      <c r="A10" s="1507"/>
      <c r="B10" s="1508"/>
      <c r="C10" s="43" t="s">
        <v>1125</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1117</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1118</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1119</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1131</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1126</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1120</v>
      </c>
      <c r="D16" s="45">
        <f>SUM(D8:D15)</f>
        <v>37658.28</v>
      </c>
      <c r="E16" s="48">
        <f>SUM(E8:E15)</f>
        <v>45214.01</v>
      </c>
      <c r="F16" s="2415"/>
      <c r="G16" s="2415"/>
      <c r="H16" s="1509" t="s">
        <v>1132</v>
      </c>
      <c r="I16" s="1510"/>
      <c r="J16" s="1049"/>
      <c r="K16" s="3353" t="s">
        <v>1132</v>
      </c>
      <c r="L16" s="3354"/>
      <c r="M16" s="3354"/>
      <c r="N16" s="3354"/>
      <c r="O16" s="3354"/>
      <c r="P16" s="3355"/>
    </row>
    <row r="17" spans="1:19" ht="15">
      <c r="A17" s="1511" t="s">
        <v>1133</v>
      </c>
      <c r="B17" s="1512" t="s">
        <v>1134</v>
      </c>
      <c r="C17" s="1513" t="s">
        <v>1135</v>
      </c>
      <c r="D17" s="1514" t="s">
        <v>1123</v>
      </c>
      <c r="E17" s="1515" t="s">
        <v>1124</v>
      </c>
      <c r="F17" s="1516"/>
      <c r="G17" s="1517"/>
      <c r="H17" s="1518" t="s">
        <v>1136</v>
      </c>
      <c r="I17" s="1519" t="s">
        <v>1121</v>
      </c>
      <c r="J17" s="1049"/>
      <c r="K17" s="3350" t="s">
        <v>1137</v>
      </c>
      <c r="L17" s="3351"/>
      <c r="M17" s="3352"/>
      <c r="N17" s="3350" t="s">
        <v>1138</v>
      </c>
      <c r="O17" s="3351"/>
      <c r="P17" s="3352"/>
      <c r="R17" s="751" t="s">
        <v>1139</v>
      </c>
      <c r="S17" s="54"/>
    </row>
    <row r="18" spans="1:19" ht="15">
      <c r="A18" s="1507"/>
      <c r="B18" s="1504"/>
      <c r="C18" s="1520"/>
      <c r="D18" s="1521"/>
      <c r="E18" s="1522" t="s">
        <v>1140</v>
      </c>
      <c r="F18" s="1523" t="s">
        <v>1141</v>
      </c>
      <c r="G18" s="1524" t="s">
        <v>1142</v>
      </c>
      <c r="H18" s="959" t="s">
        <v>1143</v>
      </c>
      <c r="I18" s="1525" t="s">
        <v>1144</v>
      </c>
      <c r="J18" s="1049"/>
      <c r="K18" s="959" t="s">
        <v>1145</v>
      </c>
      <c r="L18" s="1526" t="s">
        <v>1146</v>
      </c>
      <c r="M18" s="784" t="s">
        <v>1147</v>
      </c>
      <c r="N18" s="959" t="s">
        <v>1145</v>
      </c>
      <c r="O18" s="1526" t="s">
        <v>1146</v>
      </c>
      <c r="P18" s="784" t="s">
        <v>1147</v>
      </c>
      <c r="R18" s="43" t="s">
        <v>1148</v>
      </c>
      <c r="S18" s="43" t="s">
        <v>1149</v>
      </c>
    </row>
    <row r="19" spans="1:19">
      <c r="A19" s="1527"/>
      <c r="B19" s="45" t="s">
        <v>1122</v>
      </c>
      <c r="C19" s="3088" t="s">
        <v>3950</v>
      </c>
      <c r="D19" s="43">
        <f>ROUND($D$3*E19/$E$3,2)</f>
        <v>6398.04</v>
      </c>
      <c r="E19" s="51">
        <f t="shared" ref="E19:E26" si="1">SUM(F19:G19)</f>
        <v>7681.7400000000007</v>
      </c>
      <c r="F19" s="2532">
        <f>'数据-基础表'!I13</f>
        <v>7681.7400000000007</v>
      </c>
      <c r="G19" s="1221"/>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8"/>
      <c r="O19" s="1529"/>
      <c r="P19" s="46">
        <f>N19+O19</f>
        <v>0</v>
      </c>
      <c r="R19" s="43">
        <f t="shared" ref="R19:S26" si="5">D19+H19</f>
        <v>6398.04</v>
      </c>
      <c r="S19" s="51">
        <f t="shared" si="5"/>
        <v>7681.7400000000007</v>
      </c>
    </row>
    <row r="20" spans="1:19">
      <c r="A20" s="1527"/>
      <c r="B20" s="45" t="s">
        <v>1150</v>
      </c>
      <c r="C20" s="3088" t="s">
        <v>3951</v>
      </c>
      <c r="D20" s="43">
        <f t="shared" ref="D20:D26" si="6">ROUND($D$3*E20/$E$3,2)</f>
        <v>31260.240000000002</v>
      </c>
      <c r="E20" s="51">
        <f t="shared" si="1"/>
        <v>37532.270000000004</v>
      </c>
      <c r="F20" s="2532">
        <f>'数据-基础表'!K14</f>
        <v>37532.270000000004</v>
      </c>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31260.240000000002</v>
      </c>
      <c r="S20" s="51">
        <f t="shared" si="5"/>
        <v>37532.270000000004</v>
      </c>
    </row>
    <row r="21" spans="1:19">
      <c r="A21" s="1527"/>
      <c r="B21" s="45" t="s">
        <v>1150</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1150</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1150</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1150</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1150</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1150</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1151</v>
      </c>
      <c r="D27" s="1050">
        <f>SUM(D19:D26)</f>
        <v>37658.28</v>
      </c>
      <c r="E27" s="1051">
        <f>IF(SUM(E19:E26)='数据-基础表'!BA5,SUM(E19:E26),IF(F27="地上面积有误","面积有误","地下面积有误"))</f>
        <v>45214.01</v>
      </c>
      <c r="F27" s="1050">
        <f>IF(SUM(F19:F26)=E8,SUM(F19:F26),"地上面积有误")</f>
        <v>45214.01</v>
      </c>
      <c r="G27" s="1052">
        <f>SUM(G19:G26)</f>
        <v>0</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37658.28</v>
      </c>
      <c r="S27" s="43">
        <f>IF(SUM(S19:S26)=$E$3,SUM(S19:S26),SUM(S19:S26)&amp;"误差"&amp;ROUND(SUM(S19:S26)-E3,2))</f>
        <v>45214.01</v>
      </c>
    </row>
    <row r="28" spans="1:19">
      <c r="A28" s="1527"/>
      <c r="B28" s="45" t="s">
        <v>1152</v>
      </c>
      <c r="C28" s="54" t="s">
        <v>1153</v>
      </c>
      <c r="D28" s="43">
        <f>ROUND($D$3*E28/$E$3,2)</f>
        <v>0</v>
      </c>
      <c r="E28" s="51">
        <f>SUM(F28:G28)</f>
        <v>0</v>
      </c>
      <c r="F28" s="54">
        <f>'数据-基础表'!BQ5+'数据-基础表'!BS5</f>
        <v>0</v>
      </c>
      <c r="G28" s="55">
        <f>'数据-基础表'!BR5+'数据-基础表'!BT5</f>
        <v>0</v>
      </c>
      <c r="H28" s="2415"/>
      <c r="I28" s="2415"/>
      <c r="J28" s="2415"/>
      <c r="K28" s="2415"/>
      <c r="L28" s="2415"/>
      <c r="M28" s="2415"/>
      <c r="N28" s="2415"/>
      <c r="O28" s="2415"/>
      <c r="P28" s="2415"/>
    </row>
    <row r="29" spans="1:19">
      <c r="A29" s="1527"/>
      <c r="B29" s="45" t="s">
        <v>1152</v>
      </c>
      <c r="C29" s="1533" t="s">
        <v>1154</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1151</v>
      </c>
      <c r="D30" s="1050">
        <f>SUM(D28:D29)</f>
        <v>0</v>
      </c>
      <c r="E30" s="1050">
        <f>SUM(E28:E29)</f>
        <v>0</v>
      </c>
      <c r="F30" s="1050">
        <f>SUM(F28:F29)</f>
        <v>0</v>
      </c>
      <c r="G30" s="1052">
        <f>SUM(G28:G29)</f>
        <v>0</v>
      </c>
      <c r="H30" s="2415"/>
      <c r="I30" s="2415"/>
      <c r="J30" s="2415"/>
      <c r="K30" s="2415"/>
      <c r="L30" s="2415"/>
      <c r="M30" s="2415"/>
      <c r="N30" s="2415"/>
      <c r="O30" s="2415"/>
      <c r="P30" s="2415"/>
    </row>
    <row r="31" spans="1:19" ht="15.75" thickBot="1">
      <c r="A31" s="1535"/>
      <c r="B31" s="96"/>
      <c r="C31" s="767" t="s">
        <v>1155</v>
      </c>
      <c r="D31" s="633">
        <f>D27+D30</f>
        <v>37658.28</v>
      </c>
      <c r="E31" s="633">
        <f>E27+E30</f>
        <v>45214.01</v>
      </c>
      <c r="F31" s="634">
        <f>F27+F30</f>
        <v>45214.01</v>
      </c>
      <c r="G31" s="635">
        <f>G27+G30</f>
        <v>0</v>
      </c>
      <c r="H31" s="2415"/>
      <c r="I31" s="2415"/>
      <c r="J31" s="2415"/>
      <c r="K31" s="2415"/>
      <c r="L31" s="2415"/>
      <c r="M31" s="2415"/>
      <c r="N31" s="2415"/>
      <c r="O31" s="2415"/>
      <c r="P31" s="2415"/>
    </row>
    <row r="32" spans="1:19">
      <c r="A32" s="1504"/>
      <c r="B32" s="1504" t="s">
        <v>1156</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1157</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1158</v>
      </c>
      <c r="B2" s="963">
        <f>项目基本情况!D3</f>
        <v>45952</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1159</v>
      </c>
      <c r="B4" s="1542"/>
      <c r="C4" s="1543"/>
      <c r="D4" s="1544"/>
      <c r="E4" s="1543" t="s">
        <v>1160</v>
      </c>
      <c r="F4" s="1543"/>
      <c r="G4" s="1543"/>
      <c r="H4" s="1543"/>
      <c r="I4" s="1543"/>
      <c r="J4" s="1545"/>
      <c r="K4" s="1546"/>
      <c r="L4" s="1547"/>
      <c r="M4" s="1543"/>
      <c r="N4" s="1543" t="s">
        <v>1161</v>
      </c>
      <c r="O4" s="1543"/>
      <c r="P4" s="1543"/>
      <c r="Q4" s="1543"/>
      <c r="R4" s="1543"/>
      <c r="S4" s="1545"/>
      <c r="T4" s="3249" t="str">
        <f>'数据-汇总表'!I17</f>
        <v>按面积比例</v>
      </c>
      <c r="U4" s="1542" t="s">
        <v>1162</v>
      </c>
      <c r="V4" s="1543"/>
      <c r="W4" s="1543"/>
      <c r="X4" s="1543"/>
      <c r="Y4" s="1545"/>
      <c r="Z4" s="1513" t="s">
        <v>1163</v>
      </c>
      <c r="AA4" s="1513"/>
      <c r="AB4" s="1513"/>
      <c r="AC4" s="1513"/>
      <c r="AD4" s="1513"/>
      <c r="AE4" s="1511" t="s">
        <v>1164</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1165</v>
      </c>
      <c r="B5" s="1550" t="s">
        <v>1166</v>
      </c>
      <c r="C5" s="1551" t="s">
        <v>1167</v>
      </c>
      <c r="D5" s="1552" t="s">
        <v>1168</v>
      </c>
      <c r="E5" s="497" t="s">
        <v>1169</v>
      </c>
      <c r="F5" s="1553" t="s">
        <v>1170</v>
      </c>
      <c r="G5" s="497" t="s">
        <v>1171</v>
      </c>
      <c r="H5" s="497" t="s">
        <v>1172</v>
      </c>
      <c r="I5" s="497" t="s">
        <v>1173</v>
      </c>
      <c r="J5" s="1225" t="s">
        <v>1174</v>
      </c>
      <c r="K5" s="1554" t="s">
        <v>1175</v>
      </c>
      <c r="L5" s="1555" t="s">
        <v>1176</v>
      </c>
      <c r="M5" s="1556" t="s">
        <v>1177</v>
      </c>
      <c r="N5" s="1557" t="s">
        <v>3465</v>
      </c>
      <c r="O5" s="1555" t="s">
        <v>1178</v>
      </c>
      <c r="P5" s="1558" t="s">
        <v>1179</v>
      </c>
      <c r="Q5" s="58" t="s">
        <v>1180</v>
      </c>
      <c r="R5" s="1559" t="s">
        <v>1181</v>
      </c>
      <c r="S5" s="1560" t="s">
        <v>1182</v>
      </c>
      <c r="T5" s="1561" t="s">
        <v>1183</v>
      </c>
      <c r="U5" s="964" t="s">
        <v>1184</v>
      </c>
      <c r="V5" s="497" t="s">
        <v>1185</v>
      </c>
      <c r="W5" s="497" t="s">
        <v>1186</v>
      </c>
      <c r="X5" s="60"/>
      <c r="Y5" s="59" t="s">
        <v>1187</v>
      </c>
      <c r="Z5" s="1079" t="s">
        <v>1184</v>
      </c>
      <c r="AA5" s="497" t="s">
        <v>1185</v>
      </c>
      <c r="AB5" s="497" t="s">
        <v>1186</v>
      </c>
      <c r="AC5" s="60"/>
      <c r="AD5" s="60" t="s">
        <v>1187</v>
      </c>
      <c r="AE5" s="964" t="s">
        <v>1188</v>
      </c>
      <c r="AF5" s="497" t="s">
        <v>1189</v>
      </c>
      <c r="AG5" s="59" t="s">
        <v>1190</v>
      </c>
      <c r="AH5" s="964" t="s">
        <v>1191</v>
      </c>
      <c r="AI5" s="1079" t="s">
        <v>1192</v>
      </c>
      <c r="AJ5" s="1079" t="s">
        <v>1193</v>
      </c>
      <c r="AK5" s="497" t="s">
        <v>1194</v>
      </c>
      <c r="AL5" s="497" t="s">
        <v>1195</v>
      </c>
      <c r="AM5" s="59" t="s">
        <v>1196</v>
      </c>
      <c r="AN5" s="1562" t="s">
        <v>1197</v>
      </c>
      <c r="AO5" s="1432" t="s">
        <v>1198</v>
      </c>
      <c r="AP5" s="948" t="s">
        <v>1199</v>
      </c>
      <c r="AQ5" s="1563" t="s">
        <v>1200</v>
      </c>
      <c r="AR5" s="1563" t="s">
        <v>1201</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250" t="str">
        <f>'数据-汇总表'!C19</f>
        <v>商业</v>
      </c>
      <c r="B6" s="1564" t="str">
        <f>IF(A6=0,"","经营性")</f>
        <v>经营性</v>
      </c>
      <c r="C6" s="1565" t="s">
        <v>670</v>
      </c>
      <c r="D6" s="3251">
        <f>SUMIF(项目基本情况!C$12:I$12,C6,项目基本情况!C$14:I$14)</f>
        <v>40</v>
      </c>
      <c r="E6" s="3252">
        <f>IF(B6="","",SUMIF(项目基本情况!C$12:I$12,C6,项目基本情况!C$13:I$13))</f>
        <v>58313</v>
      </c>
      <c r="F6" s="61">
        <f>SUMIF(项目基本情况!C$12:I$12,C6,项目基本情况!C$15:I$15)</f>
        <v>33.86</v>
      </c>
      <c r="G6" s="62">
        <f>IF(ISERROR(ROUND(POWER(1+H6,D6-F6)*(POWER(1+H6,F6)-1)/(POWER(1+H6,D6)-1),3)),0,ROUND(POWER(1+H6,D6-F6)*(POWER(1+H6,F6)-1)/(POWER(1+H6,D6)-1),3))</f>
        <v>0.94799999999999995</v>
      </c>
      <c r="H6" s="3253">
        <v>5.5E-2</v>
      </c>
      <c r="I6" s="3253">
        <v>0.06</v>
      </c>
      <c r="J6" s="63">
        <v>7.0000000000000007E-2</v>
      </c>
      <c r="K6" s="66">
        <f>SUMIF('数据-汇总表'!C$19:C$33,A6,'数据-汇总表'!E$19:E$33)</f>
        <v>7681.7400000000007</v>
      </c>
      <c r="L6" s="79">
        <v>4500</v>
      </c>
      <c r="M6" s="64">
        <f t="shared" ref="M6:M14" si="0">ROUND(K6*L6/10000,0)</f>
        <v>3457</v>
      </c>
      <c r="N6" s="80">
        <f>'739地块'!M2</f>
        <v>0.93</v>
      </c>
      <c r="O6" s="64" t="str">
        <f>IF($N$5="成新度","——",ROUND(M6*N6,0))</f>
        <v>——</v>
      </c>
      <c r="P6" s="65" t="str">
        <f>IF($N$5="成新度","——",M6-O6)</f>
        <v>——</v>
      </c>
      <c r="Q6" s="78">
        <v>0.2</v>
      </c>
      <c r="R6" s="66">
        <f ca="1">SUMIF('数据-汇总表'!C$19:C$33,A6,'数据-汇总表'!R$19:R$27)</f>
        <v>6398.04</v>
      </c>
      <c r="S6" s="49">
        <f>IF('数据-汇总表'!$I$17="按面积比例",SUMIF('数据-汇总表'!C$19:C$33,A6,'数据-汇总表'!K$19:K$33),SUMIF('数据-汇总表'!C$19:C$33,A6,'数据-汇总表'!N$19:N$33))</f>
        <v>0</v>
      </c>
      <c r="T6" s="1070">
        <f>ROUND($L$14*S6/10000,0)</f>
        <v>0</v>
      </c>
      <c r="U6" s="3099">
        <v>5.5</v>
      </c>
      <c r="V6" s="67">
        <v>0.02</v>
      </c>
      <c r="W6" s="67">
        <v>0.1</v>
      </c>
      <c r="X6" s="958"/>
      <c r="Y6" s="68">
        <f>N6</f>
        <v>0.93</v>
      </c>
      <c r="Z6" s="69"/>
      <c r="AA6" s="63"/>
      <c r="AB6" s="63"/>
      <c r="AC6" s="958"/>
      <c r="AD6" s="70"/>
      <c r="AE6" s="959">
        <f ca="1">IF(AN6="",0,SUMIF(INDIRECT("'"&amp;AN6&amp;"'"&amp;"!E:E"),$AE$5,INDIRECT("'"&amp;AN6&amp;"'"&amp;"!F:F")))</f>
        <v>33.86</v>
      </c>
      <c r="AF6" s="74"/>
      <c r="AG6" s="124">
        <f>IF(AF6="",0,AE6-AF6)</f>
        <v>0</v>
      </c>
      <c r="AH6" s="71"/>
      <c r="AI6" s="73">
        <v>365</v>
      </c>
      <c r="AJ6" s="74"/>
      <c r="AK6" s="75">
        <v>2E-3</v>
      </c>
      <c r="AL6" s="76">
        <v>1E-3</v>
      </c>
      <c r="AM6" s="77">
        <v>0.01</v>
      </c>
      <c r="AN6" s="1566" t="s">
        <v>3969</v>
      </c>
      <c r="AO6" s="50">
        <f ca="1">SUMIF(INDIRECT("'"&amp;AN6&amp;"'"&amp;"!A:A"),"总价",INDIRECT("'"&amp;AN6&amp;"'"&amp;"!B:B"))</f>
        <v>20678</v>
      </c>
      <c r="AP6" s="1567">
        <f>IF(C6="住宅",K6*L6,0)</f>
        <v>0</v>
      </c>
      <c r="AQ6" s="50">
        <f>ROUND($L$14*$N$14*S6/10000,0)</f>
        <v>0</v>
      </c>
      <c r="AR6" s="50">
        <f>ROUND($L$14*(1-$N$14)*S6/10000,0)</f>
        <v>0</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250" t="str">
        <f>'数据-汇总表'!C20</f>
        <v>办公</v>
      </c>
      <c r="B7" s="1564" t="str">
        <f t="shared" ref="B7:B13" si="1">IF(A7=0,"","经营性")</f>
        <v>经营性</v>
      </c>
      <c r="C7" s="1565" t="s">
        <v>21</v>
      </c>
      <c r="D7" s="3251">
        <f>SUMIF(项目基本情况!C$12:I$12,C7,项目基本情况!C$14:I$14)</f>
        <v>50</v>
      </c>
      <c r="E7" s="3252">
        <f>IF(B7="","",SUMIF(项目基本情况!C$12:I$12,C7,项目基本情况!C$13:I$13))</f>
        <v>61966</v>
      </c>
      <c r="F7" s="61">
        <f>SUMIF(项目基本情况!C$12:I$12,C7,项目基本情况!C$15:I$15)</f>
        <v>43.87</v>
      </c>
      <c r="G7" s="62">
        <f t="shared" ref="G7:G11" si="2">IF(ISERROR(ROUND(POWER(1+H7,D7-F7)*(POWER(1+H7,F7)-1)/(POWER(1+H7,D7)-1),3)),0,ROUND(POWER(1+H7,D7-F7)*(POWER(1+H7,F7)-1)/(POWER(1+H7,D7)-1),3))</f>
        <v>0.96699999999999997</v>
      </c>
      <c r="H7" s="3253">
        <v>0.05</v>
      </c>
      <c r="I7" s="3253">
        <v>5.5E-2</v>
      </c>
      <c r="J7" s="63">
        <v>7.0000000000000007E-2</v>
      </c>
      <c r="K7" s="66">
        <f>SUMIF('数据-汇总表'!C$19:C$33,A7,'数据-汇总表'!E$19:E$33)</f>
        <v>37532.270000000004</v>
      </c>
      <c r="L7" s="79">
        <v>4500</v>
      </c>
      <c r="M7" s="64">
        <f t="shared" si="0"/>
        <v>16890</v>
      </c>
      <c r="N7" s="80">
        <f>N6</f>
        <v>0.93</v>
      </c>
      <c r="O7" s="64" t="str">
        <f t="shared" ref="O7:O14" si="3">IF($N$5="成新度","——",ROUND(M7*N7,0))</f>
        <v>——</v>
      </c>
      <c r="P7" s="65" t="str">
        <f t="shared" ref="P7:P14" si="4">IF($N$5="成新度","——",M7-O7)</f>
        <v>——</v>
      </c>
      <c r="Q7" s="78">
        <v>0.15</v>
      </c>
      <c r="R7" s="66">
        <f ca="1">SUMIF('数据-汇总表'!C$19:C$33,A7,'数据-汇总表'!R$19:R$27)</f>
        <v>31260.240000000002</v>
      </c>
      <c r="S7" s="49">
        <f>IF('数据-汇总表'!$I$17="按面积比例",SUMIF('数据-汇总表'!C$19:C$33,A7,'数据-汇总表'!K$19:K$33),SUMIF('数据-汇总表'!C$19:C$33,A7,'数据-汇总表'!N$19:N$33))</f>
        <v>0</v>
      </c>
      <c r="T7" s="1070">
        <f t="shared" ref="T7:T13" si="5">ROUND($L$14*S7/10000,0)</f>
        <v>0</v>
      </c>
      <c r="U7" s="3099">
        <v>4.2</v>
      </c>
      <c r="V7" s="67">
        <v>0.02</v>
      </c>
      <c r="W7" s="67">
        <v>0.1</v>
      </c>
      <c r="X7" s="958"/>
      <c r="Y7" s="68">
        <f>N7</f>
        <v>0.93</v>
      </c>
      <c r="Z7" s="69"/>
      <c r="AA7" s="63"/>
      <c r="AB7" s="63"/>
      <c r="AC7" s="958"/>
      <c r="AD7" s="70"/>
      <c r="AE7" s="959">
        <f t="shared" ref="AE7:AE13" ca="1" si="6">IF(AN7="",0,SUMIF(INDIRECT("'"&amp;AN7&amp;"'"&amp;"!E:E"),$AE$5,INDIRECT("'"&amp;AN7&amp;"'"&amp;"!F:F")))</f>
        <v>43.87</v>
      </c>
      <c r="AF7" s="74"/>
      <c r="AG7" s="124">
        <f t="shared" ref="AG7:AG13" si="7">IF(AF7="",0,AE7-AF7)</f>
        <v>0</v>
      </c>
      <c r="AH7" s="71"/>
      <c r="AI7" s="73">
        <v>365</v>
      </c>
      <c r="AJ7" s="74"/>
      <c r="AK7" s="75">
        <v>2E-3</v>
      </c>
      <c r="AL7" s="76">
        <v>1E-3</v>
      </c>
      <c r="AM7" s="77">
        <v>0.01</v>
      </c>
      <c r="AN7" s="1566" t="s">
        <v>3971</v>
      </c>
      <c r="AO7" s="50">
        <f t="shared" ref="AO7:AO13" ca="1" si="8">SUMIF(INDIRECT("'"&amp;AN7&amp;"'"&amp;"!A:A"),"总价",INDIRECT("'"&amp;AN7&amp;"'"&amp;"!B:B"))</f>
        <v>92723</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c r="A8" s="3250">
        <f>'数据-汇总表'!C21</f>
        <v>0</v>
      </c>
      <c r="B8" s="1564" t="str">
        <f t="shared" si="1"/>
        <v/>
      </c>
      <c r="C8" s="1565"/>
      <c r="D8" s="3251">
        <f>SUMIF(项目基本情况!C$12:I$12,C8,项目基本情况!C$14:I$14)</f>
        <v>0</v>
      </c>
      <c r="E8" s="3252" t="str">
        <f>IF(B8="","",SUMIF(项目基本情况!C$12:I$12,C8,项目基本情况!C$13:I$13))</f>
        <v/>
      </c>
      <c r="F8" s="61">
        <f>SUMIF(项目基本情况!C$12:I$12,C8,项目基本情况!C$15:I$15)</f>
        <v>0</v>
      </c>
      <c r="G8" s="62">
        <f t="shared" si="2"/>
        <v>0</v>
      </c>
      <c r="H8" s="3253"/>
      <c r="I8" s="3253"/>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c r="A9" s="3250">
        <f>'数据-汇总表'!C22</f>
        <v>0</v>
      </c>
      <c r="B9" s="1564" t="str">
        <f t="shared" si="1"/>
        <v/>
      </c>
      <c r="C9" s="1565"/>
      <c r="D9" s="3251">
        <f>SUMIF(项目基本情况!C$12:I$12,C9,项目基本情况!C$14:I$14)</f>
        <v>0</v>
      </c>
      <c r="E9" s="3252" t="str">
        <f>IF(B9="","",SUMIF(项目基本情况!C$12:I$12,C9,项目基本情况!C$13:I$13))</f>
        <v/>
      </c>
      <c r="F9" s="61">
        <f>SUMIF(项目基本情况!C$12:I$12,C9,项目基本情况!C$15:I$15)</f>
        <v>0</v>
      </c>
      <c r="G9" s="62">
        <f t="shared" si="2"/>
        <v>0</v>
      </c>
      <c r="H9" s="3253"/>
      <c r="I9" s="325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250">
        <f>'数据-汇总表'!C23</f>
        <v>0</v>
      </c>
      <c r="B10" s="1564" t="str">
        <f t="shared" si="1"/>
        <v/>
      </c>
      <c r="C10" s="1565"/>
      <c r="D10" s="3251">
        <f>SUMIF(项目基本情况!C$12:I$12,C10,项目基本情况!C$14:I$14)</f>
        <v>0</v>
      </c>
      <c r="E10" s="3252"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250">
        <f>'数据-汇总表'!C24</f>
        <v>0</v>
      </c>
      <c r="B11" s="1564" t="str">
        <f t="shared" si="1"/>
        <v/>
      </c>
      <c r="C11" s="1565"/>
      <c r="D11" s="3251">
        <f>SUMIF(项目基本情况!C$12:I$12,C11,项目基本情况!C$14:I$14)</f>
        <v>0</v>
      </c>
      <c r="E11" s="3252"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250">
        <f>'数据-汇总表'!C25</f>
        <v>0</v>
      </c>
      <c r="B12" s="1564" t="str">
        <f t="shared" si="1"/>
        <v/>
      </c>
      <c r="C12" s="1565"/>
      <c r="D12" s="3251">
        <f>SUMIF(项目基本情况!C$12:I$12,C12,项目基本情况!C$14:I$14)</f>
        <v>0</v>
      </c>
      <c r="E12" s="325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250">
        <f>'数据-汇总表'!C26</f>
        <v>0</v>
      </c>
      <c r="B13" s="1564" t="str">
        <f t="shared" si="1"/>
        <v/>
      </c>
      <c r="C13" s="1565"/>
      <c r="D13" s="3251">
        <f>SUMIF(项目基本情况!C$12:I$12,C13,项目基本情况!C$14:I$14)</f>
        <v>0</v>
      </c>
      <c r="E13" s="325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1202</v>
      </c>
      <c r="B14" s="1564" t="s">
        <v>1203</v>
      </c>
      <c r="C14" s="1569" t="s">
        <v>1202</v>
      </c>
      <c r="D14" s="3251"/>
      <c r="E14" s="3252"/>
      <c r="F14" s="61"/>
      <c r="G14" s="62"/>
      <c r="H14" s="949"/>
      <c r="I14" s="949"/>
      <c r="J14" s="949"/>
      <c r="K14" s="66">
        <f>SUMIF('数据-汇总表'!C$19:C$33,A14,'数据-汇总表'!E$19:E$33)</f>
        <v>0</v>
      </c>
      <c r="L14" s="79"/>
      <c r="M14" s="64">
        <f t="shared" si="0"/>
        <v>0</v>
      </c>
      <c r="N14" s="80"/>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1204</v>
      </c>
      <c r="B15" s="1564" t="s">
        <v>1203</v>
      </c>
      <c r="C15" s="1569" t="s">
        <v>1205</v>
      </c>
      <c r="D15" s="3251"/>
      <c r="E15" s="3252"/>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1206</v>
      </c>
      <c r="B16" s="82"/>
      <c r="C16" s="765"/>
      <c r="D16" s="1571"/>
      <c r="E16" s="82"/>
      <c r="F16" s="82"/>
      <c r="G16" s="83">
        <f>ROUND(SUMPRODUCT(G6:G13,K6:K13)/SUMPRODUCT((G6:G13&gt;0)*(K6:K13)),3)</f>
        <v>0.96399999999999997</v>
      </c>
      <c r="H16" s="84">
        <f>ROUND(SUMPRODUCT(H6:H13,K6:K13)/SUMPRODUCT((H6:H13&gt;0)*(K6:K13)),3)</f>
        <v>5.0999999999999997E-2</v>
      </c>
      <c r="I16" s="85"/>
      <c r="J16" s="85"/>
      <c r="K16" s="86">
        <f>SUM(K6:K15)</f>
        <v>45214.01</v>
      </c>
      <c r="L16" s="87">
        <f>ROUND(M16*10000/SUM(K6:K14),0)</f>
        <v>4500</v>
      </c>
      <c r="M16" s="87">
        <f>SUM(M6:M14)</f>
        <v>20347</v>
      </c>
      <c r="N16" s="88">
        <f>ROUND(SUMPRODUCT(M6:M14,N6:N14)/M16,3)</f>
        <v>0.93</v>
      </c>
      <c r="O16" s="87">
        <f>SUM(O6:O14)</f>
        <v>0</v>
      </c>
      <c r="P16" s="87">
        <f>SUM(P6:P14)</f>
        <v>0</v>
      </c>
      <c r="Q16" s="89">
        <f>ROUND(SUMPRODUCT(Q6:Q13,K6:K13)/SUMPRODUCT((Q6:Q13&gt;0)*(K6:K13)),2)</f>
        <v>0.16</v>
      </c>
      <c r="R16" s="953">
        <f ca="1">SUM(R6:R13)</f>
        <v>37658.28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1207</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1208</v>
      </c>
      <c r="B19" s="97">
        <v>0</v>
      </c>
      <c r="C19" s="2535" t="s">
        <v>2286</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1209</v>
      </c>
      <c r="B20" s="98">
        <v>2</v>
      </c>
      <c r="C20" s="2536" t="s">
        <v>2284</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1210</v>
      </c>
      <c r="B21" s="98">
        <v>2</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1211</v>
      </c>
      <c r="B22" s="99">
        <f>B19+B20</f>
        <v>2</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1212</v>
      </c>
      <c r="B23" s="99">
        <f>B19+B21</f>
        <v>2</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1213</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1214</v>
      </c>
      <c r="B26" s="1577" t="s">
        <v>1215</v>
      </c>
      <c r="C26" s="2429" t="s">
        <v>1216</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1217</v>
      </c>
      <c r="B27" s="3254">
        <v>160</v>
      </c>
      <c r="C27" s="2537" t="s">
        <v>2288</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1218</v>
      </c>
      <c r="B28" s="3255">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1219</v>
      </c>
      <c r="B29" s="3256"/>
      <c r="C29" s="2538" t="s">
        <v>2280</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1220</v>
      </c>
      <c r="B30" s="3257">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1221</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1222</v>
      </c>
      <c r="B32" s="3258">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1223</v>
      </c>
      <c r="B33" s="3259">
        <v>0.05</v>
      </c>
      <c r="C33" s="2536" t="s">
        <v>3998</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1224</v>
      </c>
      <c r="B34" s="77">
        <v>0</v>
      </c>
      <c r="C34" s="2536" t="s">
        <v>3999</v>
      </c>
      <c r="D34" s="2434" t="s">
        <v>2285</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1225</v>
      </c>
      <c r="B35" s="3255">
        <v>200</v>
      </c>
      <c r="C35" s="2536" t="s">
        <v>4000</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1226</v>
      </c>
      <c r="B36" s="3260">
        <v>0.02</v>
      </c>
      <c r="C36" s="2536" t="s">
        <v>4001</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1227</v>
      </c>
      <c r="B37" s="3261">
        <v>0.02</v>
      </c>
      <c r="C37" s="2536" t="s">
        <v>4002</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1228</v>
      </c>
      <c r="B38" s="77">
        <v>0.02</v>
      </c>
      <c r="C38" s="2536" t="s">
        <v>4003</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1229</v>
      </c>
      <c r="B39" s="3262">
        <f ca="1">存贷款利率!I1</f>
        <v>1.4999999999999999E-2</v>
      </c>
      <c r="C39" s="3263"/>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2294</v>
      </c>
      <c r="B40" s="3264">
        <f ca="1">IF(A40="利息：取LPR",存贷款利率!G1,存贷款利率!G1+C40)</f>
        <v>3.1300000000000001E-2</v>
      </c>
      <c r="C40" s="3265"/>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1230</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1231</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1232</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1233</v>
      </c>
      <c r="B44" s="106">
        <v>7.0000000000000007E-2</v>
      </c>
      <c r="C44" s="2536" t="s">
        <v>4004</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1234</v>
      </c>
      <c r="B45" s="104">
        <v>0.03</v>
      </c>
      <c r="C45" s="2538" t="s">
        <v>2281</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1235</v>
      </c>
      <c r="B46" s="104">
        <v>0.02</v>
      </c>
      <c r="C46" s="2538" t="s">
        <v>2282</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1236</v>
      </c>
      <c r="B47" s="107">
        <v>0</v>
      </c>
      <c r="C47" s="2540" t="s">
        <v>2289</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1237</v>
      </c>
      <c r="B48" s="108">
        <v>0.03</v>
      </c>
      <c r="C48" s="2538" t="s">
        <v>2281</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1238</v>
      </c>
      <c r="B49" s="104">
        <v>5.0000000000000001E-4</v>
      </c>
      <c r="C49" s="2538" t="s">
        <v>2283</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1239</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1240</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1241</v>
      </c>
      <c r="B52" s="111">
        <f>SUMIF(A54:A63,B53,B54:B63)</f>
        <v>3</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1242</v>
      </c>
      <c r="B53" s="1588" t="s">
        <v>303</v>
      </c>
      <c r="C53" s="2416" t="s">
        <v>1243</v>
      </c>
      <c r="D53" s="2539" t="s">
        <v>2287</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1244</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1245</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1246</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1247</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1248</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1249</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1250</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1251</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1252</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1253</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365" t="s">
        <v>2272</v>
      </c>
      <c r="B1" s="3366"/>
      <c r="C1" s="3366"/>
      <c r="D1" s="3366"/>
      <c r="E1" s="3366"/>
      <c r="F1" s="3366"/>
      <c r="G1" s="3366"/>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2269</v>
      </c>
      <c r="D2" s="1572"/>
      <c r="E2" s="2237"/>
      <c r="F2" s="2240"/>
      <c r="G2" s="2239" t="s">
        <v>2270</v>
      </c>
      <c r="H2" s="733"/>
      <c r="I2" s="733"/>
      <c r="J2" s="733"/>
      <c r="K2" s="733"/>
      <c r="L2" s="733"/>
      <c r="M2" s="733"/>
      <c r="N2" s="733"/>
      <c r="O2" s="733"/>
      <c r="P2" s="733"/>
      <c r="Q2" s="733"/>
    </row>
    <row r="3" spans="1:29" ht="24">
      <c r="A3" s="2224" t="s">
        <v>2271</v>
      </c>
      <c r="B3" s="2241" t="s">
        <v>2247</v>
      </c>
      <c r="C3" s="2242"/>
      <c r="D3" s="2243"/>
      <c r="E3" s="2225" t="s">
        <v>2271</v>
      </c>
      <c r="F3" s="2244" t="s">
        <v>2248</v>
      </c>
      <c r="G3" s="2245"/>
      <c r="H3" s="733"/>
      <c r="I3" s="733"/>
      <c r="J3" s="733"/>
      <c r="K3" s="733"/>
      <c r="L3" s="733"/>
      <c r="M3" s="733"/>
      <c r="N3" s="733"/>
      <c r="O3" s="733"/>
      <c r="P3" s="733"/>
      <c r="Q3" s="733"/>
    </row>
    <row r="4" spans="1:29">
      <c r="A4" s="2225"/>
      <c r="B4" s="308" t="s">
        <v>2249</v>
      </c>
      <c r="C4" s="2246"/>
      <c r="D4" s="2243"/>
      <c r="E4" s="2247"/>
      <c r="F4" s="1259" t="s">
        <v>2250</v>
      </c>
      <c r="G4" s="2248"/>
      <c r="H4" s="733"/>
      <c r="I4" s="733"/>
      <c r="J4" s="733"/>
      <c r="K4" s="733"/>
      <c r="L4" s="733"/>
      <c r="M4" s="733"/>
      <c r="N4" s="733"/>
      <c r="O4" s="733"/>
      <c r="P4" s="733"/>
      <c r="Q4" s="733"/>
    </row>
    <row r="5" spans="1:29">
      <c r="A5" s="2225"/>
      <c r="B5" s="308" t="s">
        <v>2251</v>
      </c>
      <c r="C5" s="2246"/>
      <c r="D5" s="2243"/>
      <c r="E5" s="2247"/>
      <c r="F5" s="308" t="s">
        <v>2252</v>
      </c>
      <c r="G5" s="2248"/>
      <c r="H5" s="733"/>
      <c r="I5" s="733"/>
      <c r="J5" s="733"/>
      <c r="K5" s="733"/>
      <c r="L5" s="733"/>
      <c r="M5" s="733"/>
      <c r="N5" s="733"/>
      <c r="O5" s="733"/>
      <c r="P5" s="733"/>
      <c r="Q5" s="733"/>
    </row>
    <row r="6" spans="1:29">
      <c r="A6" s="2225"/>
      <c r="B6" s="308" t="s">
        <v>2253</v>
      </c>
      <c r="C6" s="2248"/>
      <c r="D6" s="2243"/>
      <c r="E6" s="2247"/>
      <c r="F6" s="308" t="s">
        <v>2254</v>
      </c>
      <c r="G6" s="2248"/>
      <c r="H6" s="733"/>
      <c r="I6" s="733"/>
      <c r="J6" s="733"/>
      <c r="K6" s="733"/>
      <c r="L6" s="733"/>
      <c r="M6" s="733"/>
      <c r="N6" s="733"/>
      <c r="O6" s="733"/>
      <c r="P6" s="733"/>
      <c r="Q6" s="733"/>
    </row>
    <row r="7" spans="1:29" ht="15" thickBot="1">
      <c r="A7" s="2225"/>
      <c r="B7" s="308" t="s">
        <v>2252</v>
      </c>
      <c r="C7" s="2248"/>
      <c r="D7" s="2222"/>
      <c r="E7" s="2249"/>
      <c r="F7" s="2250" t="s">
        <v>2255</v>
      </c>
      <c r="G7" s="2251"/>
      <c r="H7" s="733"/>
      <c r="I7" s="733"/>
      <c r="J7" s="733"/>
      <c r="K7" s="733"/>
      <c r="L7" s="733"/>
      <c r="M7" s="733"/>
      <c r="N7" s="733"/>
      <c r="O7" s="733"/>
      <c r="P7" s="733"/>
      <c r="Q7" s="733"/>
    </row>
    <row r="8" spans="1:29">
      <c r="A8" s="2225"/>
      <c r="B8" s="308" t="s">
        <v>2254</v>
      </c>
      <c r="C8" s="2248"/>
      <c r="D8" s="2222"/>
      <c r="E8" s="2222"/>
      <c r="F8" s="115"/>
      <c r="G8" s="115"/>
      <c r="H8" s="733"/>
      <c r="I8" s="733"/>
      <c r="J8" s="733"/>
      <c r="K8" s="733"/>
      <c r="L8" s="733"/>
      <c r="M8" s="733"/>
      <c r="N8" s="733"/>
      <c r="O8" s="733"/>
      <c r="P8" s="733"/>
      <c r="Q8" s="733"/>
    </row>
    <row r="9" spans="1:29">
      <c r="A9" s="2225"/>
      <c r="B9" s="308" t="s">
        <v>2256</v>
      </c>
      <c r="C9" s="2246"/>
      <c r="D9" s="2243"/>
      <c r="E9" s="2222"/>
      <c r="F9" s="115"/>
      <c r="G9" s="115"/>
      <c r="H9" s="733"/>
      <c r="I9" s="733"/>
      <c r="J9" s="733"/>
      <c r="K9" s="733"/>
      <c r="L9" s="733"/>
      <c r="M9" s="733"/>
      <c r="N9" s="733"/>
      <c r="O9" s="733"/>
      <c r="P9" s="733"/>
      <c r="Q9" s="733"/>
    </row>
    <row r="10" spans="1:29" ht="15" thickBot="1">
      <c r="A10" s="2226"/>
      <c r="B10" s="2252" t="s">
        <v>2257</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2273</v>
      </c>
      <c r="B13" s="2257"/>
      <c r="C13" s="2257"/>
      <c r="D13" s="2256"/>
      <c r="E13" s="2257"/>
      <c r="F13" s="2257"/>
      <c r="G13" s="2257"/>
    </row>
    <row r="14" spans="1:29" ht="15" thickBot="1">
      <c r="A14" s="2262"/>
      <c r="B14" s="2262"/>
      <c r="C14" s="2263" t="s">
        <v>2258</v>
      </c>
      <c r="D14" s="2243"/>
      <c r="E14" s="2264"/>
      <c r="F14" s="2264"/>
      <c r="G14" s="2239" t="s">
        <v>2259</v>
      </c>
    </row>
    <row r="15" spans="1:29" ht="24">
      <c r="A15" s="2227" t="s">
        <v>2260</v>
      </c>
      <c r="B15" s="2265" t="s">
        <v>2247</v>
      </c>
      <c r="C15" s="2266">
        <f>C3</f>
        <v>0</v>
      </c>
      <c r="D15" s="2243"/>
      <c r="E15" s="2228" t="s">
        <v>2261</v>
      </c>
      <c r="F15" s="2265" t="s">
        <v>2262</v>
      </c>
      <c r="G15" s="2267">
        <f>G3</f>
        <v>0</v>
      </c>
    </row>
    <row r="16" spans="1:29">
      <c r="A16" s="2229"/>
      <c r="B16" s="2268" t="s">
        <v>2249</v>
      </c>
      <c r="C16" s="2269">
        <f>C4</f>
        <v>0</v>
      </c>
      <c r="D16" s="2243"/>
      <c r="E16" s="2230"/>
      <c r="F16" s="2270" t="s">
        <v>2250</v>
      </c>
      <c r="G16" s="2271">
        <f>G4</f>
        <v>0</v>
      </c>
    </row>
    <row r="17" spans="1:17">
      <c r="A17" s="2229"/>
      <c r="B17" s="2268" t="s">
        <v>2251</v>
      </c>
      <c r="C17" s="2269">
        <f>C5</f>
        <v>0</v>
      </c>
      <c r="D17" s="2222"/>
      <c r="E17" s="2230"/>
      <c r="F17" s="2270" t="s">
        <v>2263</v>
      </c>
      <c r="G17" s="2272"/>
    </row>
    <row r="18" spans="1:17">
      <c r="A18" s="2229"/>
      <c r="B18" s="2270" t="s">
        <v>2253</v>
      </c>
      <c r="C18" s="2271">
        <f>C6</f>
        <v>0</v>
      </c>
      <c r="D18" s="2222"/>
      <c r="E18" s="2230"/>
      <c r="F18" s="2270" t="s">
        <v>2255</v>
      </c>
      <c r="G18" s="2271">
        <f>G7</f>
        <v>0</v>
      </c>
    </row>
    <row r="19" spans="1:17">
      <c r="A19" s="2229"/>
      <c r="B19" s="2270" t="s">
        <v>2264</v>
      </c>
      <c r="C19" s="2272"/>
      <c r="D19" s="2243"/>
      <c r="E19" s="2230"/>
      <c r="F19" s="308" t="s">
        <v>2252</v>
      </c>
      <c r="G19" s="2271">
        <f>G5</f>
        <v>0</v>
      </c>
    </row>
    <row r="20" spans="1:17">
      <c r="A20" s="2229"/>
      <c r="B20" s="2270" t="s">
        <v>2265</v>
      </c>
      <c r="C20" s="2269">
        <f>C9</f>
        <v>0</v>
      </c>
      <c r="D20" s="2222"/>
      <c r="E20" s="2230"/>
      <c r="F20" s="308" t="s">
        <v>2254</v>
      </c>
      <c r="G20" s="2271">
        <f>G6</f>
        <v>0</v>
      </c>
    </row>
    <row r="21" spans="1:17">
      <c r="A21" s="2229"/>
      <c r="B21" s="308" t="s">
        <v>2252</v>
      </c>
      <c r="C21" s="2271">
        <f>C7</f>
        <v>0</v>
      </c>
      <c r="D21" s="2243"/>
      <c r="E21" s="2230"/>
      <c r="F21" s="2270" t="s">
        <v>2266</v>
      </c>
      <c r="G21" s="2273"/>
    </row>
    <row r="22" spans="1:17" ht="13.5" customHeight="1">
      <c r="A22" s="2229"/>
      <c r="B22" s="308" t="s">
        <v>2254</v>
      </c>
      <c r="C22" s="2271">
        <f>C8</f>
        <v>0</v>
      </c>
      <c r="D22" s="2243"/>
      <c r="E22" s="2230"/>
      <c r="F22" s="2270" t="s">
        <v>2257</v>
      </c>
      <c r="G22" s="2272"/>
    </row>
    <row r="23" spans="1:17" s="733" customFormat="1" ht="15" thickBot="1">
      <c r="A23" s="2229"/>
      <c r="B23" s="2270" t="s">
        <v>2266</v>
      </c>
      <c r="C23" s="2273"/>
      <c r="D23" s="1591"/>
      <c r="E23" s="2231"/>
      <c r="F23" s="2274" t="s">
        <v>2267</v>
      </c>
      <c r="G23" s="2275"/>
      <c r="H23" s="2254"/>
      <c r="I23" s="2254"/>
      <c r="J23" s="2254"/>
      <c r="K23" s="2254"/>
      <c r="L23" s="2254"/>
      <c r="M23" s="2254"/>
      <c r="N23" s="2254"/>
      <c r="O23" s="2254"/>
      <c r="P23" s="2254"/>
      <c r="Q23" s="2254"/>
    </row>
    <row r="24" spans="1:17" s="733" customFormat="1" ht="15" thickBot="1">
      <c r="A24" s="2232"/>
      <c r="B24" s="2274" t="s">
        <v>2268</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32.62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2079</v>
      </c>
      <c r="C1" s="3581" t="s">
        <v>2080</v>
      </c>
      <c r="D1" s="3582"/>
      <c r="E1" s="3582"/>
      <c r="F1" s="3582"/>
      <c r="G1" s="3582"/>
      <c r="H1" s="3582"/>
      <c r="I1" s="3582"/>
      <c r="J1" s="3582"/>
      <c r="K1" s="3582"/>
      <c r="L1" s="3582"/>
      <c r="M1" s="3582"/>
      <c r="N1" s="3582"/>
      <c r="O1" s="3582"/>
      <c r="P1" s="3582"/>
      <c r="Q1" s="3582"/>
      <c r="R1" s="3582"/>
      <c r="S1" s="3583"/>
      <c r="T1" s="909" t="s">
        <v>2081</v>
      </c>
    </row>
    <row r="2" spans="1:45" s="618" customFormat="1">
      <c r="A2" s="910"/>
      <c r="B2" s="615" t="s">
        <v>2082</v>
      </c>
      <c r="C2" s="14" t="str">
        <f t="shared" ref="C2:L2" si="0">C3&amp;"(含)"&amp;"-"&amp;D3</f>
        <v>0(含)-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v>0</v>
      </c>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v>100</v>
      </c>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2083</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2084</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2085</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2086</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2087</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2088</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2089</v>
      </c>
      <c r="B17" s="1964" t="s">
        <v>2090</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2091</v>
      </c>
      <c r="E19" s="1231"/>
      <c r="F19" s="1231"/>
      <c r="G19" s="1231"/>
      <c r="H19" s="975"/>
      <c r="I19" s="145"/>
      <c r="J19" s="145"/>
      <c r="K19" s="145"/>
      <c r="L19" s="145"/>
      <c r="M19" s="145"/>
      <c r="N19" s="145"/>
      <c r="O19" s="145"/>
      <c r="P19" s="145"/>
      <c r="Q19" s="145"/>
      <c r="R19" s="145"/>
      <c r="S19" s="115"/>
    </row>
    <row r="20" spans="1:45" ht="16.5" thickBot="1">
      <c r="A20" s="625" t="s">
        <v>2092</v>
      </c>
      <c r="B20" s="280">
        <f ca="1">IF(D20="——",S22,S22-F20)</f>
        <v>109725</v>
      </c>
      <c r="C20" s="145"/>
      <c r="D20" s="1966" t="s">
        <v>43</v>
      </c>
      <c r="E20" s="1232"/>
      <c r="F20" s="909" t="e">
        <f ca="1">SUMIF(INDIRECT("'"&amp;H20&amp;"'"&amp;"!A:A"),"承租人权益价值",INDIRECT("'"&amp;H20&amp;"'"&amp;"!c:c"))</f>
        <v>#REF!</v>
      </c>
      <c r="G20" s="909" t="s">
        <v>2093</v>
      </c>
      <c r="H20" s="1967"/>
      <c r="I20" s="145"/>
      <c r="J20" s="145"/>
      <c r="K20" s="145"/>
      <c r="L20" s="145"/>
      <c r="M20" s="145"/>
      <c r="N20" s="145"/>
      <c r="O20" s="145"/>
      <c r="P20" s="145"/>
      <c r="Q20" s="145"/>
      <c r="R20" s="145"/>
      <c r="S20" s="115"/>
    </row>
    <row r="21" spans="1:45" ht="15.75">
      <c r="A21" s="625" t="s">
        <v>2094</v>
      </c>
      <c r="B21" s="280">
        <f ca="1">ROUND(B20*10000/B22,0)</f>
        <v>24268</v>
      </c>
      <c r="C21" s="145"/>
      <c r="D21" s="145"/>
      <c r="E21" s="145"/>
      <c r="F21" s="145"/>
      <c r="G21" s="145"/>
      <c r="H21" s="145"/>
      <c r="I21" s="145"/>
      <c r="J21" s="145"/>
      <c r="K21" s="145"/>
      <c r="L21" s="145"/>
      <c r="M21" s="145"/>
      <c r="N21" s="145"/>
      <c r="O21" s="145"/>
      <c r="P21" s="145"/>
      <c r="Q21" s="145"/>
      <c r="R21" s="145"/>
      <c r="S21" s="115"/>
    </row>
    <row r="22" spans="1:45">
      <c r="A22" s="302" t="s">
        <v>2095</v>
      </c>
      <c r="B22" s="21">
        <f>SUM(B24:B10000)</f>
        <v>45214.009999999995</v>
      </c>
      <c r="C22" s="3578" t="s">
        <v>27</v>
      </c>
      <c r="D22" s="3579"/>
      <c r="E22" s="3579"/>
      <c r="F22" s="3579"/>
      <c r="G22" s="3579"/>
      <c r="H22" s="3579"/>
      <c r="I22" s="3579"/>
      <c r="J22" s="3579"/>
      <c r="K22" s="3579"/>
      <c r="L22" s="3579"/>
      <c r="M22" s="3579"/>
      <c r="N22" s="3579"/>
      <c r="O22" s="3579"/>
      <c r="P22" s="3579"/>
      <c r="Q22" s="3580"/>
      <c r="R22" s="21">
        <f ca="1">ROUND(S22*10000/B22,0)</f>
        <v>24268</v>
      </c>
      <c r="S22" s="21">
        <f ca="1">SUM(S24:S10000)</f>
        <v>109725</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3616" t="s">
        <v>4016</v>
      </c>
      <c r="U23" s="3616" t="s">
        <v>4017</v>
      </c>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tr">
        <f>评估范围!B25</f>
        <v>石景山区五一剧场路1号院1号楼1至4层101</v>
      </c>
      <c r="B24" s="626">
        <f>评估范围!C25</f>
        <v>6568.5</v>
      </c>
      <c r="C24" s="2544">
        <v>1</v>
      </c>
      <c r="D24" s="2545"/>
      <c r="E24" s="2544">
        <v>1</v>
      </c>
      <c r="F24" s="2545"/>
      <c r="G24" s="2544">
        <v>1</v>
      </c>
      <c r="H24" s="2545"/>
      <c r="I24" s="2544">
        <v>1</v>
      </c>
      <c r="J24" s="2545"/>
      <c r="K24" s="2544">
        <v>1</v>
      </c>
      <c r="L24" s="2545"/>
      <c r="M24" s="2544">
        <v>1</v>
      </c>
      <c r="N24" s="2545"/>
      <c r="O24" s="2544">
        <v>1</v>
      </c>
      <c r="P24" s="2545"/>
      <c r="Q24" s="2544">
        <v>1</v>
      </c>
      <c r="R24" s="626">
        <f ca="1">结果表!G20</f>
        <v>24268</v>
      </c>
      <c r="S24" s="627">
        <f t="shared" ref="S24:S54" ca="1" si="11">ROUND(R24*B24/10000,0)</f>
        <v>15940</v>
      </c>
      <c r="T24" s="679">
        <f ca="1">结果表!N61</f>
        <v>19264</v>
      </c>
      <c r="U24" s="679">
        <f ca="1">ROUND(T24*B24/10000,0)</f>
        <v>12654</v>
      </c>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626" t="str">
        <f>评估范围!B26</f>
        <v>石景山区五一剧场路1号院5号楼1至6层101</v>
      </c>
      <c r="B25" s="626">
        <f>评估范围!C26</f>
        <v>9624.2999999999993</v>
      </c>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 ca="1">IF(B25="",0,ROUND($R$24*C25*E25*G25*I25*K25*M25*O25*Q25,0))</f>
        <v>24268</v>
      </c>
      <c r="S25" s="302">
        <f t="shared" ca="1" si="11"/>
        <v>23356</v>
      </c>
      <c r="T25" s="674">
        <f ca="1">T24</f>
        <v>19264</v>
      </c>
      <c r="U25" s="679">
        <f t="shared" ref="U25:U29" ca="1" si="12">ROUND(T25*B25/10000,0)</f>
        <v>18540</v>
      </c>
    </row>
    <row r="26" spans="1:45">
      <c r="A26" s="626" t="str">
        <f>评估范围!B27</f>
        <v>石景山区五一剧场路5号院1号楼1至6层101</v>
      </c>
      <c r="B26" s="626">
        <f>评估范围!C27</f>
        <v>10768.05</v>
      </c>
      <c r="C26" s="21">
        <f t="shared" ref="C26:C89" si="13">IF(B26="",1,(LOOKUP(B26,$3:$3,$4:$4)-LOOKUP($B$24,$3:$3,$4:$4)+100)/100)</f>
        <v>1</v>
      </c>
      <c r="D26" s="628"/>
      <c r="E26" s="21">
        <f t="shared" ref="E26:E89" si="14">(SUMIF($5:$5,D26,$6:$6)-SUMIF($5:$5,$D$24,$6:$6)+100)/100</f>
        <v>1</v>
      </c>
      <c r="F26" s="628"/>
      <c r="G26" s="21">
        <f t="shared" ref="G26:G89" si="15">(SUMIF($7:$7,F26,$8:$8)-SUMIF($7:$7,$F$24,$8:$8)+100)/100</f>
        <v>1</v>
      </c>
      <c r="H26" s="628"/>
      <c r="I26" s="21">
        <f t="shared" ref="I26:I89" si="16">(SUMIF($9:$9,H26,$10:$10)-SUMIF($9:$9,$H$24,$10:$10)+100)/100</f>
        <v>1</v>
      </c>
      <c r="J26" s="628"/>
      <c r="K26" s="21">
        <f t="shared" ref="K26:K89" si="17">(SUMIF($11:$11,J26,$12:$12)-SUMIF($11:$11,$J$24,$12:$12)+100)/100</f>
        <v>1</v>
      </c>
      <c r="L26" s="628"/>
      <c r="M26" s="21">
        <f t="shared" ref="M26:M89" si="18">(SUMIF($13:$13,L26,$14:$14)-SUMIF($13:$13,$L$24,$14:$14)+100)/100</f>
        <v>1</v>
      </c>
      <c r="N26" s="628"/>
      <c r="O26" s="21">
        <f t="shared" ref="O26:O89" si="19">(SUMIF($15:$15,N26,$16:$16)-SUMIF($15:$15,$N$24,$16:$16)+100)/100</f>
        <v>1</v>
      </c>
      <c r="P26" s="628"/>
      <c r="Q26" s="21">
        <f t="shared" ref="Q26:Q89" si="20">(SUMIF($17:$17,P26,$18:$18)-SUMIF($17:$17,$P$24,$18:$18)+100)/100</f>
        <v>1</v>
      </c>
      <c r="R26" s="21">
        <f t="shared" ref="R26:R89" ca="1" si="21">IF(B26="",0,ROUND($R$24*C26*E26*G26*I26*K26*M26*O26*Q26,0))</f>
        <v>24268</v>
      </c>
      <c r="S26" s="302">
        <f t="shared" ca="1" si="11"/>
        <v>26132</v>
      </c>
      <c r="T26" s="674">
        <f t="shared" ref="T26:T29" ca="1" si="22">T25</f>
        <v>19264</v>
      </c>
      <c r="U26" s="679">
        <f t="shared" ca="1" si="12"/>
        <v>20744</v>
      </c>
    </row>
    <row r="27" spans="1:45">
      <c r="A27" s="626" t="str">
        <f>评估范围!B28</f>
        <v>石景山区五一剧场路5号院2号楼1至6层101</v>
      </c>
      <c r="B27" s="626">
        <f>评估范围!C28</f>
        <v>10744.17</v>
      </c>
      <c r="C27" s="21">
        <f t="shared" si="13"/>
        <v>1</v>
      </c>
      <c r="D27" s="628"/>
      <c r="E27" s="21">
        <f t="shared" si="14"/>
        <v>1</v>
      </c>
      <c r="F27" s="628"/>
      <c r="G27" s="21">
        <f t="shared" si="15"/>
        <v>1</v>
      </c>
      <c r="H27" s="628"/>
      <c r="I27" s="21">
        <f t="shared" si="16"/>
        <v>1</v>
      </c>
      <c r="J27" s="628"/>
      <c r="K27" s="21">
        <f t="shared" si="17"/>
        <v>1</v>
      </c>
      <c r="L27" s="628"/>
      <c r="M27" s="21">
        <f t="shared" si="18"/>
        <v>1</v>
      </c>
      <c r="N27" s="628"/>
      <c r="O27" s="21">
        <f t="shared" si="19"/>
        <v>1</v>
      </c>
      <c r="P27" s="628"/>
      <c r="Q27" s="21">
        <f t="shared" si="20"/>
        <v>1</v>
      </c>
      <c r="R27" s="21">
        <f t="shared" ca="1" si="21"/>
        <v>24268</v>
      </c>
      <c r="S27" s="302">
        <f t="shared" ca="1" si="11"/>
        <v>26074</v>
      </c>
      <c r="T27" s="674">
        <f t="shared" ca="1" si="22"/>
        <v>19264</v>
      </c>
      <c r="U27" s="679">
        <f t="shared" ca="1" si="12"/>
        <v>20698</v>
      </c>
    </row>
    <row r="28" spans="1:45">
      <c r="A28" s="626" t="str">
        <f>评估范围!B29</f>
        <v>石景山区五一剧场路5号院3号楼1至5层101</v>
      </c>
      <c r="B28" s="626">
        <f>评估范围!C29</f>
        <v>4017.67</v>
      </c>
      <c r="C28" s="21">
        <f t="shared" si="13"/>
        <v>1</v>
      </c>
      <c r="D28" s="628"/>
      <c r="E28" s="21">
        <f t="shared" si="14"/>
        <v>1</v>
      </c>
      <c r="F28" s="628"/>
      <c r="G28" s="21">
        <f t="shared" si="15"/>
        <v>1</v>
      </c>
      <c r="H28" s="628"/>
      <c r="I28" s="21">
        <f t="shared" si="16"/>
        <v>1</v>
      </c>
      <c r="J28" s="628"/>
      <c r="K28" s="21">
        <f t="shared" si="17"/>
        <v>1</v>
      </c>
      <c r="L28" s="628"/>
      <c r="M28" s="21">
        <f t="shared" si="18"/>
        <v>1</v>
      </c>
      <c r="N28" s="628"/>
      <c r="O28" s="21">
        <f t="shared" si="19"/>
        <v>1</v>
      </c>
      <c r="P28" s="628"/>
      <c r="Q28" s="21">
        <f t="shared" si="20"/>
        <v>1</v>
      </c>
      <c r="R28" s="21">
        <f t="shared" ca="1" si="21"/>
        <v>24268</v>
      </c>
      <c r="S28" s="302">
        <f t="shared" ca="1" si="11"/>
        <v>9750</v>
      </c>
      <c r="T28" s="674">
        <f t="shared" ca="1" si="22"/>
        <v>19264</v>
      </c>
      <c r="U28" s="679">
        <f t="shared" ca="1" si="12"/>
        <v>7740</v>
      </c>
    </row>
    <row r="29" spans="1:45">
      <c r="A29" s="626" t="str">
        <f>评估范围!B30</f>
        <v>石景山区五一剧场路5号院4号楼1至4层101</v>
      </c>
      <c r="B29" s="626">
        <f>评估范围!C30</f>
        <v>3491.32</v>
      </c>
      <c r="C29" s="21">
        <f t="shared" si="13"/>
        <v>1</v>
      </c>
      <c r="D29" s="628"/>
      <c r="E29" s="21">
        <f t="shared" si="14"/>
        <v>1</v>
      </c>
      <c r="F29" s="628"/>
      <c r="G29" s="21">
        <f t="shared" si="15"/>
        <v>1</v>
      </c>
      <c r="H29" s="628"/>
      <c r="I29" s="21">
        <f t="shared" si="16"/>
        <v>1</v>
      </c>
      <c r="J29" s="628"/>
      <c r="K29" s="21">
        <f t="shared" si="17"/>
        <v>1</v>
      </c>
      <c r="L29" s="628"/>
      <c r="M29" s="21">
        <f t="shared" si="18"/>
        <v>1</v>
      </c>
      <c r="N29" s="628"/>
      <c r="O29" s="21">
        <f t="shared" si="19"/>
        <v>1</v>
      </c>
      <c r="P29" s="628"/>
      <c r="Q29" s="21">
        <f t="shared" si="20"/>
        <v>1</v>
      </c>
      <c r="R29" s="21">
        <f t="shared" ca="1" si="21"/>
        <v>24268</v>
      </c>
      <c r="S29" s="302">
        <f t="shared" ca="1" si="11"/>
        <v>8473</v>
      </c>
      <c r="T29" s="674">
        <f t="shared" ca="1" si="22"/>
        <v>19264</v>
      </c>
      <c r="U29" s="679">
        <f t="shared" ca="1" si="12"/>
        <v>6726</v>
      </c>
    </row>
    <row r="30" spans="1:45">
      <c r="A30" s="626"/>
      <c r="B30" s="52"/>
      <c r="C30" s="21">
        <f t="shared" si="13"/>
        <v>1</v>
      </c>
      <c r="D30" s="628"/>
      <c r="E30" s="21">
        <f t="shared" si="14"/>
        <v>1</v>
      </c>
      <c r="F30" s="628"/>
      <c r="G30" s="21">
        <f t="shared" si="15"/>
        <v>1</v>
      </c>
      <c r="H30" s="628"/>
      <c r="I30" s="21">
        <f t="shared" si="16"/>
        <v>1</v>
      </c>
      <c r="J30" s="628"/>
      <c r="K30" s="21">
        <f t="shared" si="17"/>
        <v>1</v>
      </c>
      <c r="L30" s="628"/>
      <c r="M30" s="21">
        <f t="shared" si="18"/>
        <v>1</v>
      </c>
      <c r="N30" s="628"/>
      <c r="O30" s="21">
        <f t="shared" si="19"/>
        <v>1</v>
      </c>
      <c r="P30" s="628"/>
      <c r="Q30" s="21">
        <f t="shared" si="20"/>
        <v>1</v>
      </c>
      <c r="R30" s="21">
        <f t="shared" si="21"/>
        <v>0</v>
      </c>
      <c r="S30" s="302">
        <f t="shared" si="11"/>
        <v>0</v>
      </c>
      <c r="U30" s="674">
        <f ca="1">SUM(U24:U29)</f>
        <v>87102</v>
      </c>
    </row>
    <row r="31" spans="1:45">
      <c r="A31" s="136"/>
      <c r="B31" s="52"/>
      <c r="C31" s="21">
        <f t="shared" si="13"/>
        <v>1</v>
      </c>
      <c r="D31" s="628"/>
      <c r="E31" s="21">
        <f t="shared" si="14"/>
        <v>1</v>
      </c>
      <c r="F31" s="628"/>
      <c r="G31" s="21">
        <f t="shared" si="15"/>
        <v>1</v>
      </c>
      <c r="H31" s="628"/>
      <c r="I31" s="21">
        <f t="shared" si="16"/>
        <v>1</v>
      </c>
      <c r="J31" s="628"/>
      <c r="K31" s="21">
        <f t="shared" si="17"/>
        <v>1</v>
      </c>
      <c r="L31" s="628"/>
      <c r="M31" s="21">
        <f t="shared" si="18"/>
        <v>1</v>
      </c>
      <c r="N31" s="628"/>
      <c r="O31" s="21">
        <f t="shared" si="19"/>
        <v>1</v>
      </c>
      <c r="P31" s="628"/>
      <c r="Q31" s="21">
        <f t="shared" si="20"/>
        <v>1</v>
      </c>
      <c r="R31" s="21">
        <f t="shared" si="21"/>
        <v>0</v>
      </c>
      <c r="S31" s="302">
        <f t="shared" si="11"/>
        <v>0</v>
      </c>
    </row>
    <row r="32" spans="1:45">
      <c r="A32" s="136"/>
      <c r="B32" s="52"/>
      <c r="C32" s="21">
        <f t="shared" si="13"/>
        <v>1</v>
      </c>
      <c r="D32" s="628"/>
      <c r="E32" s="21">
        <f t="shared" si="14"/>
        <v>1</v>
      </c>
      <c r="F32" s="628"/>
      <c r="G32" s="21">
        <f t="shared" si="15"/>
        <v>1</v>
      </c>
      <c r="H32" s="628"/>
      <c r="I32" s="21">
        <f t="shared" si="16"/>
        <v>1</v>
      </c>
      <c r="J32" s="628"/>
      <c r="K32" s="21">
        <f t="shared" si="17"/>
        <v>1</v>
      </c>
      <c r="L32" s="628"/>
      <c r="M32" s="21">
        <f t="shared" si="18"/>
        <v>1</v>
      </c>
      <c r="N32" s="628"/>
      <c r="O32" s="21">
        <f t="shared" si="19"/>
        <v>1</v>
      </c>
      <c r="P32" s="628"/>
      <c r="Q32" s="21">
        <f t="shared" si="20"/>
        <v>1</v>
      </c>
      <c r="R32" s="21">
        <f t="shared" si="21"/>
        <v>0</v>
      </c>
      <c r="S32" s="302">
        <f t="shared" si="11"/>
        <v>0</v>
      </c>
    </row>
    <row r="33" spans="1:19">
      <c r="A33" s="136"/>
      <c r="B33" s="52"/>
      <c r="C33" s="21">
        <f t="shared" si="13"/>
        <v>1</v>
      </c>
      <c r="D33" s="628"/>
      <c r="E33" s="21">
        <f t="shared" si="14"/>
        <v>1</v>
      </c>
      <c r="F33" s="628"/>
      <c r="G33" s="21">
        <f t="shared" si="15"/>
        <v>1</v>
      </c>
      <c r="H33" s="628"/>
      <c r="I33" s="21">
        <f t="shared" si="16"/>
        <v>1</v>
      </c>
      <c r="J33" s="628"/>
      <c r="K33" s="21">
        <f t="shared" si="17"/>
        <v>1</v>
      </c>
      <c r="L33" s="628"/>
      <c r="M33" s="21">
        <f t="shared" si="18"/>
        <v>1</v>
      </c>
      <c r="N33" s="628"/>
      <c r="O33" s="21">
        <f t="shared" si="19"/>
        <v>1</v>
      </c>
      <c r="P33" s="628"/>
      <c r="Q33" s="21">
        <f t="shared" si="20"/>
        <v>1</v>
      </c>
      <c r="R33" s="21">
        <f t="shared" si="21"/>
        <v>0</v>
      </c>
      <c r="S33" s="302">
        <f t="shared" si="11"/>
        <v>0</v>
      </c>
    </row>
    <row r="34" spans="1:19">
      <c r="A34" s="136"/>
      <c r="B34" s="52"/>
      <c r="C34" s="21">
        <f t="shared" si="13"/>
        <v>1</v>
      </c>
      <c r="D34" s="628"/>
      <c r="E34" s="21">
        <f t="shared" si="14"/>
        <v>1</v>
      </c>
      <c r="F34" s="628"/>
      <c r="G34" s="21">
        <f t="shared" si="15"/>
        <v>1</v>
      </c>
      <c r="H34" s="628"/>
      <c r="I34" s="21">
        <f t="shared" si="16"/>
        <v>1</v>
      </c>
      <c r="J34" s="628"/>
      <c r="K34" s="21">
        <f t="shared" si="17"/>
        <v>1</v>
      </c>
      <c r="L34" s="628"/>
      <c r="M34" s="21">
        <f t="shared" si="18"/>
        <v>1</v>
      </c>
      <c r="N34" s="628"/>
      <c r="O34" s="21">
        <f t="shared" si="19"/>
        <v>1</v>
      </c>
      <c r="P34" s="628"/>
      <c r="Q34" s="21">
        <f t="shared" si="20"/>
        <v>1</v>
      </c>
      <c r="R34" s="21">
        <f t="shared" si="21"/>
        <v>0</v>
      </c>
      <c r="S34" s="302">
        <f t="shared" si="11"/>
        <v>0</v>
      </c>
    </row>
    <row r="35" spans="1:19">
      <c r="A35" s="136"/>
      <c r="B35" s="52"/>
      <c r="C35" s="21">
        <f t="shared" si="13"/>
        <v>1</v>
      </c>
      <c r="D35" s="628"/>
      <c r="E35" s="21">
        <f t="shared" si="14"/>
        <v>1</v>
      </c>
      <c r="F35" s="628"/>
      <c r="G35" s="21">
        <f t="shared" si="15"/>
        <v>1</v>
      </c>
      <c r="H35" s="628"/>
      <c r="I35" s="21">
        <f t="shared" si="16"/>
        <v>1</v>
      </c>
      <c r="J35" s="628"/>
      <c r="K35" s="21">
        <f t="shared" si="17"/>
        <v>1</v>
      </c>
      <c r="L35" s="628"/>
      <c r="M35" s="21">
        <f t="shared" si="18"/>
        <v>1</v>
      </c>
      <c r="N35" s="628"/>
      <c r="O35" s="21">
        <f t="shared" si="19"/>
        <v>1</v>
      </c>
      <c r="P35" s="628"/>
      <c r="Q35" s="21">
        <f t="shared" si="20"/>
        <v>1</v>
      </c>
      <c r="R35" s="21">
        <f t="shared" si="21"/>
        <v>0</v>
      </c>
      <c r="S35" s="302">
        <f t="shared" si="11"/>
        <v>0</v>
      </c>
    </row>
    <row r="36" spans="1:19">
      <c r="A36" s="136"/>
      <c r="B36" s="52"/>
      <c r="C36" s="21">
        <f t="shared" si="13"/>
        <v>1</v>
      </c>
      <c r="D36" s="628"/>
      <c r="E36" s="21">
        <f t="shared" si="14"/>
        <v>1</v>
      </c>
      <c r="F36" s="628"/>
      <c r="G36" s="21">
        <f t="shared" si="15"/>
        <v>1</v>
      </c>
      <c r="H36" s="628"/>
      <c r="I36" s="21">
        <f t="shared" si="16"/>
        <v>1</v>
      </c>
      <c r="J36" s="628"/>
      <c r="K36" s="21">
        <f t="shared" si="17"/>
        <v>1</v>
      </c>
      <c r="L36" s="628"/>
      <c r="M36" s="21">
        <f t="shared" si="18"/>
        <v>1</v>
      </c>
      <c r="N36" s="628"/>
      <c r="O36" s="21">
        <f t="shared" si="19"/>
        <v>1</v>
      </c>
      <c r="P36" s="628"/>
      <c r="Q36" s="21">
        <f t="shared" si="20"/>
        <v>1</v>
      </c>
      <c r="R36" s="21">
        <f t="shared" si="21"/>
        <v>0</v>
      </c>
      <c r="S36" s="302">
        <f t="shared" si="11"/>
        <v>0</v>
      </c>
    </row>
    <row r="37" spans="1:19">
      <c r="A37" s="136"/>
      <c r="B37" s="52"/>
      <c r="C37" s="21">
        <f t="shared" si="13"/>
        <v>1</v>
      </c>
      <c r="D37" s="628"/>
      <c r="E37" s="21">
        <f t="shared" si="14"/>
        <v>1</v>
      </c>
      <c r="F37" s="628"/>
      <c r="G37" s="21">
        <f t="shared" si="15"/>
        <v>1</v>
      </c>
      <c r="H37" s="628"/>
      <c r="I37" s="21">
        <f t="shared" si="16"/>
        <v>1</v>
      </c>
      <c r="J37" s="628"/>
      <c r="K37" s="21">
        <f t="shared" si="17"/>
        <v>1</v>
      </c>
      <c r="L37" s="628"/>
      <c r="M37" s="21">
        <f t="shared" si="18"/>
        <v>1</v>
      </c>
      <c r="N37" s="628"/>
      <c r="O37" s="21">
        <f t="shared" si="19"/>
        <v>1</v>
      </c>
      <c r="P37" s="628"/>
      <c r="Q37" s="21">
        <f t="shared" si="20"/>
        <v>1</v>
      </c>
      <c r="R37" s="21">
        <f t="shared" si="21"/>
        <v>0</v>
      </c>
      <c r="S37" s="302">
        <f t="shared" si="11"/>
        <v>0</v>
      </c>
    </row>
    <row r="38" spans="1:19">
      <c r="A38" s="136"/>
      <c r="B38" s="52"/>
      <c r="C38" s="21">
        <f t="shared" si="13"/>
        <v>1</v>
      </c>
      <c r="D38" s="628"/>
      <c r="E38" s="21">
        <f t="shared" si="14"/>
        <v>1</v>
      </c>
      <c r="F38" s="628"/>
      <c r="G38" s="21">
        <f t="shared" si="15"/>
        <v>1</v>
      </c>
      <c r="H38" s="628"/>
      <c r="I38" s="21">
        <f t="shared" si="16"/>
        <v>1</v>
      </c>
      <c r="J38" s="628"/>
      <c r="K38" s="21">
        <f t="shared" si="17"/>
        <v>1</v>
      </c>
      <c r="L38" s="628"/>
      <c r="M38" s="21">
        <f t="shared" si="18"/>
        <v>1</v>
      </c>
      <c r="N38" s="628"/>
      <c r="O38" s="21">
        <f t="shared" si="19"/>
        <v>1</v>
      </c>
      <c r="P38" s="628"/>
      <c r="Q38" s="21">
        <f t="shared" si="20"/>
        <v>1</v>
      </c>
      <c r="R38" s="21">
        <f t="shared" si="21"/>
        <v>0</v>
      </c>
      <c r="S38" s="302">
        <f t="shared" si="11"/>
        <v>0</v>
      </c>
    </row>
    <row r="39" spans="1:19">
      <c r="A39" s="136"/>
      <c r="B39" s="52"/>
      <c r="C39" s="21">
        <f t="shared" si="13"/>
        <v>1</v>
      </c>
      <c r="D39" s="628"/>
      <c r="E39" s="21">
        <f t="shared" si="14"/>
        <v>1</v>
      </c>
      <c r="F39" s="628"/>
      <c r="G39" s="21">
        <f t="shared" si="15"/>
        <v>1</v>
      </c>
      <c r="H39" s="628"/>
      <c r="I39" s="21">
        <f t="shared" si="16"/>
        <v>1</v>
      </c>
      <c r="J39" s="628"/>
      <c r="K39" s="21">
        <f t="shared" si="17"/>
        <v>1</v>
      </c>
      <c r="L39" s="628"/>
      <c r="M39" s="21">
        <f t="shared" si="18"/>
        <v>1</v>
      </c>
      <c r="N39" s="628"/>
      <c r="O39" s="21">
        <f t="shared" si="19"/>
        <v>1</v>
      </c>
      <c r="P39" s="628"/>
      <c r="Q39" s="21">
        <f t="shared" si="20"/>
        <v>1</v>
      </c>
      <c r="R39" s="21">
        <f t="shared" si="21"/>
        <v>0</v>
      </c>
      <c r="S39" s="302">
        <f t="shared" si="11"/>
        <v>0</v>
      </c>
    </row>
    <row r="40" spans="1:19">
      <c r="A40" s="136"/>
      <c r="B40" s="52"/>
      <c r="C40" s="21">
        <f t="shared" si="13"/>
        <v>1</v>
      </c>
      <c r="D40" s="628"/>
      <c r="E40" s="21">
        <f t="shared" si="14"/>
        <v>1</v>
      </c>
      <c r="F40" s="628"/>
      <c r="G40" s="21">
        <f t="shared" si="15"/>
        <v>1</v>
      </c>
      <c r="H40" s="628"/>
      <c r="I40" s="21">
        <f t="shared" si="16"/>
        <v>1</v>
      </c>
      <c r="J40" s="628"/>
      <c r="K40" s="21">
        <f t="shared" si="17"/>
        <v>1</v>
      </c>
      <c r="L40" s="628"/>
      <c r="M40" s="21">
        <f t="shared" si="18"/>
        <v>1</v>
      </c>
      <c r="N40" s="628"/>
      <c r="O40" s="21">
        <f t="shared" si="19"/>
        <v>1</v>
      </c>
      <c r="P40" s="628"/>
      <c r="Q40" s="21">
        <f t="shared" si="20"/>
        <v>1</v>
      </c>
      <c r="R40" s="21">
        <f t="shared" si="21"/>
        <v>0</v>
      </c>
      <c r="S40" s="302">
        <f t="shared" si="11"/>
        <v>0</v>
      </c>
    </row>
    <row r="41" spans="1:19">
      <c r="A41" s="136"/>
      <c r="B41" s="52"/>
      <c r="C41" s="21">
        <f t="shared" si="13"/>
        <v>1</v>
      </c>
      <c r="D41" s="628"/>
      <c r="E41" s="21">
        <f t="shared" si="14"/>
        <v>1</v>
      </c>
      <c r="F41" s="628"/>
      <c r="G41" s="21">
        <f t="shared" si="15"/>
        <v>1</v>
      </c>
      <c r="H41" s="628"/>
      <c r="I41" s="21">
        <f t="shared" si="16"/>
        <v>1</v>
      </c>
      <c r="J41" s="628"/>
      <c r="K41" s="21">
        <f t="shared" si="17"/>
        <v>1</v>
      </c>
      <c r="L41" s="628"/>
      <c r="M41" s="21">
        <f t="shared" si="18"/>
        <v>1</v>
      </c>
      <c r="N41" s="628"/>
      <c r="O41" s="21">
        <f t="shared" si="19"/>
        <v>1</v>
      </c>
      <c r="P41" s="628"/>
      <c r="Q41" s="21">
        <f t="shared" si="20"/>
        <v>1</v>
      </c>
      <c r="R41" s="21">
        <f t="shared" si="21"/>
        <v>0</v>
      </c>
      <c r="S41" s="302">
        <f t="shared" si="11"/>
        <v>0</v>
      </c>
    </row>
    <row r="42" spans="1:19">
      <c r="A42" s="136"/>
      <c r="B42" s="52"/>
      <c r="C42" s="21">
        <f t="shared" si="13"/>
        <v>1</v>
      </c>
      <c r="D42" s="628"/>
      <c r="E42" s="21">
        <f t="shared" si="14"/>
        <v>1</v>
      </c>
      <c r="F42" s="628"/>
      <c r="G42" s="21">
        <f t="shared" si="15"/>
        <v>1</v>
      </c>
      <c r="H42" s="628"/>
      <c r="I42" s="21">
        <f t="shared" si="16"/>
        <v>1</v>
      </c>
      <c r="J42" s="628"/>
      <c r="K42" s="21">
        <f t="shared" si="17"/>
        <v>1</v>
      </c>
      <c r="L42" s="628"/>
      <c r="M42" s="21">
        <f t="shared" si="18"/>
        <v>1</v>
      </c>
      <c r="N42" s="628"/>
      <c r="O42" s="21">
        <f t="shared" si="19"/>
        <v>1</v>
      </c>
      <c r="P42" s="628"/>
      <c r="Q42" s="21">
        <f t="shared" si="20"/>
        <v>1</v>
      </c>
      <c r="R42" s="21">
        <f t="shared" si="21"/>
        <v>0</v>
      </c>
      <c r="S42" s="302">
        <f t="shared" si="11"/>
        <v>0</v>
      </c>
    </row>
    <row r="43" spans="1:19">
      <c r="A43" s="136"/>
      <c r="B43" s="52"/>
      <c r="C43" s="21">
        <f t="shared" si="13"/>
        <v>1</v>
      </c>
      <c r="D43" s="628"/>
      <c r="E43" s="21">
        <f t="shared" si="14"/>
        <v>1</v>
      </c>
      <c r="F43" s="628"/>
      <c r="G43" s="21">
        <f t="shared" si="15"/>
        <v>1</v>
      </c>
      <c r="H43" s="628"/>
      <c r="I43" s="21">
        <f t="shared" si="16"/>
        <v>1</v>
      </c>
      <c r="J43" s="628"/>
      <c r="K43" s="21">
        <f t="shared" si="17"/>
        <v>1</v>
      </c>
      <c r="L43" s="628"/>
      <c r="M43" s="21">
        <f t="shared" si="18"/>
        <v>1</v>
      </c>
      <c r="N43" s="628"/>
      <c r="O43" s="21">
        <f t="shared" si="19"/>
        <v>1</v>
      </c>
      <c r="P43" s="628"/>
      <c r="Q43" s="21">
        <f t="shared" si="20"/>
        <v>1</v>
      </c>
      <c r="R43" s="21">
        <f t="shared" si="21"/>
        <v>0</v>
      </c>
      <c r="S43" s="302">
        <f t="shared" si="11"/>
        <v>0</v>
      </c>
    </row>
    <row r="44" spans="1:19">
      <c r="A44" s="136"/>
      <c r="B44" s="52"/>
      <c r="C44" s="21">
        <f t="shared" si="13"/>
        <v>1</v>
      </c>
      <c r="D44" s="628"/>
      <c r="E44" s="21">
        <f t="shared" si="14"/>
        <v>1</v>
      </c>
      <c r="F44" s="628"/>
      <c r="G44" s="21">
        <f t="shared" si="15"/>
        <v>1</v>
      </c>
      <c r="H44" s="628"/>
      <c r="I44" s="21">
        <f t="shared" si="16"/>
        <v>1</v>
      </c>
      <c r="J44" s="628"/>
      <c r="K44" s="21">
        <f t="shared" si="17"/>
        <v>1</v>
      </c>
      <c r="L44" s="628"/>
      <c r="M44" s="21">
        <f t="shared" si="18"/>
        <v>1</v>
      </c>
      <c r="N44" s="628"/>
      <c r="O44" s="21">
        <f t="shared" si="19"/>
        <v>1</v>
      </c>
      <c r="P44" s="628"/>
      <c r="Q44" s="21">
        <f t="shared" si="20"/>
        <v>1</v>
      </c>
      <c r="R44" s="21">
        <f t="shared" si="21"/>
        <v>0</v>
      </c>
      <c r="S44" s="302">
        <f t="shared" si="11"/>
        <v>0</v>
      </c>
    </row>
    <row r="45" spans="1:19">
      <c r="A45" s="136"/>
      <c r="B45" s="52"/>
      <c r="C45" s="21">
        <f t="shared" si="13"/>
        <v>1</v>
      </c>
      <c r="D45" s="628"/>
      <c r="E45" s="21">
        <f t="shared" si="14"/>
        <v>1</v>
      </c>
      <c r="F45" s="628"/>
      <c r="G45" s="21">
        <f t="shared" si="15"/>
        <v>1</v>
      </c>
      <c r="H45" s="628"/>
      <c r="I45" s="21">
        <f t="shared" si="16"/>
        <v>1</v>
      </c>
      <c r="J45" s="628"/>
      <c r="K45" s="21">
        <f t="shared" si="17"/>
        <v>1</v>
      </c>
      <c r="L45" s="628"/>
      <c r="M45" s="21">
        <f t="shared" si="18"/>
        <v>1</v>
      </c>
      <c r="N45" s="628"/>
      <c r="O45" s="21">
        <f t="shared" si="19"/>
        <v>1</v>
      </c>
      <c r="P45" s="628"/>
      <c r="Q45" s="21">
        <f t="shared" si="20"/>
        <v>1</v>
      </c>
      <c r="R45" s="21">
        <f t="shared" si="21"/>
        <v>0</v>
      </c>
      <c r="S45" s="302">
        <f t="shared" si="11"/>
        <v>0</v>
      </c>
    </row>
    <row r="46" spans="1:19">
      <c r="A46" s="136"/>
      <c r="B46" s="52"/>
      <c r="C46" s="21">
        <f t="shared" si="13"/>
        <v>1</v>
      </c>
      <c r="D46" s="628"/>
      <c r="E46" s="21">
        <f t="shared" si="14"/>
        <v>1</v>
      </c>
      <c r="F46" s="628"/>
      <c r="G46" s="21">
        <f t="shared" si="15"/>
        <v>1</v>
      </c>
      <c r="H46" s="628"/>
      <c r="I46" s="21">
        <f t="shared" si="16"/>
        <v>1</v>
      </c>
      <c r="J46" s="628"/>
      <c r="K46" s="21">
        <f t="shared" si="17"/>
        <v>1</v>
      </c>
      <c r="L46" s="628"/>
      <c r="M46" s="21">
        <f t="shared" si="18"/>
        <v>1</v>
      </c>
      <c r="N46" s="628"/>
      <c r="O46" s="21">
        <f t="shared" si="19"/>
        <v>1</v>
      </c>
      <c r="P46" s="628"/>
      <c r="Q46" s="21">
        <f t="shared" si="20"/>
        <v>1</v>
      </c>
      <c r="R46" s="21">
        <f t="shared" si="21"/>
        <v>0</v>
      </c>
      <c r="S46" s="302">
        <f t="shared" si="11"/>
        <v>0</v>
      </c>
    </row>
    <row r="47" spans="1:19">
      <c r="A47" s="136"/>
      <c r="B47" s="52"/>
      <c r="C47" s="21">
        <f t="shared" si="13"/>
        <v>1</v>
      </c>
      <c r="D47" s="628"/>
      <c r="E47" s="21">
        <f t="shared" si="14"/>
        <v>1</v>
      </c>
      <c r="F47" s="628"/>
      <c r="G47" s="21">
        <f t="shared" si="15"/>
        <v>1</v>
      </c>
      <c r="H47" s="628"/>
      <c r="I47" s="21">
        <f t="shared" si="16"/>
        <v>1</v>
      </c>
      <c r="J47" s="628"/>
      <c r="K47" s="21">
        <f t="shared" si="17"/>
        <v>1</v>
      </c>
      <c r="L47" s="628"/>
      <c r="M47" s="21">
        <f t="shared" si="18"/>
        <v>1</v>
      </c>
      <c r="N47" s="628"/>
      <c r="O47" s="21">
        <f t="shared" si="19"/>
        <v>1</v>
      </c>
      <c r="P47" s="628"/>
      <c r="Q47" s="21">
        <f t="shared" si="20"/>
        <v>1</v>
      </c>
      <c r="R47" s="21">
        <f t="shared" si="21"/>
        <v>0</v>
      </c>
      <c r="S47" s="302">
        <f t="shared" si="11"/>
        <v>0</v>
      </c>
    </row>
    <row r="48" spans="1:19">
      <c r="A48" s="136"/>
      <c r="B48" s="52"/>
      <c r="C48" s="21">
        <f t="shared" si="13"/>
        <v>1</v>
      </c>
      <c r="D48" s="628"/>
      <c r="E48" s="21">
        <f t="shared" si="14"/>
        <v>1</v>
      </c>
      <c r="F48" s="628"/>
      <c r="G48" s="21">
        <f t="shared" si="15"/>
        <v>1</v>
      </c>
      <c r="H48" s="628"/>
      <c r="I48" s="21">
        <f t="shared" si="16"/>
        <v>1</v>
      </c>
      <c r="J48" s="628"/>
      <c r="K48" s="21">
        <f t="shared" si="17"/>
        <v>1</v>
      </c>
      <c r="L48" s="628"/>
      <c r="M48" s="21">
        <f t="shared" si="18"/>
        <v>1</v>
      </c>
      <c r="N48" s="628"/>
      <c r="O48" s="21">
        <f t="shared" si="19"/>
        <v>1</v>
      </c>
      <c r="P48" s="628"/>
      <c r="Q48" s="21">
        <f t="shared" si="20"/>
        <v>1</v>
      </c>
      <c r="R48" s="21">
        <f t="shared" si="21"/>
        <v>0</v>
      </c>
      <c r="S48" s="302">
        <f t="shared" si="11"/>
        <v>0</v>
      </c>
    </row>
    <row r="49" spans="1:19">
      <c r="A49" s="136"/>
      <c r="B49" s="52"/>
      <c r="C49" s="21">
        <f t="shared" si="13"/>
        <v>1</v>
      </c>
      <c r="D49" s="628"/>
      <c r="E49" s="21">
        <f t="shared" si="14"/>
        <v>1</v>
      </c>
      <c r="F49" s="628"/>
      <c r="G49" s="21">
        <f t="shared" si="15"/>
        <v>1</v>
      </c>
      <c r="H49" s="628"/>
      <c r="I49" s="21">
        <f t="shared" si="16"/>
        <v>1</v>
      </c>
      <c r="J49" s="628"/>
      <c r="K49" s="21">
        <f t="shared" si="17"/>
        <v>1</v>
      </c>
      <c r="L49" s="628"/>
      <c r="M49" s="21">
        <f t="shared" si="18"/>
        <v>1</v>
      </c>
      <c r="N49" s="628"/>
      <c r="O49" s="21">
        <f t="shared" si="19"/>
        <v>1</v>
      </c>
      <c r="P49" s="628"/>
      <c r="Q49" s="21">
        <f t="shared" si="20"/>
        <v>1</v>
      </c>
      <c r="R49" s="21">
        <f t="shared" si="21"/>
        <v>0</v>
      </c>
      <c r="S49" s="302">
        <f t="shared" si="11"/>
        <v>0</v>
      </c>
    </row>
    <row r="50" spans="1:19">
      <c r="A50" s="136"/>
      <c r="B50" s="52"/>
      <c r="C50" s="21">
        <f t="shared" si="13"/>
        <v>1</v>
      </c>
      <c r="D50" s="628"/>
      <c r="E50" s="21">
        <f t="shared" si="14"/>
        <v>1</v>
      </c>
      <c r="F50" s="628"/>
      <c r="G50" s="21">
        <f t="shared" si="15"/>
        <v>1</v>
      </c>
      <c r="H50" s="628"/>
      <c r="I50" s="21">
        <f t="shared" si="16"/>
        <v>1</v>
      </c>
      <c r="J50" s="628"/>
      <c r="K50" s="21">
        <f t="shared" si="17"/>
        <v>1</v>
      </c>
      <c r="L50" s="628"/>
      <c r="M50" s="21">
        <f t="shared" si="18"/>
        <v>1</v>
      </c>
      <c r="N50" s="628"/>
      <c r="O50" s="21">
        <f t="shared" si="19"/>
        <v>1</v>
      </c>
      <c r="P50" s="628"/>
      <c r="Q50" s="21">
        <f t="shared" si="20"/>
        <v>1</v>
      </c>
      <c r="R50" s="21">
        <f t="shared" si="21"/>
        <v>0</v>
      </c>
      <c r="S50" s="302">
        <f t="shared" si="11"/>
        <v>0</v>
      </c>
    </row>
    <row r="51" spans="1:19">
      <c r="A51" s="136"/>
      <c r="B51" s="52"/>
      <c r="C51" s="21">
        <f t="shared" si="13"/>
        <v>1</v>
      </c>
      <c r="D51" s="628"/>
      <c r="E51" s="21">
        <f t="shared" si="14"/>
        <v>1</v>
      </c>
      <c r="F51" s="628"/>
      <c r="G51" s="21">
        <f t="shared" si="15"/>
        <v>1</v>
      </c>
      <c r="H51" s="628"/>
      <c r="I51" s="21">
        <f t="shared" si="16"/>
        <v>1</v>
      </c>
      <c r="J51" s="628"/>
      <c r="K51" s="21">
        <f t="shared" si="17"/>
        <v>1</v>
      </c>
      <c r="L51" s="628"/>
      <c r="M51" s="21">
        <f t="shared" si="18"/>
        <v>1</v>
      </c>
      <c r="N51" s="628"/>
      <c r="O51" s="21">
        <f t="shared" si="19"/>
        <v>1</v>
      </c>
      <c r="P51" s="628"/>
      <c r="Q51" s="21">
        <f t="shared" si="20"/>
        <v>1</v>
      </c>
      <c r="R51" s="21">
        <f t="shared" si="21"/>
        <v>0</v>
      </c>
      <c r="S51" s="302">
        <f t="shared" si="11"/>
        <v>0</v>
      </c>
    </row>
    <row r="52" spans="1:19">
      <c r="A52" s="136"/>
      <c r="B52" s="52"/>
      <c r="C52" s="21">
        <f t="shared" si="13"/>
        <v>1</v>
      </c>
      <c r="D52" s="628"/>
      <c r="E52" s="21">
        <f t="shared" si="14"/>
        <v>1</v>
      </c>
      <c r="F52" s="628"/>
      <c r="G52" s="21">
        <f t="shared" si="15"/>
        <v>1</v>
      </c>
      <c r="H52" s="628"/>
      <c r="I52" s="21">
        <f t="shared" si="16"/>
        <v>1</v>
      </c>
      <c r="J52" s="628"/>
      <c r="K52" s="21">
        <f t="shared" si="17"/>
        <v>1</v>
      </c>
      <c r="L52" s="628"/>
      <c r="M52" s="21">
        <f t="shared" si="18"/>
        <v>1</v>
      </c>
      <c r="N52" s="628"/>
      <c r="O52" s="21">
        <f t="shared" si="19"/>
        <v>1</v>
      </c>
      <c r="P52" s="628"/>
      <c r="Q52" s="21">
        <f t="shared" si="20"/>
        <v>1</v>
      </c>
      <c r="R52" s="21">
        <f t="shared" si="21"/>
        <v>0</v>
      </c>
      <c r="S52" s="302">
        <f t="shared" si="11"/>
        <v>0</v>
      </c>
    </row>
    <row r="53" spans="1:19">
      <c r="A53" s="136"/>
      <c r="B53" s="52"/>
      <c r="C53" s="21">
        <f t="shared" si="13"/>
        <v>1</v>
      </c>
      <c r="D53" s="628"/>
      <c r="E53" s="21">
        <f t="shared" si="14"/>
        <v>1</v>
      </c>
      <c r="F53" s="628"/>
      <c r="G53" s="21">
        <f t="shared" si="15"/>
        <v>1</v>
      </c>
      <c r="H53" s="628"/>
      <c r="I53" s="21">
        <f t="shared" si="16"/>
        <v>1</v>
      </c>
      <c r="J53" s="628"/>
      <c r="K53" s="21">
        <f t="shared" si="17"/>
        <v>1</v>
      </c>
      <c r="L53" s="628"/>
      <c r="M53" s="21">
        <f t="shared" si="18"/>
        <v>1</v>
      </c>
      <c r="N53" s="628"/>
      <c r="O53" s="21">
        <f t="shared" si="19"/>
        <v>1</v>
      </c>
      <c r="P53" s="628"/>
      <c r="Q53" s="21">
        <f t="shared" si="20"/>
        <v>1</v>
      </c>
      <c r="R53" s="21">
        <f t="shared" si="21"/>
        <v>0</v>
      </c>
      <c r="S53" s="302">
        <f t="shared" si="11"/>
        <v>0</v>
      </c>
    </row>
    <row r="54" spans="1:19">
      <c r="A54" s="136"/>
      <c r="B54" s="52"/>
      <c r="C54" s="21">
        <f t="shared" si="13"/>
        <v>1</v>
      </c>
      <c r="D54" s="628"/>
      <c r="E54" s="21">
        <f t="shared" si="14"/>
        <v>1</v>
      </c>
      <c r="F54" s="628"/>
      <c r="G54" s="21">
        <f t="shared" si="15"/>
        <v>1</v>
      </c>
      <c r="H54" s="628"/>
      <c r="I54" s="21">
        <f t="shared" si="16"/>
        <v>1</v>
      </c>
      <c r="J54" s="628"/>
      <c r="K54" s="21">
        <f t="shared" si="17"/>
        <v>1</v>
      </c>
      <c r="L54" s="628"/>
      <c r="M54" s="21">
        <f t="shared" si="18"/>
        <v>1</v>
      </c>
      <c r="N54" s="628"/>
      <c r="O54" s="21">
        <f t="shared" si="19"/>
        <v>1</v>
      </c>
      <c r="P54" s="628"/>
      <c r="Q54" s="21">
        <f t="shared" si="20"/>
        <v>1</v>
      </c>
      <c r="R54" s="21">
        <f t="shared" si="21"/>
        <v>0</v>
      </c>
      <c r="S54" s="302">
        <f t="shared" si="11"/>
        <v>0</v>
      </c>
    </row>
    <row r="55" spans="1:19">
      <c r="A55" s="136"/>
      <c r="B55" s="52"/>
      <c r="C55" s="21">
        <f t="shared" si="13"/>
        <v>1</v>
      </c>
      <c r="D55" s="628"/>
      <c r="E55" s="21">
        <f t="shared" si="14"/>
        <v>1</v>
      </c>
      <c r="F55" s="628"/>
      <c r="G55" s="21">
        <f t="shared" si="15"/>
        <v>1</v>
      </c>
      <c r="H55" s="628"/>
      <c r="I55" s="21">
        <f t="shared" si="16"/>
        <v>1</v>
      </c>
      <c r="J55" s="628"/>
      <c r="K55" s="21">
        <f t="shared" si="17"/>
        <v>1</v>
      </c>
      <c r="L55" s="628"/>
      <c r="M55" s="21">
        <f t="shared" si="18"/>
        <v>1</v>
      </c>
      <c r="N55" s="628"/>
      <c r="O55" s="21">
        <f t="shared" si="19"/>
        <v>1</v>
      </c>
      <c r="P55" s="628"/>
      <c r="Q55" s="21">
        <f t="shared" si="20"/>
        <v>1</v>
      </c>
      <c r="R55" s="21">
        <f t="shared" si="21"/>
        <v>0</v>
      </c>
      <c r="S55" s="302">
        <f t="shared" ref="S55:S77" si="23">ROUND(R55*B55/10000,0)</f>
        <v>0</v>
      </c>
    </row>
    <row r="56" spans="1:19">
      <c r="A56" s="136"/>
      <c r="B56" s="52"/>
      <c r="C56" s="21">
        <f t="shared" si="13"/>
        <v>1</v>
      </c>
      <c r="D56" s="628"/>
      <c r="E56" s="21">
        <f t="shared" si="14"/>
        <v>1</v>
      </c>
      <c r="F56" s="628"/>
      <c r="G56" s="21">
        <f t="shared" si="15"/>
        <v>1</v>
      </c>
      <c r="H56" s="628"/>
      <c r="I56" s="21">
        <f t="shared" si="16"/>
        <v>1</v>
      </c>
      <c r="J56" s="628"/>
      <c r="K56" s="21">
        <f t="shared" si="17"/>
        <v>1</v>
      </c>
      <c r="L56" s="628"/>
      <c r="M56" s="21">
        <f t="shared" si="18"/>
        <v>1</v>
      </c>
      <c r="N56" s="628"/>
      <c r="O56" s="21">
        <f t="shared" si="19"/>
        <v>1</v>
      </c>
      <c r="P56" s="628"/>
      <c r="Q56" s="21">
        <f t="shared" si="20"/>
        <v>1</v>
      </c>
      <c r="R56" s="21">
        <f t="shared" si="21"/>
        <v>0</v>
      </c>
      <c r="S56" s="302">
        <f t="shared" si="23"/>
        <v>0</v>
      </c>
    </row>
    <row r="57" spans="1:19">
      <c r="A57" s="136"/>
      <c r="B57" s="52"/>
      <c r="C57" s="21">
        <f t="shared" si="13"/>
        <v>1</v>
      </c>
      <c r="D57" s="628"/>
      <c r="E57" s="21">
        <f t="shared" si="14"/>
        <v>1</v>
      </c>
      <c r="F57" s="628"/>
      <c r="G57" s="21">
        <f t="shared" si="15"/>
        <v>1</v>
      </c>
      <c r="H57" s="628"/>
      <c r="I57" s="21">
        <f t="shared" si="16"/>
        <v>1</v>
      </c>
      <c r="J57" s="628"/>
      <c r="K57" s="21">
        <f t="shared" si="17"/>
        <v>1</v>
      </c>
      <c r="L57" s="628"/>
      <c r="M57" s="21">
        <f t="shared" si="18"/>
        <v>1</v>
      </c>
      <c r="N57" s="628"/>
      <c r="O57" s="21">
        <f t="shared" si="19"/>
        <v>1</v>
      </c>
      <c r="P57" s="628"/>
      <c r="Q57" s="21">
        <f t="shared" si="20"/>
        <v>1</v>
      </c>
      <c r="R57" s="21">
        <f t="shared" si="21"/>
        <v>0</v>
      </c>
      <c r="S57" s="302">
        <f t="shared" si="23"/>
        <v>0</v>
      </c>
    </row>
    <row r="58" spans="1:19">
      <c r="A58" s="136"/>
      <c r="B58" s="52"/>
      <c r="C58" s="21">
        <f t="shared" si="13"/>
        <v>1</v>
      </c>
      <c r="D58" s="628"/>
      <c r="E58" s="21">
        <f t="shared" si="14"/>
        <v>1</v>
      </c>
      <c r="F58" s="628"/>
      <c r="G58" s="21">
        <f t="shared" si="15"/>
        <v>1</v>
      </c>
      <c r="H58" s="628"/>
      <c r="I58" s="21">
        <f t="shared" si="16"/>
        <v>1</v>
      </c>
      <c r="J58" s="628"/>
      <c r="K58" s="21">
        <f t="shared" si="17"/>
        <v>1</v>
      </c>
      <c r="L58" s="628"/>
      <c r="M58" s="21">
        <f t="shared" si="18"/>
        <v>1</v>
      </c>
      <c r="N58" s="628"/>
      <c r="O58" s="21">
        <f t="shared" si="19"/>
        <v>1</v>
      </c>
      <c r="P58" s="628"/>
      <c r="Q58" s="21">
        <f t="shared" si="20"/>
        <v>1</v>
      </c>
      <c r="R58" s="21">
        <f t="shared" si="21"/>
        <v>0</v>
      </c>
      <c r="S58" s="302">
        <f t="shared" si="23"/>
        <v>0</v>
      </c>
    </row>
    <row r="59" spans="1:19">
      <c r="A59" s="136"/>
      <c r="B59" s="52"/>
      <c r="C59" s="21">
        <f t="shared" si="13"/>
        <v>1</v>
      </c>
      <c r="D59" s="628"/>
      <c r="E59" s="21">
        <f t="shared" si="14"/>
        <v>1</v>
      </c>
      <c r="F59" s="628"/>
      <c r="G59" s="21">
        <f t="shared" si="15"/>
        <v>1</v>
      </c>
      <c r="H59" s="628"/>
      <c r="I59" s="21">
        <f t="shared" si="16"/>
        <v>1</v>
      </c>
      <c r="J59" s="628"/>
      <c r="K59" s="21">
        <f t="shared" si="17"/>
        <v>1</v>
      </c>
      <c r="L59" s="628"/>
      <c r="M59" s="21">
        <f t="shared" si="18"/>
        <v>1</v>
      </c>
      <c r="N59" s="628"/>
      <c r="O59" s="21">
        <f t="shared" si="19"/>
        <v>1</v>
      </c>
      <c r="P59" s="628"/>
      <c r="Q59" s="21">
        <f t="shared" si="20"/>
        <v>1</v>
      </c>
      <c r="R59" s="21">
        <f t="shared" si="21"/>
        <v>0</v>
      </c>
      <c r="S59" s="302">
        <f t="shared" si="23"/>
        <v>0</v>
      </c>
    </row>
    <row r="60" spans="1:19">
      <c r="A60" s="136"/>
      <c r="B60" s="52"/>
      <c r="C60" s="21">
        <f t="shared" si="13"/>
        <v>1</v>
      </c>
      <c r="D60" s="628"/>
      <c r="E60" s="21">
        <f t="shared" si="14"/>
        <v>1</v>
      </c>
      <c r="F60" s="628"/>
      <c r="G60" s="21">
        <f t="shared" si="15"/>
        <v>1</v>
      </c>
      <c r="H60" s="628"/>
      <c r="I60" s="21">
        <f t="shared" si="16"/>
        <v>1</v>
      </c>
      <c r="J60" s="628"/>
      <c r="K60" s="21">
        <f t="shared" si="17"/>
        <v>1</v>
      </c>
      <c r="L60" s="628"/>
      <c r="M60" s="21">
        <f t="shared" si="18"/>
        <v>1</v>
      </c>
      <c r="N60" s="628"/>
      <c r="O60" s="21">
        <f t="shared" si="19"/>
        <v>1</v>
      </c>
      <c r="P60" s="628"/>
      <c r="Q60" s="21">
        <f t="shared" si="20"/>
        <v>1</v>
      </c>
      <c r="R60" s="21">
        <f t="shared" si="21"/>
        <v>0</v>
      </c>
      <c r="S60" s="302">
        <f t="shared" si="23"/>
        <v>0</v>
      </c>
    </row>
    <row r="61" spans="1:19">
      <c r="A61" s="136"/>
      <c r="B61" s="52"/>
      <c r="C61" s="21">
        <f t="shared" si="13"/>
        <v>1</v>
      </c>
      <c r="D61" s="628"/>
      <c r="E61" s="21">
        <f t="shared" si="14"/>
        <v>1</v>
      </c>
      <c r="F61" s="628"/>
      <c r="G61" s="21">
        <f t="shared" si="15"/>
        <v>1</v>
      </c>
      <c r="H61" s="628"/>
      <c r="I61" s="21">
        <f t="shared" si="16"/>
        <v>1</v>
      </c>
      <c r="J61" s="628"/>
      <c r="K61" s="21">
        <f t="shared" si="17"/>
        <v>1</v>
      </c>
      <c r="L61" s="628"/>
      <c r="M61" s="21">
        <f t="shared" si="18"/>
        <v>1</v>
      </c>
      <c r="N61" s="628"/>
      <c r="O61" s="21">
        <f t="shared" si="19"/>
        <v>1</v>
      </c>
      <c r="P61" s="628"/>
      <c r="Q61" s="21">
        <f t="shared" si="20"/>
        <v>1</v>
      </c>
      <c r="R61" s="21">
        <f t="shared" si="21"/>
        <v>0</v>
      </c>
      <c r="S61" s="302">
        <f t="shared" si="23"/>
        <v>0</v>
      </c>
    </row>
    <row r="62" spans="1:19">
      <c r="A62" s="136"/>
      <c r="B62" s="52"/>
      <c r="C62" s="21">
        <f t="shared" si="13"/>
        <v>1</v>
      </c>
      <c r="D62" s="628"/>
      <c r="E62" s="21">
        <f t="shared" si="14"/>
        <v>1</v>
      </c>
      <c r="F62" s="628"/>
      <c r="G62" s="21">
        <f t="shared" si="15"/>
        <v>1</v>
      </c>
      <c r="H62" s="628"/>
      <c r="I62" s="21">
        <f t="shared" si="16"/>
        <v>1</v>
      </c>
      <c r="J62" s="628"/>
      <c r="K62" s="21">
        <f t="shared" si="17"/>
        <v>1</v>
      </c>
      <c r="L62" s="628"/>
      <c r="M62" s="21">
        <f t="shared" si="18"/>
        <v>1</v>
      </c>
      <c r="N62" s="628"/>
      <c r="O62" s="21">
        <f t="shared" si="19"/>
        <v>1</v>
      </c>
      <c r="P62" s="628"/>
      <c r="Q62" s="21">
        <f t="shared" si="20"/>
        <v>1</v>
      </c>
      <c r="R62" s="21">
        <f t="shared" si="21"/>
        <v>0</v>
      </c>
      <c r="S62" s="302">
        <f t="shared" si="23"/>
        <v>0</v>
      </c>
    </row>
    <row r="63" spans="1:19">
      <c r="A63" s="136"/>
      <c r="B63" s="52"/>
      <c r="C63" s="21">
        <f t="shared" si="13"/>
        <v>1</v>
      </c>
      <c r="D63" s="628"/>
      <c r="E63" s="21">
        <f t="shared" si="14"/>
        <v>1</v>
      </c>
      <c r="F63" s="628"/>
      <c r="G63" s="21">
        <f t="shared" si="15"/>
        <v>1</v>
      </c>
      <c r="H63" s="628"/>
      <c r="I63" s="21">
        <f t="shared" si="16"/>
        <v>1</v>
      </c>
      <c r="J63" s="628"/>
      <c r="K63" s="21">
        <f t="shared" si="17"/>
        <v>1</v>
      </c>
      <c r="L63" s="628"/>
      <c r="M63" s="21">
        <f t="shared" si="18"/>
        <v>1</v>
      </c>
      <c r="N63" s="628"/>
      <c r="O63" s="21">
        <f t="shared" si="19"/>
        <v>1</v>
      </c>
      <c r="P63" s="628"/>
      <c r="Q63" s="21">
        <f t="shared" si="20"/>
        <v>1</v>
      </c>
      <c r="R63" s="21">
        <f t="shared" si="21"/>
        <v>0</v>
      </c>
      <c r="S63" s="302">
        <f t="shared" si="23"/>
        <v>0</v>
      </c>
    </row>
    <row r="64" spans="1:19">
      <c r="A64" s="136"/>
      <c r="B64" s="52"/>
      <c r="C64" s="21">
        <f t="shared" si="13"/>
        <v>1</v>
      </c>
      <c r="D64" s="628"/>
      <c r="E64" s="21">
        <f t="shared" si="14"/>
        <v>1</v>
      </c>
      <c r="F64" s="628"/>
      <c r="G64" s="21">
        <f t="shared" si="15"/>
        <v>1</v>
      </c>
      <c r="H64" s="628"/>
      <c r="I64" s="21">
        <f t="shared" si="16"/>
        <v>1</v>
      </c>
      <c r="J64" s="628"/>
      <c r="K64" s="21">
        <f t="shared" si="17"/>
        <v>1</v>
      </c>
      <c r="L64" s="628"/>
      <c r="M64" s="21">
        <f t="shared" si="18"/>
        <v>1</v>
      </c>
      <c r="N64" s="628"/>
      <c r="O64" s="21">
        <f t="shared" si="19"/>
        <v>1</v>
      </c>
      <c r="P64" s="628"/>
      <c r="Q64" s="21">
        <f t="shared" si="20"/>
        <v>1</v>
      </c>
      <c r="R64" s="21">
        <f t="shared" si="21"/>
        <v>0</v>
      </c>
      <c r="S64" s="302">
        <f t="shared" si="23"/>
        <v>0</v>
      </c>
    </row>
    <row r="65" spans="1:19">
      <c r="A65" s="136"/>
      <c r="B65" s="52"/>
      <c r="C65" s="21">
        <f t="shared" si="13"/>
        <v>1</v>
      </c>
      <c r="D65" s="628"/>
      <c r="E65" s="21">
        <f t="shared" si="14"/>
        <v>1</v>
      </c>
      <c r="F65" s="628"/>
      <c r="G65" s="21">
        <f t="shared" si="15"/>
        <v>1</v>
      </c>
      <c r="H65" s="628"/>
      <c r="I65" s="21">
        <f t="shared" si="16"/>
        <v>1</v>
      </c>
      <c r="J65" s="628"/>
      <c r="K65" s="21">
        <f t="shared" si="17"/>
        <v>1</v>
      </c>
      <c r="L65" s="628"/>
      <c r="M65" s="21">
        <f t="shared" si="18"/>
        <v>1</v>
      </c>
      <c r="N65" s="628"/>
      <c r="O65" s="21">
        <f t="shared" si="19"/>
        <v>1</v>
      </c>
      <c r="P65" s="628"/>
      <c r="Q65" s="21">
        <f t="shared" si="20"/>
        <v>1</v>
      </c>
      <c r="R65" s="21">
        <f t="shared" si="21"/>
        <v>0</v>
      </c>
      <c r="S65" s="302">
        <f t="shared" si="23"/>
        <v>0</v>
      </c>
    </row>
    <row r="66" spans="1:19">
      <c r="A66" s="136"/>
      <c r="B66" s="52"/>
      <c r="C66" s="21">
        <f t="shared" si="13"/>
        <v>1</v>
      </c>
      <c r="D66" s="628"/>
      <c r="E66" s="21">
        <f t="shared" si="14"/>
        <v>1</v>
      </c>
      <c r="F66" s="628"/>
      <c r="G66" s="21">
        <f t="shared" si="15"/>
        <v>1</v>
      </c>
      <c r="H66" s="628"/>
      <c r="I66" s="21">
        <f t="shared" si="16"/>
        <v>1</v>
      </c>
      <c r="J66" s="628"/>
      <c r="K66" s="21">
        <f t="shared" si="17"/>
        <v>1</v>
      </c>
      <c r="L66" s="628"/>
      <c r="M66" s="21">
        <f t="shared" si="18"/>
        <v>1</v>
      </c>
      <c r="N66" s="628"/>
      <c r="O66" s="21">
        <f t="shared" si="19"/>
        <v>1</v>
      </c>
      <c r="P66" s="628"/>
      <c r="Q66" s="21">
        <f t="shared" si="20"/>
        <v>1</v>
      </c>
      <c r="R66" s="21">
        <f t="shared" si="21"/>
        <v>0</v>
      </c>
      <c r="S66" s="302">
        <f t="shared" si="23"/>
        <v>0</v>
      </c>
    </row>
    <row r="67" spans="1:19">
      <c r="A67" s="136"/>
      <c r="B67" s="52"/>
      <c r="C67" s="21">
        <f t="shared" si="13"/>
        <v>1</v>
      </c>
      <c r="D67" s="628"/>
      <c r="E67" s="21">
        <f t="shared" si="14"/>
        <v>1</v>
      </c>
      <c r="F67" s="628"/>
      <c r="G67" s="21">
        <f t="shared" si="15"/>
        <v>1</v>
      </c>
      <c r="H67" s="628"/>
      <c r="I67" s="21">
        <f t="shared" si="16"/>
        <v>1</v>
      </c>
      <c r="J67" s="628"/>
      <c r="K67" s="21">
        <f t="shared" si="17"/>
        <v>1</v>
      </c>
      <c r="L67" s="628"/>
      <c r="M67" s="21">
        <f t="shared" si="18"/>
        <v>1</v>
      </c>
      <c r="N67" s="628"/>
      <c r="O67" s="21">
        <f t="shared" si="19"/>
        <v>1</v>
      </c>
      <c r="P67" s="628"/>
      <c r="Q67" s="21">
        <f t="shared" si="20"/>
        <v>1</v>
      </c>
      <c r="R67" s="21">
        <f t="shared" si="21"/>
        <v>0</v>
      </c>
      <c r="S67" s="302">
        <f t="shared" si="23"/>
        <v>0</v>
      </c>
    </row>
    <row r="68" spans="1:19">
      <c r="A68" s="136"/>
      <c r="B68" s="52"/>
      <c r="C68" s="21">
        <f t="shared" si="13"/>
        <v>1</v>
      </c>
      <c r="D68" s="628"/>
      <c r="E68" s="21">
        <f t="shared" si="14"/>
        <v>1</v>
      </c>
      <c r="F68" s="628"/>
      <c r="G68" s="21">
        <f t="shared" si="15"/>
        <v>1</v>
      </c>
      <c r="H68" s="628"/>
      <c r="I68" s="21">
        <f t="shared" si="16"/>
        <v>1</v>
      </c>
      <c r="J68" s="628"/>
      <c r="K68" s="21">
        <f t="shared" si="17"/>
        <v>1</v>
      </c>
      <c r="L68" s="628"/>
      <c r="M68" s="21">
        <f t="shared" si="18"/>
        <v>1</v>
      </c>
      <c r="N68" s="628"/>
      <c r="O68" s="21">
        <f t="shared" si="19"/>
        <v>1</v>
      </c>
      <c r="P68" s="628"/>
      <c r="Q68" s="21">
        <f t="shared" si="20"/>
        <v>1</v>
      </c>
      <c r="R68" s="21">
        <f t="shared" si="21"/>
        <v>0</v>
      </c>
      <c r="S68" s="302">
        <f t="shared" si="23"/>
        <v>0</v>
      </c>
    </row>
    <row r="69" spans="1:19">
      <c r="A69" s="136"/>
      <c r="B69" s="52"/>
      <c r="C69" s="21">
        <f t="shared" si="13"/>
        <v>1</v>
      </c>
      <c r="D69" s="628"/>
      <c r="E69" s="21">
        <f t="shared" si="14"/>
        <v>1</v>
      </c>
      <c r="F69" s="628"/>
      <c r="G69" s="21">
        <f t="shared" si="15"/>
        <v>1</v>
      </c>
      <c r="H69" s="628"/>
      <c r="I69" s="21">
        <f t="shared" si="16"/>
        <v>1</v>
      </c>
      <c r="J69" s="628"/>
      <c r="K69" s="21">
        <f t="shared" si="17"/>
        <v>1</v>
      </c>
      <c r="L69" s="628"/>
      <c r="M69" s="21">
        <f t="shared" si="18"/>
        <v>1</v>
      </c>
      <c r="N69" s="628"/>
      <c r="O69" s="21">
        <f t="shared" si="19"/>
        <v>1</v>
      </c>
      <c r="P69" s="628"/>
      <c r="Q69" s="21">
        <f t="shared" si="20"/>
        <v>1</v>
      </c>
      <c r="R69" s="21">
        <f t="shared" si="21"/>
        <v>0</v>
      </c>
      <c r="S69" s="302">
        <f t="shared" si="23"/>
        <v>0</v>
      </c>
    </row>
    <row r="70" spans="1:19">
      <c r="A70" s="136"/>
      <c r="B70" s="52"/>
      <c r="C70" s="21">
        <f t="shared" si="13"/>
        <v>1</v>
      </c>
      <c r="D70" s="628"/>
      <c r="E70" s="21">
        <f t="shared" si="14"/>
        <v>1</v>
      </c>
      <c r="F70" s="628"/>
      <c r="G70" s="21">
        <f t="shared" si="15"/>
        <v>1</v>
      </c>
      <c r="H70" s="628"/>
      <c r="I70" s="21">
        <f t="shared" si="16"/>
        <v>1</v>
      </c>
      <c r="J70" s="628"/>
      <c r="K70" s="21">
        <f t="shared" si="17"/>
        <v>1</v>
      </c>
      <c r="L70" s="628"/>
      <c r="M70" s="21">
        <f t="shared" si="18"/>
        <v>1</v>
      </c>
      <c r="N70" s="628"/>
      <c r="O70" s="21">
        <f t="shared" si="19"/>
        <v>1</v>
      </c>
      <c r="P70" s="628"/>
      <c r="Q70" s="21">
        <f t="shared" si="20"/>
        <v>1</v>
      </c>
      <c r="R70" s="21">
        <f t="shared" si="21"/>
        <v>0</v>
      </c>
      <c r="S70" s="302">
        <f t="shared" si="23"/>
        <v>0</v>
      </c>
    </row>
    <row r="71" spans="1:19">
      <c r="A71" s="136"/>
      <c r="B71" s="52"/>
      <c r="C71" s="21">
        <f t="shared" si="13"/>
        <v>1</v>
      </c>
      <c r="D71" s="628"/>
      <c r="E71" s="21">
        <f t="shared" si="14"/>
        <v>1</v>
      </c>
      <c r="F71" s="628"/>
      <c r="G71" s="21">
        <f t="shared" si="15"/>
        <v>1</v>
      </c>
      <c r="H71" s="628"/>
      <c r="I71" s="21">
        <f t="shared" si="16"/>
        <v>1</v>
      </c>
      <c r="J71" s="628"/>
      <c r="K71" s="21">
        <f t="shared" si="17"/>
        <v>1</v>
      </c>
      <c r="L71" s="628"/>
      <c r="M71" s="21">
        <f t="shared" si="18"/>
        <v>1</v>
      </c>
      <c r="N71" s="628"/>
      <c r="O71" s="21">
        <f t="shared" si="19"/>
        <v>1</v>
      </c>
      <c r="P71" s="628"/>
      <c r="Q71" s="21">
        <f t="shared" si="20"/>
        <v>1</v>
      </c>
      <c r="R71" s="21">
        <f t="shared" si="21"/>
        <v>0</v>
      </c>
      <c r="S71" s="302">
        <f t="shared" si="23"/>
        <v>0</v>
      </c>
    </row>
    <row r="72" spans="1:19">
      <c r="A72" s="136"/>
      <c r="B72" s="52"/>
      <c r="C72" s="21">
        <f t="shared" si="13"/>
        <v>1</v>
      </c>
      <c r="D72" s="628"/>
      <c r="E72" s="21">
        <f t="shared" si="14"/>
        <v>1</v>
      </c>
      <c r="F72" s="628"/>
      <c r="G72" s="21">
        <f t="shared" si="15"/>
        <v>1</v>
      </c>
      <c r="H72" s="628"/>
      <c r="I72" s="21">
        <f t="shared" si="16"/>
        <v>1</v>
      </c>
      <c r="J72" s="628"/>
      <c r="K72" s="21">
        <f t="shared" si="17"/>
        <v>1</v>
      </c>
      <c r="L72" s="628"/>
      <c r="M72" s="21">
        <f t="shared" si="18"/>
        <v>1</v>
      </c>
      <c r="N72" s="628"/>
      <c r="O72" s="21">
        <f t="shared" si="19"/>
        <v>1</v>
      </c>
      <c r="P72" s="628"/>
      <c r="Q72" s="21">
        <f t="shared" si="20"/>
        <v>1</v>
      </c>
      <c r="R72" s="21">
        <f t="shared" si="21"/>
        <v>0</v>
      </c>
      <c r="S72" s="302">
        <f t="shared" si="23"/>
        <v>0</v>
      </c>
    </row>
    <row r="73" spans="1:19">
      <c r="A73" s="136"/>
      <c r="B73" s="52"/>
      <c r="C73" s="21">
        <f t="shared" si="13"/>
        <v>1</v>
      </c>
      <c r="D73" s="628"/>
      <c r="E73" s="21">
        <f t="shared" si="14"/>
        <v>1</v>
      </c>
      <c r="F73" s="628"/>
      <c r="G73" s="21">
        <f t="shared" si="15"/>
        <v>1</v>
      </c>
      <c r="H73" s="628"/>
      <c r="I73" s="21">
        <f t="shared" si="16"/>
        <v>1</v>
      </c>
      <c r="J73" s="628"/>
      <c r="K73" s="21">
        <f t="shared" si="17"/>
        <v>1</v>
      </c>
      <c r="L73" s="628"/>
      <c r="M73" s="21">
        <f t="shared" si="18"/>
        <v>1</v>
      </c>
      <c r="N73" s="628"/>
      <c r="O73" s="21">
        <f t="shared" si="19"/>
        <v>1</v>
      </c>
      <c r="P73" s="628"/>
      <c r="Q73" s="21">
        <f t="shared" si="20"/>
        <v>1</v>
      </c>
      <c r="R73" s="21">
        <f t="shared" si="21"/>
        <v>0</v>
      </c>
      <c r="S73" s="302">
        <f t="shared" si="23"/>
        <v>0</v>
      </c>
    </row>
    <row r="74" spans="1:19">
      <c r="A74" s="136"/>
      <c r="B74" s="52"/>
      <c r="C74" s="21">
        <f t="shared" si="13"/>
        <v>1</v>
      </c>
      <c r="D74" s="628"/>
      <c r="E74" s="21">
        <f t="shared" si="14"/>
        <v>1</v>
      </c>
      <c r="F74" s="628"/>
      <c r="G74" s="21">
        <f t="shared" si="15"/>
        <v>1</v>
      </c>
      <c r="H74" s="628"/>
      <c r="I74" s="21">
        <f t="shared" si="16"/>
        <v>1</v>
      </c>
      <c r="J74" s="628"/>
      <c r="K74" s="21">
        <f t="shared" si="17"/>
        <v>1</v>
      </c>
      <c r="L74" s="628"/>
      <c r="M74" s="21">
        <f t="shared" si="18"/>
        <v>1</v>
      </c>
      <c r="N74" s="628"/>
      <c r="O74" s="21">
        <f t="shared" si="19"/>
        <v>1</v>
      </c>
      <c r="P74" s="628"/>
      <c r="Q74" s="21">
        <f t="shared" si="20"/>
        <v>1</v>
      </c>
      <c r="R74" s="21">
        <f t="shared" si="21"/>
        <v>0</v>
      </c>
      <c r="S74" s="302">
        <f t="shared" si="23"/>
        <v>0</v>
      </c>
    </row>
    <row r="75" spans="1:19">
      <c r="A75" s="136"/>
      <c r="B75" s="52"/>
      <c r="C75" s="21">
        <f t="shared" si="13"/>
        <v>1</v>
      </c>
      <c r="D75" s="628"/>
      <c r="E75" s="21">
        <f t="shared" si="14"/>
        <v>1</v>
      </c>
      <c r="F75" s="628"/>
      <c r="G75" s="21">
        <f t="shared" si="15"/>
        <v>1</v>
      </c>
      <c r="H75" s="628"/>
      <c r="I75" s="21">
        <f t="shared" si="16"/>
        <v>1</v>
      </c>
      <c r="J75" s="628"/>
      <c r="K75" s="21">
        <f t="shared" si="17"/>
        <v>1</v>
      </c>
      <c r="L75" s="628"/>
      <c r="M75" s="21">
        <f t="shared" si="18"/>
        <v>1</v>
      </c>
      <c r="N75" s="628"/>
      <c r="O75" s="21">
        <f t="shared" si="19"/>
        <v>1</v>
      </c>
      <c r="P75" s="628"/>
      <c r="Q75" s="21">
        <f t="shared" si="20"/>
        <v>1</v>
      </c>
      <c r="R75" s="21">
        <f t="shared" si="21"/>
        <v>0</v>
      </c>
      <c r="S75" s="302">
        <f t="shared" si="23"/>
        <v>0</v>
      </c>
    </row>
    <row r="76" spans="1:19">
      <c r="A76" s="136"/>
      <c r="B76" s="52"/>
      <c r="C76" s="21">
        <f t="shared" si="13"/>
        <v>1</v>
      </c>
      <c r="D76" s="628"/>
      <c r="E76" s="21">
        <f t="shared" si="14"/>
        <v>1</v>
      </c>
      <c r="F76" s="628"/>
      <c r="G76" s="21">
        <f t="shared" si="15"/>
        <v>1</v>
      </c>
      <c r="H76" s="628"/>
      <c r="I76" s="21">
        <f t="shared" si="16"/>
        <v>1</v>
      </c>
      <c r="J76" s="628"/>
      <c r="K76" s="21">
        <f t="shared" si="17"/>
        <v>1</v>
      </c>
      <c r="L76" s="628"/>
      <c r="M76" s="21">
        <f t="shared" si="18"/>
        <v>1</v>
      </c>
      <c r="N76" s="628"/>
      <c r="O76" s="21">
        <f t="shared" si="19"/>
        <v>1</v>
      </c>
      <c r="P76" s="628"/>
      <c r="Q76" s="21">
        <f t="shared" si="20"/>
        <v>1</v>
      </c>
      <c r="R76" s="21">
        <f t="shared" si="21"/>
        <v>0</v>
      </c>
      <c r="S76" s="302">
        <f t="shared" si="23"/>
        <v>0</v>
      </c>
    </row>
    <row r="77" spans="1:19">
      <c r="A77" s="136"/>
      <c r="B77" s="52"/>
      <c r="C77" s="21">
        <f t="shared" si="13"/>
        <v>1</v>
      </c>
      <c r="D77" s="628"/>
      <c r="E77" s="21">
        <f t="shared" si="14"/>
        <v>1</v>
      </c>
      <c r="F77" s="628"/>
      <c r="G77" s="21">
        <f t="shared" si="15"/>
        <v>1</v>
      </c>
      <c r="H77" s="628"/>
      <c r="I77" s="21">
        <f t="shared" si="16"/>
        <v>1</v>
      </c>
      <c r="J77" s="628"/>
      <c r="K77" s="21">
        <f t="shared" si="17"/>
        <v>1</v>
      </c>
      <c r="L77" s="628"/>
      <c r="M77" s="21">
        <f t="shared" si="18"/>
        <v>1</v>
      </c>
      <c r="N77" s="628"/>
      <c r="O77" s="21">
        <f t="shared" si="19"/>
        <v>1</v>
      </c>
      <c r="P77" s="628"/>
      <c r="Q77" s="21">
        <f t="shared" si="20"/>
        <v>1</v>
      </c>
      <c r="R77" s="21">
        <f t="shared" si="21"/>
        <v>0</v>
      </c>
      <c r="S77" s="302">
        <f t="shared" si="23"/>
        <v>0</v>
      </c>
    </row>
    <row r="78" spans="1:19">
      <c r="A78" s="136"/>
      <c r="B78" s="52"/>
      <c r="C78" s="21">
        <f t="shared" si="13"/>
        <v>1</v>
      </c>
      <c r="D78" s="628"/>
      <c r="E78" s="21">
        <f t="shared" si="14"/>
        <v>1</v>
      </c>
      <c r="F78" s="628"/>
      <c r="G78" s="21">
        <f t="shared" si="15"/>
        <v>1</v>
      </c>
      <c r="H78" s="628"/>
      <c r="I78" s="21">
        <f t="shared" si="16"/>
        <v>1</v>
      </c>
      <c r="J78" s="628"/>
      <c r="K78" s="21">
        <f t="shared" si="17"/>
        <v>1</v>
      </c>
      <c r="L78" s="628"/>
      <c r="M78" s="21">
        <f t="shared" si="18"/>
        <v>1</v>
      </c>
      <c r="N78" s="628"/>
      <c r="O78" s="21">
        <f t="shared" si="19"/>
        <v>1</v>
      </c>
      <c r="P78" s="628"/>
      <c r="Q78" s="21">
        <f t="shared" si="20"/>
        <v>1</v>
      </c>
      <c r="R78" s="21">
        <f t="shared" si="21"/>
        <v>0</v>
      </c>
      <c r="S78" s="302">
        <f t="shared" ref="S78:S122" si="24">ROUND(R78*B78/10000,0)</f>
        <v>0</v>
      </c>
    </row>
    <row r="79" spans="1:19">
      <c r="A79" s="136"/>
      <c r="B79" s="52"/>
      <c r="C79" s="21">
        <f t="shared" si="13"/>
        <v>1</v>
      </c>
      <c r="D79" s="628"/>
      <c r="E79" s="21">
        <f t="shared" si="14"/>
        <v>1</v>
      </c>
      <c r="F79" s="628"/>
      <c r="G79" s="21">
        <f t="shared" si="15"/>
        <v>1</v>
      </c>
      <c r="H79" s="628"/>
      <c r="I79" s="21">
        <f t="shared" si="16"/>
        <v>1</v>
      </c>
      <c r="J79" s="628"/>
      <c r="K79" s="21">
        <f t="shared" si="17"/>
        <v>1</v>
      </c>
      <c r="L79" s="628"/>
      <c r="M79" s="21">
        <f t="shared" si="18"/>
        <v>1</v>
      </c>
      <c r="N79" s="628"/>
      <c r="O79" s="21">
        <f t="shared" si="19"/>
        <v>1</v>
      </c>
      <c r="P79" s="628"/>
      <c r="Q79" s="21">
        <f t="shared" si="20"/>
        <v>1</v>
      </c>
      <c r="R79" s="21">
        <f t="shared" si="21"/>
        <v>0</v>
      </c>
      <c r="S79" s="302">
        <f t="shared" si="24"/>
        <v>0</v>
      </c>
    </row>
    <row r="80" spans="1:19">
      <c r="A80" s="136"/>
      <c r="B80" s="52"/>
      <c r="C80" s="21">
        <f t="shared" si="13"/>
        <v>1</v>
      </c>
      <c r="D80" s="628"/>
      <c r="E80" s="21">
        <f t="shared" si="14"/>
        <v>1</v>
      </c>
      <c r="F80" s="628"/>
      <c r="G80" s="21">
        <f t="shared" si="15"/>
        <v>1</v>
      </c>
      <c r="H80" s="628"/>
      <c r="I80" s="21">
        <f t="shared" si="16"/>
        <v>1</v>
      </c>
      <c r="J80" s="628"/>
      <c r="K80" s="21">
        <f t="shared" si="17"/>
        <v>1</v>
      </c>
      <c r="L80" s="628"/>
      <c r="M80" s="21">
        <f t="shared" si="18"/>
        <v>1</v>
      </c>
      <c r="N80" s="628"/>
      <c r="O80" s="21">
        <f t="shared" si="19"/>
        <v>1</v>
      </c>
      <c r="P80" s="628"/>
      <c r="Q80" s="21">
        <f t="shared" si="20"/>
        <v>1</v>
      </c>
      <c r="R80" s="21">
        <f t="shared" si="21"/>
        <v>0</v>
      </c>
      <c r="S80" s="302">
        <f t="shared" si="24"/>
        <v>0</v>
      </c>
    </row>
    <row r="81" spans="1:19">
      <c r="A81" s="136"/>
      <c r="B81" s="52"/>
      <c r="C81" s="21">
        <f t="shared" si="13"/>
        <v>1</v>
      </c>
      <c r="D81" s="628"/>
      <c r="E81" s="21">
        <f t="shared" si="14"/>
        <v>1</v>
      </c>
      <c r="F81" s="628"/>
      <c r="G81" s="21">
        <f t="shared" si="15"/>
        <v>1</v>
      </c>
      <c r="H81" s="628"/>
      <c r="I81" s="21">
        <f t="shared" si="16"/>
        <v>1</v>
      </c>
      <c r="J81" s="628"/>
      <c r="K81" s="21">
        <f t="shared" si="17"/>
        <v>1</v>
      </c>
      <c r="L81" s="628"/>
      <c r="M81" s="21">
        <f t="shared" si="18"/>
        <v>1</v>
      </c>
      <c r="N81" s="628"/>
      <c r="O81" s="21">
        <f t="shared" si="19"/>
        <v>1</v>
      </c>
      <c r="P81" s="628"/>
      <c r="Q81" s="21">
        <f t="shared" si="20"/>
        <v>1</v>
      </c>
      <c r="R81" s="21">
        <f t="shared" si="21"/>
        <v>0</v>
      </c>
      <c r="S81" s="302">
        <f t="shared" si="24"/>
        <v>0</v>
      </c>
    </row>
    <row r="82" spans="1:19">
      <c r="A82" s="136"/>
      <c r="B82" s="52"/>
      <c r="C82" s="21">
        <f t="shared" si="13"/>
        <v>1</v>
      </c>
      <c r="D82" s="628"/>
      <c r="E82" s="21">
        <f t="shared" si="14"/>
        <v>1</v>
      </c>
      <c r="F82" s="628"/>
      <c r="G82" s="21">
        <f t="shared" si="15"/>
        <v>1</v>
      </c>
      <c r="H82" s="628"/>
      <c r="I82" s="21">
        <f t="shared" si="16"/>
        <v>1</v>
      </c>
      <c r="J82" s="628"/>
      <c r="K82" s="21">
        <f t="shared" si="17"/>
        <v>1</v>
      </c>
      <c r="L82" s="628"/>
      <c r="M82" s="21">
        <f t="shared" si="18"/>
        <v>1</v>
      </c>
      <c r="N82" s="628"/>
      <c r="O82" s="21">
        <f t="shared" si="19"/>
        <v>1</v>
      </c>
      <c r="P82" s="628"/>
      <c r="Q82" s="21">
        <f t="shared" si="20"/>
        <v>1</v>
      </c>
      <c r="R82" s="21">
        <f t="shared" si="21"/>
        <v>0</v>
      </c>
      <c r="S82" s="302">
        <f t="shared" si="24"/>
        <v>0</v>
      </c>
    </row>
    <row r="83" spans="1:19">
      <c r="A83" s="136"/>
      <c r="B83" s="52"/>
      <c r="C83" s="21">
        <f t="shared" si="13"/>
        <v>1</v>
      </c>
      <c r="D83" s="628"/>
      <c r="E83" s="21">
        <f t="shared" si="14"/>
        <v>1</v>
      </c>
      <c r="F83" s="628"/>
      <c r="G83" s="21">
        <f t="shared" si="15"/>
        <v>1</v>
      </c>
      <c r="H83" s="628"/>
      <c r="I83" s="21">
        <f t="shared" si="16"/>
        <v>1</v>
      </c>
      <c r="J83" s="628"/>
      <c r="K83" s="21">
        <f t="shared" si="17"/>
        <v>1</v>
      </c>
      <c r="L83" s="628"/>
      <c r="M83" s="21">
        <f t="shared" si="18"/>
        <v>1</v>
      </c>
      <c r="N83" s="628"/>
      <c r="O83" s="21">
        <f t="shared" si="19"/>
        <v>1</v>
      </c>
      <c r="P83" s="628"/>
      <c r="Q83" s="21">
        <f t="shared" si="20"/>
        <v>1</v>
      </c>
      <c r="R83" s="21">
        <f t="shared" si="21"/>
        <v>0</v>
      </c>
      <c r="S83" s="302">
        <f t="shared" si="24"/>
        <v>0</v>
      </c>
    </row>
    <row r="84" spans="1:19">
      <c r="A84" s="136"/>
      <c r="B84" s="52"/>
      <c r="C84" s="21">
        <f t="shared" si="13"/>
        <v>1</v>
      </c>
      <c r="D84" s="628"/>
      <c r="E84" s="21">
        <f t="shared" si="14"/>
        <v>1</v>
      </c>
      <c r="F84" s="628"/>
      <c r="G84" s="21">
        <f t="shared" si="15"/>
        <v>1</v>
      </c>
      <c r="H84" s="628"/>
      <c r="I84" s="21">
        <f t="shared" si="16"/>
        <v>1</v>
      </c>
      <c r="J84" s="628"/>
      <c r="K84" s="21">
        <f t="shared" si="17"/>
        <v>1</v>
      </c>
      <c r="L84" s="628"/>
      <c r="M84" s="21">
        <f t="shared" si="18"/>
        <v>1</v>
      </c>
      <c r="N84" s="628"/>
      <c r="O84" s="21">
        <f t="shared" si="19"/>
        <v>1</v>
      </c>
      <c r="P84" s="628"/>
      <c r="Q84" s="21">
        <f t="shared" si="20"/>
        <v>1</v>
      </c>
      <c r="R84" s="21">
        <f t="shared" si="21"/>
        <v>0</v>
      </c>
      <c r="S84" s="302">
        <f t="shared" si="24"/>
        <v>0</v>
      </c>
    </row>
    <row r="85" spans="1:19">
      <c r="A85" s="136"/>
      <c r="B85" s="52"/>
      <c r="C85" s="21">
        <f t="shared" si="13"/>
        <v>1</v>
      </c>
      <c r="D85" s="628"/>
      <c r="E85" s="21">
        <f t="shared" si="14"/>
        <v>1</v>
      </c>
      <c r="F85" s="628"/>
      <c r="G85" s="21">
        <f t="shared" si="15"/>
        <v>1</v>
      </c>
      <c r="H85" s="628"/>
      <c r="I85" s="21">
        <f t="shared" si="16"/>
        <v>1</v>
      </c>
      <c r="J85" s="628"/>
      <c r="K85" s="21">
        <f t="shared" si="17"/>
        <v>1</v>
      </c>
      <c r="L85" s="628"/>
      <c r="M85" s="21">
        <f t="shared" si="18"/>
        <v>1</v>
      </c>
      <c r="N85" s="628"/>
      <c r="O85" s="21">
        <f t="shared" si="19"/>
        <v>1</v>
      </c>
      <c r="P85" s="628"/>
      <c r="Q85" s="21">
        <f t="shared" si="20"/>
        <v>1</v>
      </c>
      <c r="R85" s="21">
        <f t="shared" si="21"/>
        <v>0</v>
      </c>
      <c r="S85" s="302">
        <f t="shared" si="24"/>
        <v>0</v>
      </c>
    </row>
    <row r="86" spans="1:19">
      <c r="A86" s="136"/>
      <c r="B86" s="52"/>
      <c r="C86" s="21">
        <f t="shared" si="13"/>
        <v>1</v>
      </c>
      <c r="D86" s="628"/>
      <c r="E86" s="21">
        <f t="shared" si="14"/>
        <v>1</v>
      </c>
      <c r="F86" s="628"/>
      <c r="G86" s="21">
        <f t="shared" si="15"/>
        <v>1</v>
      </c>
      <c r="H86" s="628"/>
      <c r="I86" s="21">
        <f t="shared" si="16"/>
        <v>1</v>
      </c>
      <c r="J86" s="628"/>
      <c r="K86" s="21">
        <f t="shared" si="17"/>
        <v>1</v>
      </c>
      <c r="L86" s="628"/>
      <c r="M86" s="21">
        <f t="shared" si="18"/>
        <v>1</v>
      </c>
      <c r="N86" s="628"/>
      <c r="O86" s="21">
        <f t="shared" si="19"/>
        <v>1</v>
      </c>
      <c r="P86" s="628"/>
      <c r="Q86" s="21">
        <f t="shared" si="20"/>
        <v>1</v>
      </c>
      <c r="R86" s="21">
        <f t="shared" si="21"/>
        <v>0</v>
      </c>
      <c r="S86" s="302">
        <f t="shared" si="24"/>
        <v>0</v>
      </c>
    </row>
    <row r="87" spans="1:19">
      <c r="A87" s="136"/>
      <c r="B87" s="52"/>
      <c r="C87" s="21">
        <f t="shared" si="13"/>
        <v>1</v>
      </c>
      <c r="D87" s="628"/>
      <c r="E87" s="21">
        <f t="shared" si="14"/>
        <v>1</v>
      </c>
      <c r="F87" s="628"/>
      <c r="G87" s="21">
        <f t="shared" si="15"/>
        <v>1</v>
      </c>
      <c r="H87" s="628"/>
      <c r="I87" s="21">
        <f t="shared" si="16"/>
        <v>1</v>
      </c>
      <c r="J87" s="628"/>
      <c r="K87" s="21">
        <f t="shared" si="17"/>
        <v>1</v>
      </c>
      <c r="L87" s="628"/>
      <c r="M87" s="21">
        <f t="shared" si="18"/>
        <v>1</v>
      </c>
      <c r="N87" s="628"/>
      <c r="O87" s="21">
        <f t="shared" si="19"/>
        <v>1</v>
      </c>
      <c r="P87" s="628"/>
      <c r="Q87" s="21">
        <f t="shared" si="20"/>
        <v>1</v>
      </c>
      <c r="R87" s="21">
        <f t="shared" si="21"/>
        <v>0</v>
      </c>
      <c r="S87" s="302">
        <f t="shared" si="24"/>
        <v>0</v>
      </c>
    </row>
    <row r="88" spans="1:19">
      <c r="A88" s="136"/>
      <c r="B88" s="52"/>
      <c r="C88" s="21">
        <f t="shared" si="13"/>
        <v>1</v>
      </c>
      <c r="D88" s="628"/>
      <c r="E88" s="21">
        <f t="shared" si="14"/>
        <v>1</v>
      </c>
      <c r="F88" s="628"/>
      <c r="G88" s="21">
        <f t="shared" si="15"/>
        <v>1</v>
      </c>
      <c r="H88" s="628"/>
      <c r="I88" s="21">
        <f t="shared" si="16"/>
        <v>1</v>
      </c>
      <c r="J88" s="628"/>
      <c r="K88" s="21">
        <f t="shared" si="17"/>
        <v>1</v>
      </c>
      <c r="L88" s="628"/>
      <c r="M88" s="21">
        <f t="shared" si="18"/>
        <v>1</v>
      </c>
      <c r="N88" s="628"/>
      <c r="O88" s="21">
        <f t="shared" si="19"/>
        <v>1</v>
      </c>
      <c r="P88" s="628"/>
      <c r="Q88" s="21">
        <f t="shared" si="20"/>
        <v>1</v>
      </c>
      <c r="R88" s="21">
        <f t="shared" si="21"/>
        <v>0</v>
      </c>
      <c r="S88" s="302">
        <f t="shared" si="24"/>
        <v>0</v>
      </c>
    </row>
    <row r="89" spans="1:19">
      <c r="A89" s="136"/>
      <c r="B89" s="52"/>
      <c r="C89" s="21">
        <f t="shared" si="13"/>
        <v>1</v>
      </c>
      <c r="D89" s="628"/>
      <c r="E89" s="21">
        <f t="shared" si="14"/>
        <v>1</v>
      </c>
      <c r="F89" s="628"/>
      <c r="G89" s="21">
        <f t="shared" si="15"/>
        <v>1</v>
      </c>
      <c r="H89" s="628"/>
      <c r="I89" s="21">
        <f t="shared" si="16"/>
        <v>1</v>
      </c>
      <c r="J89" s="628"/>
      <c r="K89" s="21">
        <f t="shared" si="17"/>
        <v>1</v>
      </c>
      <c r="L89" s="628"/>
      <c r="M89" s="21">
        <f t="shared" si="18"/>
        <v>1</v>
      </c>
      <c r="N89" s="628"/>
      <c r="O89" s="21">
        <f t="shared" si="19"/>
        <v>1</v>
      </c>
      <c r="P89" s="628"/>
      <c r="Q89" s="21">
        <f t="shared" si="20"/>
        <v>1</v>
      </c>
      <c r="R89" s="21">
        <f t="shared" si="21"/>
        <v>0</v>
      </c>
      <c r="S89" s="302">
        <f t="shared" si="24"/>
        <v>0</v>
      </c>
    </row>
    <row r="90" spans="1:19">
      <c r="A90" s="136"/>
      <c r="B90" s="52"/>
      <c r="C90" s="21">
        <f t="shared" ref="C90:C153" si="25">IF(B90="",1,(LOOKUP(B90,$3:$3,$4:$4)-LOOKUP($B$24,$3:$3,$4:$4)+100)/100)</f>
        <v>1</v>
      </c>
      <c r="D90" s="628"/>
      <c r="E90" s="21">
        <f t="shared" ref="E90:E153" si="26">(SUMIF($5:$5,D90,$6:$6)-SUMIF($5:$5,$D$24,$6:$6)+100)/100</f>
        <v>1</v>
      </c>
      <c r="F90" s="628"/>
      <c r="G90" s="21">
        <f t="shared" ref="G90:G153" si="27">(SUMIF($7:$7,F90,$8:$8)-SUMIF($7:$7,$F$24,$8:$8)+100)/100</f>
        <v>1</v>
      </c>
      <c r="H90" s="628"/>
      <c r="I90" s="21">
        <f t="shared" ref="I90:I153" si="28">(SUMIF($9:$9,H90,$10:$10)-SUMIF($9:$9,$H$24,$10:$10)+100)/100</f>
        <v>1</v>
      </c>
      <c r="J90" s="628"/>
      <c r="K90" s="21">
        <f t="shared" ref="K90:K153" si="29">(SUMIF($11:$11,J90,$12:$12)-SUMIF($11:$11,$J$24,$12:$12)+100)/100</f>
        <v>1</v>
      </c>
      <c r="L90" s="628"/>
      <c r="M90" s="21">
        <f t="shared" ref="M90:M153" si="30">(SUMIF($13:$13,L90,$14:$14)-SUMIF($13:$13,$L$24,$14:$14)+100)/100</f>
        <v>1</v>
      </c>
      <c r="N90" s="628"/>
      <c r="O90" s="21">
        <f t="shared" ref="O90:O153" si="31">(SUMIF($15:$15,N90,$16:$16)-SUMIF($15:$15,$N$24,$16:$16)+100)/100</f>
        <v>1</v>
      </c>
      <c r="P90" s="628"/>
      <c r="Q90" s="21">
        <f t="shared" ref="Q90:Q153" si="32">(SUMIF($17:$17,P90,$18:$18)-SUMIF($17:$17,$P$24,$18:$18)+100)/100</f>
        <v>1</v>
      </c>
      <c r="R90" s="21">
        <f t="shared" ref="R90:R153" si="33">IF(B90="",0,ROUND($R$24*C90*E90*G90*I90*K90*M90*O90*Q90,0))</f>
        <v>0</v>
      </c>
      <c r="S90" s="302">
        <f t="shared" si="24"/>
        <v>0</v>
      </c>
    </row>
    <row r="91" spans="1:19">
      <c r="A91" s="136"/>
      <c r="B91" s="52"/>
      <c r="C91" s="21">
        <f t="shared" si="25"/>
        <v>1</v>
      </c>
      <c r="D91" s="628"/>
      <c r="E91" s="21">
        <f t="shared" si="26"/>
        <v>1</v>
      </c>
      <c r="F91" s="628"/>
      <c r="G91" s="21">
        <f t="shared" si="27"/>
        <v>1</v>
      </c>
      <c r="H91" s="628"/>
      <c r="I91" s="21">
        <f t="shared" si="28"/>
        <v>1</v>
      </c>
      <c r="J91" s="628"/>
      <c r="K91" s="21">
        <f t="shared" si="29"/>
        <v>1</v>
      </c>
      <c r="L91" s="628"/>
      <c r="M91" s="21">
        <f t="shared" si="30"/>
        <v>1</v>
      </c>
      <c r="N91" s="628"/>
      <c r="O91" s="21">
        <f t="shared" si="31"/>
        <v>1</v>
      </c>
      <c r="P91" s="628"/>
      <c r="Q91" s="21">
        <f t="shared" si="32"/>
        <v>1</v>
      </c>
      <c r="R91" s="21">
        <f t="shared" si="33"/>
        <v>0</v>
      </c>
      <c r="S91" s="302">
        <f t="shared" si="24"/>
        <v>0</v>
      </c>
    </row>
    <row r="92" spans="1:19">
      <c r="A92" s="136"/>
      <c r="B92" s="52"/>
      <c r="C92" s="21">
        <f t="shared" si="25"/>
        <v>1</v>
      </c>
      <c r="D92" s="628"/>
      <c r="E92" s="21">
        <f t="shared" si="26"/>
        <v>1</v>
      </c>
      <c r="F92" s="628"/>
      <c r="G92" s="21">
        <f t="shared" si="27"/>
        <v>1</v>
      </c>
      <c r="H92" s="628"/>
      <c r="I92" s="21">
        <f t="shared" si="28"/>
        <v>1</v>
      </c>
      <c r="J92" s="628"/>
      <c r="K92" s="21">
        <f t="shared" si="29"/>
        <v>1</v>
      </c>
      <c r="L92" s="628"/>
      <c r="M92" s="21">
        <f t="shared" si="30"/>
        <v>1</v>
      </c>
      <c r="N92" s="628"/>
      <c r="O92" s="21">
        <f t="shared" si="31"/>
        <v>1</v>
      </c>
      <c r="P92" s="628"/>
      <c r="Q92" s="21">
        <f t="shared" si="32"/>
        <v>1</v>
      </c>
      <c r="R92" s="21">
        <f t="shared" si="33"/>
        <v>0</v>
      </c>
      <c r="S92" s="302">
        <f t="shared" si="24"/>
        <v>0</v>
      </c>
    </row>
    <row r="93" spans="1:19">
      <c r="A93" s="136"/>
      <c r="B93" s="52"/>
      <c r="C93" s="21">
        <f t="shared" si="25"/>
        <v>1</v>
      </c>
      <c r="D93" s="628"/>
      <c r="E93" s="21">
        <f t="shared" si="26"/>
        <v>1</v>
      </c>
      <c r="F93" s="628"/>
      <c r="G93" s="21">
        <f t="shared" si="27"/>
        <v>1</v>
      </c>
      <c r="H93" s="628"/>
      <c r="I93" s="21">
        <f t="shared" si="28"/>
        <v>1</v>
      </c>
      <c r="J93" s="628"/>
      <c r="K93" s="21">
        <f t="shared" si="29"/>
        <v>1</v>
      </c>
      <c r="L93" s="628"/>
      <c r="M93" s="21">
        <f t="shared" si="30"/>
        <v>1</v>
      </c>
      <c r="N93" s="628"/>
      <c r="O93" s="21">
        <f t="shared" si="31"/>
        <v>1</v>
      </c>
      <c r="P93" s="628"/>
      <c r="Q93" s="21">
        <f t="shared" si="32"/>
        <v>1</v>
      </c>
      <c r="R93" s="21">
        <f t="shared" si="33"/>
        <v>0</v>
      </c>
      <c r="S93" s="302">
        <f t="shared" si="24"/>
        <v>0</v>
      </c>
    </row>
    <row r="94" spans="1:19">
      <c r="A94" s="136"/>
      <c r="B94" s="52"/>
      <c r="C94" s="21">
        <f t="shared" si="25"/>
        <v>1</v>
      </c>
      <c r="D94" s="628"/>
      <c r="E94" s="21">
        <f t="shared" si="26"/>
        <v>1</v>
      </c>
      <c r="F94" s="628"/>
      <c r="G94" s="21">
        <f t="shared" si="27"/>
        <v>1</v>
      </c>
      <c r="H94" s="628"/>
      <c r="I94" s="21">
        <f t="shared" si="28"/>
        <v>1</v>
      </c>
      <c r="J94" s="628"/>
      <c r="K94" s="21">
        <f t="shared" si="29"/>
        <v>1</v>
      </c>
      <c r="L94" s="628"/>
      <c r="M94" s="21">
        <f t="shared" si="30"/>
        <v>1</v>
      </c>
      <c r="N94" s="628"/>
      <c r="O94" s="21">
        <f t="shared" si="31"/>
        <v>1</v>
      </c>
      <c r="P94" s="628"/>
      <c r="Q94" s="21">
        <f t="shared" si="32"/>
        <v>1</v>
      </c>
      <c r="R94" s="21">
        <f t="shared" si="33"/>
        <v>0</v>
      </c>
      <c r="S94" s="302">
        <f t="shared" si="24"/>
        <v>0</v>
      </c>
    </row>
    <row r="95" spans="1:19">
      <c r="A95" s="136"/>
      <c r="B95" s="52"/>
      <c r="C95" s="21">
        <f t="shared" si="25"/>
        <v>1</v>
      </c>
      <c r="D95" s="628"/>
      <c r="E95" s="21">
        <f t="shared" si="26"/>
        <v>1</v>
      </c>
      <c r="F95" s="628"/>
      <c r="G95" s="21">
        <f t="shared" si="27"/>
        <v>1</v>
      </c>
      <c r="H95" s="628"/>
      <c r="I95" s="21">
        <f t="shared" si="28"/>
        <v>1</v>
      </c>
      <c r="J95" s="628"/>
      <c r="K95" s="21">
        <f t="shared" si="29"/>
        <v>1</v>
      </c>
      <c r="L95" s="628"/>
      <c r="M95" s="21">
        <f t="shared" si="30"/>
        <v>1</v>
      </c>
      <c r="N95" s="628"/>
      <c r="O95" s="21">
        <f t="shared" si="31"/>
        <v>1</v>
      </c>
      <c r="P95" s="628"/>
      <c r="Q95" s="21">
        <f t="shared" si="32"/>
        <v>1</v>
      </c>
      <c r="R95" s="21">
        <f t="shared" si="33"/>
        <v>0</v>
      </c>
      <c r="S95" s="302">
        <f t="shared" si="24"/>
        <v>0</v>
      </c>
    </row>
    <row r="96" spans="1:19">
      <c r="A96" s="136"/>
      <c r="B96" s="52"/>
      <c r="C96" s="21">
        <f t="shared" si="25"/>
        <v>1</v>
      </c>
      <c r="D96" s="628"/>
      <c r="E96" s="21">
        <f t="shared" si="26"/>
        <v>1</v>
      </c>
      <c r="F96" s="628"/>
      <c r="G96" s="21">
        <f t="shared" si="27"/>
        <v>1</v>
      </c>
      <c r="H96" s="628"/>
      <c r="I96" s="21">
        <f t="shared" si="28"/>
        <v>1</v>
      </c>
      <c r="J96" s="628"/>
      <c r="K96" s="21">
        <f t="shared" si="29"/>
        <v>1</v>
      </c>
      <c r="L96" s="628"/>
      <c r="M96" s="21">
        <f t="shared" si="30"/>
        <v>1</v>
      </c>
      <c r="N96" s="628"/>
      <c r="O96" s="21">
        <f t="shared" si="31"/>
        <v>1</v>
      </c>
      <c r="P96" s="628"/>
      <c r="Q96" s="21">
        <f t="shared" si="32"/>
        <v>1</v>
      </c>
      <c r="R96" s="21">
        <f t="shared" si="33"/>
        <v>0</v>
      </c>
      <c r="S96" s="302">
        <f t="shared" si="24"/>
        <v>0</v>
      </c>
    </row>
    <row r="97" spans="1:19">
      <c r="A97" s="136"/>
      <c r="B97" s="52"/>
      <c r="C97" s="21">
        <f t="shared" si="25"/>
        <v>1</v>
      </c>
      <c r="D97" s="628"/>
      <c r="E97" s="21">
        <f t="shared" si="26"/>
        <v>1</v>
      </c>
      <c r="F97" s="628"/>
      <c r="G97" s="21">
        <f t="shared" si="27"/>
        <v>1</v>
      </c>
      <c r="H97" s="628"/>
      <c r="I97" s="21">
        <f t="shared" si="28"/>
        <v>1</v>
      </c>
      <c r="J97" s="628"/>
      <c r="K97" s="21">
        <f t="shared" si="29"/>
        <v>1</v>
      </c>
      <c r="L97" s="628"/>
      <c r="M97" s="21">
        <f t="shared" si="30"/>
        <v>1</v>
      </c>
      <c r="N97" s="628"/>
      <c r="O97" s="21">
        <f t="shared" si="31"/>
        <v>1</v>
      </c>
      <c r="P97" s="628"/>
      <c r="Q97" s="21">
        <f t="shared" si="32"/>
        <v>1</v>
      </c>
      <c r="R97" s="21">
        <f t="shared" si="33"/>
        <v>0</v>
      </c>
      <c r="S97" s="302">
        <f t="shared" si="24"/>
        <v>0</v>
      </c>
    </row>
    <row r="98" spans="1:19">
      <c r="A98" s="136"/>
      <c r="B98" s="52"/>
      <c r="C98" s="21">
        <f t="shared" si="25"/>
        <v>1</v>
      </c>
      <c r="D98" s="628"/>
      <c r="E98" s="21">
        <f t="shared" si="26"/>
        <v>1</v>
      </c>
      <c r="F98" s="628"/>
      <c r="G98" s="21">
        <f t="shared" si="27"/>
        <v>1</v>
      </c>
      <c r="H98" s="628"/>
      <c r="I98" s="21">
        <f t="shared" si="28"/>
        <v>1</v>
      </c>
      <c r="J98" s="628"/>
      <c r="K98" s="21">
        <f t="shared" si="29"/>
        <v>1</v>
      </c>
      <c r="L98" s="628"/>
      <c r="M98" s="21">
        <f t="shared" si="30"/>
        <v>1</v>
      </c>
      <c r="N98" s="628"/>
      <c r="O98" s="21">
        <f t="shared" si="31"/>
        <v>1</v>
      </c>
      <c r="P98" s="628"/>
      <c r="Q98" s="21">
        <f t="shared" si="32"/>
        <v>1</v>
      </c>
      <c r="R98" s="21">
        <f t="shared" si="33"/>
        <v>0</v>
      </c>
      <c r="S98" s="302">
        <f t="shared" si="24"/>
        <v>0</v>
      </c>
    </row>
    <row r="99" spans="1:19">
      <c r="A99" s="136"/>
      <c r="B99" s="52"/>
      <c r="C99" s="21">
        <f t="shared" si="25"/>
        <v>1</v>
      </c>
      <c r="D99" s="628"/>
      <c r="E99" s="21">
        <f t="shared" si="26"/>
        <v>1</v>
      </c>
      <c r="F99" s="628"/>
      <c r="G99" s="21">
        <f t="shared" si="27"/>
        <v>1</v>
      </c>
      <c r="H99" s="628"/>
      <c r="I99" s="21">
        <f t="shared" si="28"/>
        <v>1</v>
      </c>
      <c r="J99" s="628"/>
      <c r="K99" s="21">
        <f t="shared" si="29"/>
        <v>1</v>
      </c>
      <c r="L99" s="628"/>
      <c r="M99" s="21">
        <f t="shared" si="30"/>
        <v>1</v>
      </c>
      <c r="N99" s="628"/>
      <c r="O99" s="21">
        <f t="shared" si="31"/>
        <v>1</v>
      </c>
      <c r="P99" s="628"/>
      <c r="Q99" s="21">
        <f t="shared" si="32"/>
        <v>1</v>
      </c>
      <c r="R99" s="21">
        <f t="shared" si="33"/>
        <v>0</v>
      </c>
      <c r="S99" s="302">
        <f t="shared" si="24"/>
        <v>0</v>
      </c>
    </row>
    <row r="100" spans="1:19">
      <c r="A100" s="136"/>
      <c r="B100" s="52"/>
      <c r="C100" s="21">
        <f t="shared" si="25"/>
        <v>1</v>
      </c>
      <c r="D100" s="628"/>
      <c r="E100" s="21">
        <f t="shared" si="26"/>
        <v>1</v>
      </c>
      <c r="F100" s="628"/>
      <c r="G100" s="21">
        <f t="shared" si="27"/>
        <v>1</v>
      </c>
      <c r="H100" s="628"/>
      <c r="I100" s="21">
        <f t="shared" si="28"/>
        <v>1</v>
      </c>
      <c r="J100" s="628"/>
      <c r="K100" s="21">
        <f t="shared" si="29"/>
        <v>1</v>
      </c>
      <c r="L100" s="628"/>
      <c r="M100" s="21">
        <f t="shared" si="30"/>
        <v>1</v>
      </c>
      <c r="N100" s="628"/>
      <c r="O100" s="21">
        <f t="shared" si="31"/>
        <v>1</v>
      </c>
      <c r="P100" s="628"/>
      <c r="Q100" s="21">
        <f t="shared" si="32"/>
        <v>1</v>
      </c>
      <c r="R100" s="21">
        <f t="shared" si="33"/>
        <v>0</v>
      </c>
      <c r="S100" s="302">
        <f t="shared" si="24"/>
        <v>0</v>
      </c>
    </row>
    <row r="101" spans="1:19">
      <c r="A101" s="136"/>
      <c r="B101" s="52"/>
      <c r="C101" s="21">
        <f t="shared" si="25"/>
        <v>1</v>
      </c>
      <c r="D101" s="628"/>
      <c r="E101" s="21">
        <f t="shared" si="26"/>
        <v>1</v>
      </c>
      <c r="F101" s="628"/>
      <c r="G101" s="21">
        <f t="shared" si="27"/>
        <v>1</v>
      </c>
      <c r="H101" s="628"/>
      <c r="I101" s="21">
        <f t="shared" si="28"/>
        <v>1</v>
      </c>
      <c r="J101" s="628"/>
      <c r="K101" s="21">
        <f t="shared" si="29"/>
        <v>1</v>
      </c>
      <c r="L101" s="628"/>
      <c r="M101" s="21">
        <f t="shared" si="30"/>
        <v>1</v>
      </c>
      <c r="N101" s="628"/>
      <c r="O101" s="21">
        <f t="shared" si="31"/>
        <v>1</v>
      </c>
      <c r="P101" s="628"/>
      <c r="Q101" s="21">
        <f t="shared" si="32"/>
        <v>1</v>
      </c>
      <c r="R101" s="21">
        <f t="shared" si="33"/>
        <v>0</v>
      </c>
      <c r="S101" s="302">
        <f t="shared" si="24"/>
        <v>0</v>
      </c>
    </row>
    <row r="102" spans="1:19">
      <c r="A102" s="136"/>
      <c r="B102" s="52"/>
      <c r="C102" s="21">
        <f t="shared" si="25"/>
        <v>1</v>
      </c>
      <c r="D102" s="628"/>
      <c r="E102" s="21">
        <f t="shared" si="26"/>
        <v>1</v>
      </c>
      <c r="F102" s="628"/>
      <c r="G102" s="21">
        <f t="shared" si="27"/>
        <v>1</v>
      </c>
      <c r="H102" s="628"/>
      <c r="I102" s="21">
        <f t="shared" si="28"/>
        <v>1</v>
      </c>
      <c r="J102" s="628"/>
      <c r="K102" s="21">
        <f t="shared" si="29"/>
        <v>1</v>
      </c>
      <c r="L102" s="628"/>
      <c r="M102" s="21">
        <f t="shared" si="30"/>
        <v>1</v>
      </c>
      <c r="N102" s="628"/>
      <c r="O102" s="21">
        <f t="shared" si="31"/>
        <v>1</v>
      </c>
      <c r="P102" s="628"/>
      <c r="Q102" s="21">
        <f t="shared" si="32"/>
        <v>1</v>
      </c>
      <c r="R102" s="21">
        <f t="shared" si="33"/>
        <v>0</v>
      </c>
      <c r="S102" s="302">
        <f t="shared" si="24"/>
        <v>0</v>
      </c>
    </row>
    <row r="103" spans="1:19">
      <c r="A103" s="136"/>
      <c r="B103" s="52"/>
      <c r="C103" s="21">
        <f t="shared" si="25"/>
        <v>1</v>
      </c>
      <c r="D103" s="628"/>
      <c r="E103" s="21">
        <f t="shared" si="26"/>
        <v>1</v>
      </c>
      <c r="F103" s="628"/>
      <c r="G103" s="21">
        <f t="shared" si="27"/>
        <v>1</v>
      </c>
      <c r="H103" s="628"/>
      <c r="I103" s="21">
        <f t="shared" si="28"/>
        <v>1</v>
      </c>
      <c r="J103" s="628"/>
      <c r="K103" s="21">
        <f t="shared" si="29"/>
        <v>1</v>
      </c>
      <c r="L103" s="628"/>
      <c r="M103" s="21">
        <f t="shared" si="30"/>
        <v>1</v>
      </c>
      <c r="N103" s="628"/>
      <c r="O103" s="21">
        <f t="shared" si="31"/>
        <v>1</v>
      </c>
      <c r="P103" s="628"/>
      <c r="Q103" s="21">
        <f t="shared" si="32"/>
        <v>1</v>
      </c>
      <c r="R103" s="21">
        <f t="shared" si="33"/>
        <v>0</v>
      </c>
      <c r="S103" s="302">
        <f t="shared" si="24"/>
        <v>0</v>
      </c>
    </row>
    <row r="104" spans="1:19">
      <c r="A104" s="136"/>
      <c r="B104" s="52"/>
      <c r="C104" s="21">
        <f t="shared" si="25"/>
        <v>1</v>
      </c>
      <c r="D104" s="628"/>
      <c r="E104" s="21">
        <f t="shared" si="26"/>
        <v>1</v>
      </c>
      <c r="F104" s="628"/>
      <c r="G104" s="21">
        <f t="shared" si="27"/>
        <v>1</v>
      </c>
      <c r="H104" s="628"/>
      <c r="I104" s="21">
        <f t="shared" si="28"/>
        <v>1</v>
      </c>
      <c r="J104" s="628"/>
      <c r="K104" s="21">
        <f t="shared" si="29"/>
        <v>1</v>
      </c>
      <c r="L104" s="628"/>
      <c r="M104" s="21">
        <f t="shared" si="30"/>
        <v>1</v>
      </c>
      <c r="N104" s="628"/>
      <c r="O104" s="21">
        <f t="shared" si="31"/>
        <v>1</v>
      </c>
      <c r="P104" s="628"/>
      <c r="Q104" s="21">
        <f t="shared" si="32"/>
        <v>1</v>
      </c>
      <c r="R104" s="21">
        <f t="shared" si="33"/>
        <v>0</v>
      </c>
      <c r="S104" s="302">
        <f t="shared" si="24"/>
        <v>0</v>
      </c>
    </row>
    <row r="105" spans="1:19">
      <c r="A105" s="136"/>
      <c r="B105" s="52"/>
      <c r="C105" s="21">
        <f t="shared" si="25"/>
        <v>1</v>
      </c>
      <c r="D105" s="628"/>
      <c r="E105" s="21">
        <f t="shared" si="26"/>
        <v>1</v>
      </c>
      <c r="F105" s="628"/>
      <c r="G105" s="21">
        <f t="shared" si="27"/>
        <v>1</v>
      </c>
      <c r="H105" s="628"/>
      <c r="I105" s="21">
        <f t="shared" si="28"/>
        <v>1</v>
      </c>
      <c r="J105" s="628"/>
      <c r="K105" s="21">
        <f t="shared" si="29"/>
        <v>1</v>
      </c>
      <c r="L105" s="628"/>
      <c r="M105" s="21">
        <f t="shared" si="30"/>
        <v>1</v>
      </c>
      <c r="N105" s="628"/>
      <c r="O105" s="21">
        <f t="shared" si="31"/>
        <v>1</v>
      </c>
      <c r="P105" s="628"/>
      <c r="Q105" s="21">
        <f t="shared" si="32"/>
        <v>1</v>
      </c>
      <c r="R105" s="21">
        <f t="shared" si="33"/>
        <v>0</v>
      </c>
      <c r="S105" s="302">
        <f t="shared" si="24"/>
        <v>0</v>
      </c>
    </row>
    <row r="106" spans="1:19">
      <c r="A106" s="136"/>
      <c r="B106" s="52"/>
      <c r="C106" s="21">
        <f t="shared" si="25"/>
        <v>1</v>
      </c>
      <c r="D106" s="628"/>
      <c r="E106" s="21">
        <f t="shared" si="26"/>
        <v>1</v>
      </c>
      <c r="F106" s="628"/>
      <c r="G106" s="21">
        <f t="shared" si="27"/>
        <v>1</v>
      </c>
      <c r="H106" s="628"/>
      <c r="I106" s="21">
        <f t="shared" si="28"/>
        <v>1</v>
      </c>
      <c r="J106" s="628"/>
      <c r="K106" s="21">
        <f t="shared" si="29"/>
        <v>1</v>
      </c>
      <c r="L106" s="628"/>
      <c r="M106" s="21">
        <f t="shared" si="30"/>
        <v>1</v>
      </c>
      <c r="N106" s="628"/>
      <c r="O106" s="21">
        <f t="shared" si="31"/>
        <v>1</v>
      </c>
      <c r="P106" s="628"/>
      <c r="Q106" s="21">
        <f t="shared" si="32"/>
        <v>1</v>
      </c>
      <c r="R106" s="21">
        <f t="shared" si="33"/>
        <v>0</v>
      </c>
      <c r="S106" s="302">
        <f t="shared" si="24"/>
        <v>0</v>
      </c>
    </row>
    <row r="107" spans="1:19">
      <c r="A107" s="136"/>
      <c r="B107" s="52"/>
      <c r="C107" s="21">
        <f t="shared" si="25"/>
        <v>1</v>
      </c>
      <c r="D107" s="628"/>
      <c r="E107" s="21">
        <f t="shared" si="26"/>
        <v>1</v>
      </c>
      <c r="F107" s="628"/>
      <c r="G107" s="21">
        <f t="shared" si="27"/>
        <v>1</v>
      </c>
      <c r="H107" s="628"/>
      <c r="I107" s="21">
        <f t="shared" si="28"/>
        <v>1</v>
      </c>
      <c r="J107" s="628"/>
      <c r="K107" s="21">
        <f t="shared" si="29"/>
        <v>1</v>
      </c>
      <c r="L107" s="628"/>
      <c r="M107" s="21">
        <f t="shared" si="30"/>
        <v>1</v>
      </c>
      <c r="N107" s="628"/>
      <c r="O107" s="21">
        <f t="shared" si="31"/>
        <v>1</v>
      </c>
      <c r="P107" s="628"/>
      <c r="Q107" s="21">
        <f t="shared" si="32"/>
        <v>1</v>
      </c>
      <c r="R107" s="21">
        <f t="shared" si="33"/>
        <v>0</v>
      </c>
      <c r="S107" s="302">
        <f t="shared" si="24"/>
        <v>0</v>
      </c>
    </row>
    <row r="108" spans="1:19">
      <c r="A108" s="136"/>
      <c r="B108" s="52"/>
      <c r="C108" s="21">
        <f t="shared" si="25"/>
        <v>1</v>
      </c>
      <c r="D108" s="628"/>
      <c r="E108" s="21">
        <f t="shared" si="26"/>
        <v>1</v>
      </c>
      <c r="F108" s="628"/>
      <c r="G108" s="21">
        <f t="shared" si="27"/>
        <v>1</v>
      </c>
      <c r="H108" s="628"/>
      <c r="I108" s="21">
        <f t="shared" si="28"/>
        <v>1</v>
      </c>
      <c r="J108" s="628"/>
      <c r="K108" s="21">
        <f t="shared" si="29"/>
        <v>1</v>
      </c>
      <c r="L108" s="628"/>
      <c r="M108" s="21">
        <f t="shared" si="30"/>
        <v>1</v>
      </c>
      <c r="N108" s="628"/>
      <c r="O108" s="21">
        <f t="shared" si="31"/>
        <v>1</v>
      </c>
      <c r="P108" s="628"/>
      <c r="Q108" s="21">
        <f t="shared" si="32"/>
        <v>1</v>
      </c>
      <c r="R108" s="21">
        <f t="shared" si="33"/>
        <v>0</v>
      </c>
      <c r="S108" s="302">
        <f t="shared" si="24"/>
        <v>0</v>
      </c>
    </row>
    <row r="109" spans="1:19">
      <c r="A109" s="136"/>
      <c r="B109" s="52"/>
      <c r="C109" s="21">
        <f t="shared" si="25"/>
        <v>1</v>
      </c>
      <c r="D109" s="628"/>
      <c r="E109" s="21">
        <f t="shared" si="26"/>
        <v>1</v>
      </c>
      <c r="F109" s="628"/>
      <c r="G109" s="21">
        <f t="shared" si="27"/>
        <v>1</v>
      </c>
      <c r="H109" s="628"/>
      <c r="I109" s="21">
        <f t="shared" si="28"/>
        <v>1</v>
      </c>
      <c r="J109" s="628"/>
      <c r="K109" s="21">
        <f t="shared" si="29"/>
        <v>1</v>
      </c>
      <c r="L109" s="628"/>
      <c r="M109" s="21">
        <f t="shared" si="30"/>
        <v>1</v>
      </c>
      <c r="N109" s="628"/>
      <c r="O109" s="21">
        <f t="shared" si="31"/>
        <v>1</v>
      </c>
      <c r="P109" s="628"/>
      <c r="Q109" s="21">
        <f t="shared" si="32"/>
        <v>1</v>
      </c>
      <c r="R109" s="21">
        <f t="shared" si="33"/>
        <v>0</v>
      </c>
      <c r="S109" s="302">
        <f t="shared" si="24"/>
        <v>0</v>
      </c>
    </row>
    <row r="110" spans="1:19">
      <c r="A110" s="136"/>
      <c r="B110" s="52"/>
      <c r="C110" s="21">
        <f t="shared" si="25"/>
        <v>1</v>
      </c>
      <c r="D110" s="628"/>
      <c r="E110" s="21">
        <f t="shared" si="26"/>
        <v>1</v>
      </c>
      <c r="F110" s="628"/>
      <c r="G110" s="21">
        <f t="shared" si="27"/>
        <v>1</v>
      </c>
      <c r="H110" s="628"/>
      <c r="I110" s="21">
        <f t="shared" si="28"/>
        <v>1</v>
      </c>
      <c r="J110" s="628"/>
      <c r="K110" s="21">
        <f t="shared" si="29"/>
        <v>1</v>
      </c>
      <c r="L110" s="628"/>
      <c r="M110" s="21">
        <f t="shared" si="30"/>
        <v>1</v>
      </c>
      <c r="N110" s="628"/>
      <c r="O110" s="21">
        <f t="shared" si="31"/>
        <v>1</v>
      </c>
      <c r="P110" s="628"/>
      <c r="Q110" s="21">
        <f t="shared" si="32"/>
        <v>1</v>
      </c>
      <c r="R110" s="21">
        <f t="shared" si="33"/>
        <v>0</v>
      </c>
      <c r="S110" s="302">
        <f t="shared" si="24"/>
        <v>0</v>
      </c>
    </row>
    <row r="111" spans="1:19">
      <c r="A111" s="136"/>
      <c r="B111" s="52"/>
      <c r="C111" s="21">
        <f t="shared" si="25"/>
        <v>1</v>
      </c>
      <c r="D111" s="628"/>
      <c r="E111" s="21">
        <f t="shared" si="26"/>
        <v>1</v>
      </c>
      <c r="F111" s="628"/>
      <c r="G111" s="21">
        <f t="shared" si="27"/>
        <v>1</v>
      </c>
      <c r="H111" s="628"/>
      <c r="I111" s="21">
        <f t="shared" si="28"/>
        <v>1</v>
      </c>
      <c r="J111" s="628"/>
      <c r="K111" s="21">
        <f t="shared" si="29"/>
        <v>1</v>
      </c>
      <c r="L111" s="628"/>
      <c r="M111" s="21">
        <f t="shared" si="30"/>
        <v>1</v>
      </c>
      <c r="N111" s="628"/>
      <c r="O111" s="21">
        <f t="shared" si="31"/>
        <v>1</v>
      </c>
      <c r="P111" s="628"/>
      <c r="Q111" s="21">
        <f t="shared" si="32"/>
        <v>1</v>
      </c>
      <c r="R111" s="21">
        <f t="shared" si="33"/>
        <v>0</v>
      </c>
      <c r="S111" s="302">
        <f t="shared" si="24"/>
        <v>0</v>
      </c>
    </row>
    <row r="112" spans="1:19">
      <c r="A112" s="136"/>
      <c r="B112" s="52"/>
      <c r="C112" s="21">
        <f t="shared" si="25"/>
        <v>1</v>
      </c>
      <c r="D112" s="628"/>
      <c r="E112" s="21">
        <f t="shared" si="26"/>
        <v>1</v>
      </c>
      <c r="F112" s="628"/>
      <c r="G112" s="21">
        <f t="shared" si="27"/>
        <v>1</v>
      </c>
      <c r="H112" s="628"/>
      <c r="I112" s="21">
        <f t="shared" si="28"/>
        <v>1</v>
      </c>
      <c r="J112" s="628"/>
      <c r="K112" s="21">
        <f t="shared" si="29"/>
        <v>1</v>
      </c>
      <c r="L112" s="628"/>
      <c r="M112" s="21">
        <f t="shared" si="30"/>
        <v>1</v>
      </c>
      <c r="N112" s="628"/>
      <c r="O112" s="21">
        <f t="shared" si="31"/>
        <v>1</v>
      </c>
      <c r="P112" s="628"/>
      <c r="Q112" s="21">
        <f t="shared" si="32"/>
        <v>1</v>
      </c>
      <c r="R112" s="21">
        <f t="shared" si="33"/>
        <v>0</v>
      </c>
      <c r="S112" s="302">
        <f t="shared" si="24"/>
        <v>0</v>
      </c>
    </row>
    <row r="113" spans="1:19">
      <c r="A113" s="136"/>
      <c r="B113" s="52"/>
      <c r="C113" s="21">
        <f t="shared" si="25"/>
        <v>1</v>
      </c>
      <c r="D113" s="628"/>
      <c r="E113" s="21">
        <f t="shared" si="26"/>
        <v>1</v>
      </c>
      <c r="F113" s="628"/>
      <c r="G113" s="21">
        <f t="shared" si="27"/>
        <v>1</v>
      </c>
      <c r="H113" s="628"/>
      <c r="I113" s="21">
        <f t="shared" si="28"/>
        <v>1</v>
      </c>
      <c r="J113" s="628"/>
      <c r="K113" s="21">
        <f t="shared" si="29"/>
        <v>1</v>
      </c>
      <c r="L113" s="628"/>
      <c r="M113" s="21">
        <f t="shared" si="30"/>
        <v>1</v>
      </c>
      <c r="N113" s="628"/>
      <c r="O113" s="21">
        <f t="shared" si="31"/>
        <v>1</v>
      </c>
      <c r="P113" s="628"/>
      <c r="Q113" s="21">
        <f t="shared" si="32"/>
        <v>1</v>
      </c>
      <c r="R113" s="21">
        <f t="shared" si="33"/>
        <v>0</v>
      </c>
      <c r="S113" s="302">
        <f t="shared" si="24"/>
        <v>0</v>
      </c>
    </row>
    <row r="114" spans="1:19">
      <c r="A114" s="136"/>
      <c r="B114" s="52"/>
      <c r="C114" s="21">
        <f t="shared" si="25"/>
        <v>1</v>
      </c>
      <c r="D114" s="628"/>
      <c r="E114" s="21">
        <f t="shared" si="26"/>
        <v>1</v>
      </c>
      <c r="F114" s="628"/>
      <c r="G114" s="21">
        <f t="shared" si="27"/>
        <v>1</v>
      </c>
      <c r="H114" s="628"/>
      <c r="I114" s="21">
        <f t="shared" si="28"/>
        <v>1</v>
      </c>
      <c r="J114" s="628"/>
      <c r="K114" s="21">
        <f t="shared" si="29"/>
        <v>1</v>
      </c>
      <c r="L114" s="628"/>
      <c r="M114" s="21">
        <f t="shared" si="30"/>
        <v>1</v>
      </c>
      <c r="N114" s="628"/>
      <c r="O114" s="21">
        <f t="shared" si="31"/>
        <v>1</v>
      </c>
      <c r="P114" s="628"/>
      <c r="Q114" s="21">
        <f t="shared" si="32"/>
        <v>1</v>
      </c>
      <c r="R114" s="21">
        <f t="shared" si="33"/>
        <v>0</v>
      </c>
      <c r="S114" s="302">
        <f t="shared" si="24"/>
        <v>0</v>
      </c>
    </row>
    <row r="115" spans="1:19">
      <c r="A115" s="136"/>
      <c r="B115" s="52"/>
      <c r="C115" s="21">
        <f t="shared" si="25"/>
        <v>1</v>
      </c>
      <c r="D115" s="628"/>
      <c r="E115" s="21">
        <f t="shared" si="26"/>
        <v>1</v>
      </c>
      <c r="F115" s="628"/>
      <c r="G115" s="21">
        <f t="shared" si="27"/>
        <v>1</v>
      </c>
      <c r="H115" s="628"/>
      <c r="I115" s="21">
        <f t="shared" si="28"/>
        <v>1</v>
      </c>
      <c r="J115" s="628"/>
      <c r="K115" s="21">
        <f t="shared" si="29"/>
        <v>1</v>
      </c>
      <c r="L115" s="628"/>
      <c r="M115" s="21">
        <f t="shared" si="30"/>
        <v>1</v>
      </c>
      <c r="N115" s="628"/>
      <c r="O115" s="21">
        <f t="shared" si="31"/>
        <v>1</v>
      </c>
      <c r="P115" s="628"/>
      <c r="Q115" s="21">
        <f t="shared" si="32"/>
        <v>1</v>
      </c>
      <c r="R115" s="21">
        <f t="shared" si="33"/>
        <v>0</v>
      </c>
      <c r="S115" s="302">
        <f t="shared" si="24"/>
        <v>0</v>
      </c>
    </row>
    <row r="116" spans="1:19">
      <c r="A116" s="136"/>
      <c r="B116" s="52"/>
      <c r="C116" s="21">
        <f t="shared" si="25"/>
        <v>1</v>
      </c>
      <c r="D116" s="628"/>
      <c r="E116" s="21">
        <f t="shared" si="26"/>
        <v>1</v>
      </c>
      <c r="F116" s="628"/>
      <c r="G116" s="21">
        <f t="shared" si="27"/>
        <v>1</v>
      </c>
      <c r="H116" s="628"/>
      <c r="I116" s="21">
        <f t="shared" si="28"/>
        <v>1</v>
      </c>
      <c r="J116" s="628"/>
      <c r="K116" s="21">
        <f t="shared" si="29"/>
        <v>1</v>
      </c>
      <c r="L116" s="628"/>
      <c r="M116" s="21">
        <f t="shared" si="30"/>
        <v>1</v>
      </c>
      <c r="N116" s="628"/>
      <c r="O116" s="21">
        <f t="shared" si="31"/>
        <v>1</v>
      </c>
      <c r="P116" s="628"/>
      <c r="Q116" s="21">
        <f t="shared" si="32"/>
        <v>1</v>
      </c>
      <c r="R116" s="21">
        <f t="shared" si="33"/>
        <v>0</v>
      </c>
      <c r="S116" s="302">
        <f t="shared" si="24"/>
        <v>0</v>
      </c>
    </row>
    <row r="117" spans="1:19">
      <c r="A117" s="136"/>
      <c r="B117" s="52"/>
      <c r="C117" s="21">
        <f t="shared" si="25"/>
        <v>1</v>
      </c>
      <c r="D117" s="628"/>
      <c r="E117" s="21">
        <f t="shared" si="26"/>
        <v>1</v>
      </c>
      <c r="F117" s="628"/>
      <c r="G117" s="21">
        <f t="shared" si="27"/>
        <v>1</v>
      </c>
      <c r="H117" s="628"/>
      <c r="I117" s="21">
        <f t="shared" si="28"/>
        <v>1</v>
      </c>
      <c r="J117" s="628"/>
      <c r="K117" s="21">
        <f t="shared" si="29"/>
        <v>1</v>
      </c>
      <c r="L117" s="628"/>
      <c r="M117" s="21">
        <f t="shared" si="30"/>
        <v>1</v>
      </c>
      <c r="N117" s="628"/>
      <c r="O117" s="21">
        <f t="shared" si="31"/>
        <v>1</v>
      </c>
      <c r="P117" s="628"/>
      <c r="Q117" s="21">
        <f t="shared" si="32"/>
        <v>1</v>
      </c>
      <c r="R117" s="21">
        <f t="shared" si="33"/>
        <v>0</v>
      </c>
      <c r="S117" s="302">
        <f t="shared" si="24"/>
        <v>0</v>
      </c>
    </row>
    <row r="118" spans="1:19">
      <c r="A118" s="136"/>
      <c r="B118" s="52"/>
      <c r="C118" s="21">
        <f t="shared" si="25"/>
        <v>1</v>
      </c>
      <c r="D118" s="628"/>
      <c r="E118" s="21">
        <f t="shared" si="26"/>
        <v>1</v>
      </c>
      <c r="F118" s="628"/>
      <c r="G118" s="21">
        <f t="shared" si="27"/>
        <v>1</v>
      </c>
      <c r="H118" s="628"/>
      <c r="I118" s="21">
        <f t="shared" si="28"/>
        <v>1</v>
      </c>
      <c r="J118" s="628"/>
      <c r="K118" s="21">
        <f t="shared" si="29"/>
        <v>1</v>
      </c>
      <c r="L118" s="628"/>
      <c r="M118" s="21">
        <f t="shared" si="30"/>
        <v>1</v>
      </c>
      <c r="N118" s="628"/>
      <c r="O118" s="21">
        <f t="shared" si="31"/>
        <v>1</v>
      </c>
      <c r="P118" s="628"/>
      <c r="Q118" s="21">
        <f t="shared" si="32"/>
        <v>1</v>
      </c>
      <c r="R118" s="21">
        <f t="shared" si="33"/>
        <v>0</v>
      </c>
      <c r="S118" s="302">
        <f t="shared" si="24"/>
        <v>0</v>
      </c>
    </row>
    <row r="119" spans="1:19">
      <c r="A119" s="136"/>
      <c r="B119" s="52"/>
      <c r="C119" s="21">
        <f t="shared" si="25"/>
        <v>1</v>
      </c>
      <c r="D119" s="628"/>
      <c r="E119" s="21">
        <f t="shared" si="26"/>
        <v>1</v>
      </c>
      <c r="F119" s="628"/>
      <c r="G119" s="21">
        <f t="shared" si="27"/>
        <v>1</v>
      </c>
      <c r="H119" s="628"/>
      <c r="I119" s="21">
        <f t="shared" si="28"/>
        <v>1</v>
      </c>
      <c r="J119" s="628"/>
      <c r="K119" s="21">
        <f t="shared" si="29"/>
        <v>1</v>
      </c>
      <c r="L119" s="628"/>
      <c r="M119" s="21">
        <f t="shared" si="30"/>
        <v>1</v>
      </c>
      <c r="N119" s="628"/>
      <c r="O119" s="21">
        <f t="shared" si="31"/>
        <v>1</v>
      </c>
      <c r="P119" s="628"/>
      <c r="Q119" s="21">
        <f t="shared" si="32"/>
        <v>1</v>
      </c>
      <c r="R119" s="21">
        <f t="shared" si="33"/>
        <v>0</v>
      </c>
      <c r="S119" s="302">
        <f t="shared" si="24"/>
        <v>0</v>
      </c>
    </row>
    <row r="120" spans="1:19">
      <c r="A120" s="136"/>
      <c r="B120" s="52"/>
      <c r="C120" s="21">
        <f t="shared" si="25"/>
        <v>1</v>
      </c>
      <c r="D120" s="628"/>
      <c r="E120" s="21">
        <f t="shared" si="26"/>
        <v>1</v>
      </c>
      <c r="F120" s="628"/>
      <c r="G120" s="21">
        <f t="shared" si="27"/>
        <v>1</v>
      </c>
      <c r="H120" s="628"/>
      <c r="I120" s="21">
        <f t="shared" si="28"/>
        <v>1</v>
      </c>
      <c r="J120" s="628"/>
      <c r="K120" s="21">
        <f t="shared" si="29"/>
        <v>1</v>
      </c>
      <c r="L120" s="628"/>
      <c r="M120" s="21">
        <f t="shared" si="30"/>
        <v>1</v>
      </c>
      <c r="N120" s="628"/>
      <c r="O120" s="21">
        <f t="shared" si="31"/>
        <v>1</v>
      </c>
      <c r="P120" s="628"/>
      <c r="Q120" s="21">
        <f t="shared" si="32"/>
        <v>1</v>
      </c>
      <c r="R120" s="21">
        <f t="shared" si="33"/>
        <v>0</v>
      </c>
      <c r="S120" s="302">
        <f t="shared" si="24"/>
        <v>0</v>
      </c>
    </row>
    <row r="121" spans="1:19">
      <c r="A121" s="136"/>
      <c r="B121" s="52"/>
      <c r="C121" s="21">
        <f t="shared" si="25"/>
        <v>1</v>
      </c>
      <c r="D121" s="628"/>
      <c r="E121" s="21">
        <f t="shared" si="26"/>
        <v>1</v>
      </c>
      <c r="F121" s="628"/>
      <c r="G121" s="21">
        <f t="shared" si="27"/>
        <v>1</v>
      </c>
      <c r="H121" s="628"/>
      <c r="I121" s="21">
        <f t="shared" si="28"/>
        <v>1</v>
      </c>
      <c r="J121" s="628"/>
      <c r="K121" s="21">
        <f t="shared" si="29"/>
        <v>1</v>
      </c>
      <c r="L121" s="628"/>
      <c r="M121" s="21">
        <f t="shared" si="30"/>
        <v>1</v>
      </c>
      <c r="N121" s="628"/>
      <c r="O121" s="21">
        <f t="shared" si="31"/>
        <v>1</v>
      </c>
      <c r="P121" s="628"/>
      <c r="Q121" s="21">
        <f t="shared" si="32"/>
        <v>1</v>
      </c>
      <c r="R121" s="21">
        <f t="shared" si="33"/>
        <v>0</v>
      </c>
      <c r="S121" s="302">
        <f t="shared" si="24"/>
        <v>0</v>
      </c>
    </row>
    <row r="122" spans="1:19">
      <c r="A122" s="136"/>
      <c r="B122" s="52"/>
      <c r="C122" s="21">
        <f t="shared" si="25"/>
        <v>1</v>
      </c>
      <c r="D122" s="628"/>
      <c r="E122" s="21">
        <f t="shared" si="26"/>
        <v>1</v>
      </c>
      <c r="F122" s="628"/>
      <c r="G122" s="21">
        <f t="shared" si="27"/>
        <v>1</v>
      </c>
      <c r="H122" s="628"/>
      <c r="I122" s="21">
        <f t="shared" si="28"/>
        <v>1</v>
      </c>
      <c r="J122" s="628"/>
      <c r="K122" s="21">
        <f t="shared" si="29"/>
        <v>1</v>
      </c>
      <c r="L122" s="628"/>
      <c r="M122" s="21">
        <f t="shared" si="30"/>
        <v>1</v>
      </c>
      <c r="N122" s="628"/>
      <c r="O122" s="21">
        <f t="shared" si="31"/>
        <v>1</v>
      </c>
      <c r="P122" s="628"/>
      <c r="Q122" s="21">
        <f t="shared" si="32"/>
        <v>1</v>
      </c>
      <c r="R122" s="21">
        <f t="shared" si="33"/>
        <v>0</v>
      </c>
      <c r="S122" s="302">
        <f t="shared" si="24"/>
        <v>0</v>
      </c>
    </row>
    <row r="123" spans="1:19">
      <c r="A123" s="136"/>
      <c r="B123" s="52"/>
      <c r="C123" s="21">
        <f t="shared" si="25"/>
        <v>1</v>
      </c>
      <c r="D123" s="628"/>
      <c r="E123" s="21">
        <f t="shared" si="26"/>
        <v>1</v>
      </c>
      <c r="F123" s="628"/>
      <c r="G123" s="21">
        <f t="shared" si="27"/>
        <v>1</v>
      </c>
      <c r="H123" s="628"/>
      <c r="I123" s="21">
        <f t="shared" si="28"/>
        <v>1</v>
      </c>
      <c r="J123" s="628"/>
      <c r="K123" s="21">
        <f t="shared" si="29"/>
        <v>1</v>
      </c>
      <c r="L123" s="628"/>
      <c r="M123" s="21">
        <f t="shared" si="30"/>
        <v>1</v>
      </c>
      <c r="N123" s="628"/>
      <c r="O123" s="21">
        <f t="shared" si="31"/>
        <v>1</v>
      </c>
      <c r="P123" s="628"/>
      <c r="Q123" s="21">
        <f t="shared" si="32"/>
        <v>1</v>
      </c>
      <c r="R123" s="21">
        <f t="shared" si="33"/>
        <v>0</v>
      </c>
      <c r="S123" s="302">
        <f t="shared" ref="S123:S186" si="34">ROUND(R123*B123/10000,0)</f>
        <v>0</v>
      </c>
    </row>
    <row r="124" spans="1:19">
      <c r="A124" s="136"/>
      <c r="B124" s="52"/>
      <c r="C124" s="21">
        <f t="shared" si="25"/>
        <v>1</v>
      </c>
      <c r="D124" s="628"/>
      <c r="E124" s="21">
        <f t="shared" si="26"/>
        <v>1</v>
      </c>
      <c r="F124" s="628"/>
      <c r="G124" s="21">
        <f t="shared" si="27"/>
        <v>1</v>
      </c>
      <c r="H124" s="628"/>
      <c r="I124" s="21">
        <f t="shared" si="28"/>
        <v>1</v>
      </c>
      <c r="J124" s="628"/>
      <c r="K124" s="21">
        <f t="shared" si="29"/>
        <v>1</v>
      </c>
      <c r="L124" s="628"/>
      <c r="M124" s="21">
        <f t="shared" si="30"/>
        <v>1</v>
      </c>
      <c r="N124" s="628"/>
      <c r="O124" s="21">
        <f t="shared" si="31"/>
        <v>1</v>
      </c>
      <c r="P124" s="628"/>
      <c r="Q124" s="21">
        <f t="shared" si="32"/>
        <v>1</v>
      </c>
      <c r="R124" s="21">
        <f t="shared" si="33"/>
        <v>0</v>
      </c>
      <c r="S124" s="302">
        <f t="shared" si="34"/>
        <v>0</v>
      </c>
    </row>
    <row r="125" spans="1:19">
      <c r="A125" s="136"/>
      <c r="B125" s="52"/>
      <c r="C125" s="21">
        <f t="shared" si="25"/>
        <v>1</v>
      </c>
      <c r="D125" s="628"/>
      <c r="E125" s="21">
        <f t="shared" si="26"/>
        <v>1</v>
      </c>
      <c r="F125" s="628"/>
      <c r="G125" s="21">
        <f t="shared" si="27"/>
        <v>1</v>
      </c>
      <c r="H125" s="628"/>
      <c r="I125" s="21">
        <f t="shared" si="28"/>
        <v>1</v>
      </c>
      <c r="J125" s="628"/>
      <c r="K125" s="21">
        <f t="shared" si="29"/>
        <v>1</v>
      </c>
      <c r="L125" s="628"/>
      <c r="M125" s="21">
        <f t="shared" si="30"/>
        <v>1</v>
      </c>
      <c r="N125" s="628"/>
      <c r="O125" s="21">
        <f t="shared" si="31"/>
        <v>1</v>
      </c>
      <c r="P125" s="628"/>
      <c r="Q125" s="21">
        <f t="shared" si="32"/>
        <v>1</v>
      </c>
      <c r="R125" s="21">
        <f t="shared" si="33"/>
        <v>0</v>
      </c>
      <c r="S125" s="302">
        <f t="shared" si="34"/>
        <v>0</v>
      </c>
    </row>
    <row r="126" spans="1:19">
      <c r="A126" s="136"/>
      <c r="B126" s="52"/>
      <c r="C126" s="21">
        <f t="shared" si="25"/>
        <v>1</v>
      </c>
      <c r="D126" s="628"/>
      <c r="E126" s="21">
        <f t="shared" si="26"/>
        <v>1</v>
      </c>
      <c r="F126" s="628"/>
      <c r="G126" s="21">
        <f t="shared" si="27"/>
        <v>1</v>
      </c>
      <c r="H126" s="628"/>
      <c r="I126" s="21">
        <f t="shared" si="28"/>
        <v>1</v>
      </c>
      <c r="J126" s="628"/>
      <c r="K126" s="21">
        <f t="shared" si="29"/>
        <v>1</v>
      </c>
      <c r="L126" s="628"/>
      <c r="M126" s="21">
        <f t="shared" si="30"/>
        <v>1</v>
      </c>
      <c r="N126" s="628"/>
      <c r="O126" s="21">
        <f t="shared" si="31"/>
        <v>1</v>
      </c>
      <c r="P126" s="628"/>
      <c r="Q126" s="21">
        <f t="shared" si="32"/>
        <v>1</v>
      </c>
      <c r="R126" s="21">
        <f t="shared" si="33"/>
        <v>0</v>
      </c>
      <c r="S126" s="302">
        <f t="shared" si="34"/>
        <v>0</v>
      </c>
    </row>
    <row r="127" spans="1:19">
      <c r="A127" s="136"/>
      <c r="B127" s="52"/>
      <c r="C127" s="21">
        <f t="shared" si="25"/>
        <v>1</v>
      </c>
      <c r="D127" s="628"/>
      <c r="E127" s="21">
        <f t="shared" si="26"/>
        <v>1</v>
      </c>
      <c r="F127" s="628"/>
      <c r="G127" s="21">
        <f t="shared" si="27"/>
        <v>1</v>
      </c>
      <c r="H127" s="628"/>
      <c r="I127" s="21">
        <f t="shared" si="28"/>
        <v>1</v>
      </c>
      <c r="J127" s="628"/>
      <c r="K127" s="21">
        <f t="shared" si="29"/>
        <v>1</v>
      </c>
      <c r="L127" s="628"/>
      <c r="M127" s="21">
        <f t="shared" si="30"/>
        <v>1</v>
      </c>
      <c r="N127" s="628"/>
      <c r="O127" s="21">
        <f t="shared" si="31"/>
        <v>1</v>
      </c>
      <c r="P127" s="628"/>
      <c r="Q127" s="21">
        <f t="shared" si="32"/>
        <v>1</v>
      </c>
      <c r="R127" s="21">
        <f t="shared" si="33"/>
        <v>0</v>
      </c>
      <c r="S127" s="302">
        <f t="shared" si="34"/>
        <v>0</v>
      </c>
    </row>
    <row r="128" spans="1:19">
      <c r="A128" s="136"/>
      <c r="B128" s="52"/>
      <c r="C128" s="21">
        <f t="shared" si="25"/>
        <v>1</v>
      </c>
      <c r="D128" s="628"/>
      <c r="E128" s="21">
        <f t="shared" si="26"/>
        <v>1</v>
      </c>
      <c r="F128" s="628"/>
      <c r="G128" s="21">
        <f t="shared" si="27"/>
        <v>1</v>
      </c>
      <c r="H128" s="628"/>
      <c r="I128" s="21">
        <f t="shared" si="28"/>
        <v>1</v>
      </c>
      <c r="J128" s="628"/>
      <c r="K128" s="21">
        <f t="shared" si="29"/>
        <v>1</v>
      </c>
      <c r="L128" s="628"/>
      <c r="M128" s="21">
        <f t="shared" si="30"/>
        <v>1</v>
      </c>
      <c r="N128" s="628"/>
      <c r="O128" s="21">
        <f t="shared" si="31"/>
        <v>1</v>
      </c>
      <c r="P128" s="628"/>
      <c r="Q128" s="21">
        <f t="shared" si="32"/>
        <v>1</v>
      </c>
      <c r="R128" s="21">
        <f t="shared" si="33"/>
        <v>0</v>
      </c>
      <c r="S128" s="302">
        <f t="shared" si="34"/>
        <v>0</v>
      </c>
    </row>
    <row r="129" spans="1:19">
      <c r="A129" s="136"/>
      <c r="B129" s="52"/>
      <c r="C129" s="21">
        <f t="shared" si="25"/>
        <v>1</v>
      </c>
      <c r="D129" s="628"/>
      <c r="E129" s="21">
        <f t="shared" si="26"/>
        <v>1</v>
      </c>
      <c r="F129" s="628"/>
      <c r="G129" s="21">
        <f t="shared" si="27"/>
        <v>1</v>
      </c>
      <c r="H129" s="628"/>
      <c r="I129" s="21">
        <f t="shared" si="28"/>
        <v>1</v>
      </c>
      <c r="J129" s="628"/>
      <c r="K129" s="21">
        <f t="shared" si="29"/>
        <v>1</v>
      </c>
      <c r="L129" s="628"/>
      <c r="M129" s="21">
        <f t="shared" si="30"/>
        <v>1</v>
      </c>
      <c r="N129" s="628"/>
      <c r="O129" s="21">
        <f t="shared" si="31"/>
        <v>1</v>
      </c>
      <c r="P129" s="628"/>
      <c r="Q129" s="21">
        <f t="shared" si="32"/>
        <v>1</v>
      </c>
      <c r="R129" s="21">
        <f t="shared" si="33"/>
        <v>0</v>
      </c>
      <c r="S129" s="302">
        <f t="shared" si="34"/>
        <v>0</v>
      </c>
    </row>
    <row r="130" spans="1:19">
      <c r="A130" s="136"/>
      <c r="B130" s="52"/>
      <c r="C130" s="21">
        <f t="shared" si="25"/>
        <v>1</v>
      </c>
      <c r="D130" s="628"/>
      <c r="E130" s="21">
        <f t="shared" si="26"/>
        <v>1</v>
      </c>
      <c r="F130" s="628"/>
      <c r="G130" s="21">
        <f t="shared" si="27"/>
        <v>1</v>
      </c>
      <c r="H130" s="628"/>
      <c r="I130" s="21">
        <f t="shared" si="28"/>
        <v>1</v>
      </c>
      <c r="J130" s="628"/>
      <c r="K130" s="21">
        <f t="shared" si="29"/>
        <v>1</v>
      </c>
      <c r="L130" s="628"/>
      <c r="M130" s="21">
        <f t="shared" si="30"/>
        <v>1</v>
      </c>
      <c r="N130" s="628"/>
      <c r="O130" s="21">
        <f t="shared" si="31"/>
        <v>1</v>
      </c>
      <c r="P130" s="628"/>
      <c r="Q130" s="21">
        <f t="shared" si="32"/>
        <v>1</v>
      </c>
      <c r="R130" s="21">
        <f t="shared" si="33"/>
        <v>0</v>
      </c>
      <c r="S130" s="302">
        <f t="shared" si="34"/>
        <v>0</v>
      </c>
    </row>
    <row r="131" spans="1:19">
      <c r="A131" s="136"/>
      <c r="B131" s="52"/>
      <c r="C131" s="21">
        <f t="shared" si="25"/>
        <v>1</v>
      </c>
      <c r="D131" s="628"/>
      <c r="E131" s="21">
        <f t="shared" si="26"/>
        <v>1</v>
      </c>
      <c r="F131" s="628"/>
      <c r="G131" s="21">
        <f t="shared" si="27"/>
        <v>1</v>
      </c>
      <c r="H131" s="628"/>
      <c r="I131" s="21">
        <f t="shared" si="28"/>
        <v>1</v>
      </c>
      <c r="J131" s="628"/>
      <c r="K131" s="21">
        <f t="shared" si="29"/>
        <v>1</v>
      </c>
      <c r="L131" s="628"/>
      <c r="M131" s="21">
        <f t="shared" si="30"/>
        <v>1</v>
      </c>
      <c r="N131" s="628"/>
      <c r="O131" s="21">
        <f t="shared" si="31"/>
        <v>1</v>
      </c>
      <c r="P131" s="628"/>
      <c r="Q131" s="21">
        <f t="shared" si="32"/>
        <v>1</v>
      </c>
      <c r="R131" s="21">
        <f t="shared" si="33"/>
        <v>0</v>
      </c>
      <c r="S131" s="302">
        <f t="shared" si="34"/>
        <v>0</v>
      </c>
    </row>
    <row r="132" spans="1:19">
      <c r="A132" s="136"/>
      <c r="B132" s="52"/>
      <c r="C132" s="21">
        <f t="shared" si="25"/>
        <v>1</v>
      </c>
      <c r="D132" s="628"/>
      <c r="E132" s="21">
        <f t="shared" si="26"/>
        <v>1</v>
      </c>
      <c r="F132" s="628"/>
      <c r="G132" s="21">
        <f t="shared" si="27"/>
        <v>1</v>
      </c>
      <c r="H132" s="628"/>
      <c r="I132" s="21">
        <f t="shared" si="28"/>
        <v>1</v>
      </c>
      <c r="J132" s="628"/>
      <c r="K132" s="21">
        <f t="shared" si="29"/>
        <v>1</v>
      </c>
      <c r="L132" s="628"/>
      <c r="M132" s="21">
        <f t="shared" si="30"/>
        <v>1</v>
      </c>
      <c r="N132" s="628"/>
      <c r="O132" s="21">
        <f t="shared" si="31"/>
        <v>1</v>
      </c>
      <c r="P132" s="628"/>
      <c r="Q132" s="21">
        <f t="shared" si="32"/>
        <v>1</v>
      </c>
      <c r="R132" s="21">
        <f t="shared" si="33"/>
        <v>0</v>
      </c>
      <c r="S132" s="302">
        <f t="shared" si="34"/>
        <v>0</v>
      </c>
    </row>
    <row r="133" spans="1:19">
      <c r="A133" s="136"/>
      <c r="B133" s="52"/>
      <c r="C133" s="21">
        <f t="shared" si="25"/>
        <v>1</v>
      </c>
      <c r="D133" s="628"/>
      <c r="E133" s="21">
        <f t="shared" si="26"/>
        <v>1</v>
      </c>
      <c r="F133" s="628"/>
      <c r="G133" s="21">
        <f t="shared" si="27"/>
        <v>1</v>
      </c>
      <c r="H133" s="628"/>
      <c r="I133" s="21">
        <f t="shared" si="28"/>
        <v>1</v>
      </c>
      <c r="J133" s="628"/>
      <c r="K133" s="21">
        <f t="shared" si="29"/>
        <v>1</v>
      </c>
      <c r="L133" s="628"/>
      <c r="M133" s="21">
        <f t="shared" si="30"/>
        <v>1</v>
      </c>
      <c r="N133" s="628"/>
      <c r="O133" s="21">
        <f t="shared" si="31"/>
        <v>1</v>
      </c>
      <c r="P133" s="628"/>
      <c r="Q133" s="21">
        <f t="shared" si="32"/>
        <v>1</v>
      </c>
      <c r="R133" s="21">
        <f t="shared" si="33"/>
        <v>0</v>
      </c>
      <c r="S133" s="302">
        <f t="shared" si="34"/>
        <v>0</v>
      </c>
    </row>
    <row r="134" spans="1:19">
      <c r="A134" s="136"/>
      <c r="B134" s="52"/>
      <c r="C134" s="21">
        <f t="shared" si="25"/>
        <v>1</v>
      </c>
      <c r="D134" s="628"/>
      <c r="E134" s="21">
        <f t="shared" si="26"/>
        <v>1</v>
      </c>
      <c r="F134" s="628"/>
      <c r="G134" s="21">
        <f t="shared" si="27"/>
        <v>1</v>
      </c>
      <c r="H134" s="628"/>
      <c r="I134" s="21">
        <f t="shared" si="28"/>
        <v>1</v>
      </c>
      <c r="J134" s="628"/>
      <c r="K134" s="21">
        <f t="shared" si="29"/>
        <v>1</v>
      </c>
      <c r="L134" s="628"/>
      <c r="M134" s="21">
        <f t="shared" si="30"/>
        <v>1</v>
      </c>
      <c r="N134" s="628"/>
      <c r="O134" s="21">
        <f t="shared" si="31"/>
        <v>1</v>
      </c>
      <c r="P134" s="628"/>
      <c r="Q134" s="21">
        <f t="shared" si="32"/>
        <v>1</v>
      </c>
      <c r="R134" s="21">
        <f t="shared" si="33"/>
        <v>0</v>
      </c>
      <c r="S134" s="302">
        <f t="shared" si="34"/>
        <v>0</v>
      </c>
    </row>
    <row r="135" spans="1:19">
      <c r="A135" s="136"/>
      <c r="B135" s="52"/>
      <c r="C135" s="21">
        <f t="shared" si="25"/>
        <v>1</v>
      </c>
      <c r="D135" s="628"/>
      <c r="E135" s="21">
        <f t="shared" si="26"/>
        <v>1</v>
      </c>
      <c r="F135" s="628"/>
      <c r="G135" s="21">
        <f t="shared" si="27"/>
        <v>1</v>
      </c>
      <c r="H135" s="628"/>
      <c r="I135" s="21">
        <f t="shared" si="28"/>
        <v>1</v>
      </c>
      <c r="J135" s="628"/>
      <c r="K135" s="21">
        <f t="shared" si="29"/>
        <v>1</v>
      </c>
      <c r="L135" s="628"/>
      <c r="M135" s="21">
        <f t="shared" si="30"/>
        <v>1</v>
      </c>
      <c r="N135" s="628"/>
      <c r="O135" s="21">
        <f t="shared" si="31"/>
        <v>1</v>
      </c>
      <c r="P135" s="628"/>
      <c r="Q135" s="21">
        <f t="shared" si="32"/>
        <v>1</v>
      </c>
      <c r="R135" s="21">
        <f t="shared" si="33"/>
        <v>0</v>
      </c>
      <c r="S135" s="302">
        <f t="shared" si="34"/>
        <v>0</v>
      </c>
    </row>
    <row r="136" spans="1:19">
      <c r="A136" s="136"/>
      <c r="B136" s="52"/>
      <c r="C136" s="21">
        <f t="shared" si="25"/>
        <v>1</v>
      </c>
      <c r="D136" s="628"/>
      <c r="E136" s="21">
        <f t="shared" si="26"/>
        <v>1</v>
      </c>
      <c r="F136" s="628"/>
      <c r="G136" s="21">
        <f t="shared" si="27"/>
        <v>1</v>
      </c>
      <c r="H136" s="628"/>
      <c r="I136" s="21">
        <f t="shared" si="28"/>
        <v>1</v>
      </c>
      <c r="J136" s="628"/>
      <c r="K136" s="21">
        <f t="shared" si="29"/>
        <v>1</v>
      </c>
      <c r="L136" s="628"/>
      <c r="M136" s="21">
        <f t="shared" si="30"/>
        <v>1</v>
      </c>
      <c r="N136" s="628"/>
      <c r="O136" s="21">
        <f t="shared" si="31"/>
        <v>1</v>
      </c>
      <c r="P136" s="628"/>
      <c r="Q136" s="21">
        <f t="shared" si="32"/>
        <v>1</v>
      </c>
      <c r="R136" s="21">
        <f t="shared" si="33"/>
        <v>0</v>
      </c>
      <c r="S136" s="302">
        <f t="shared" si="34"/>
        <v>0</v>
      </c>
    </row>
    <row r="137" spans="1:19">
      <c r="A137" s="136"/>
      <c r="B137" s="52"/>
      <c r="C137" s="21">
        <f t="shared" si="25"/>
        <v>1</v>
      </c>
      <c r="D137" s="628"/>
      <c r="E137" s="21">
        <f t="shared" si="26"/>
        <v>1</v>
      </c>
      <c r="F137" s="628"/>
      <c r="G137" s="21">
        <f t="shared" si="27"/>
        <v>1</v>
      </c>
      <c r="H137" s="628"/>
      <c r="I137" s="21">
        <f t="shared" si="28"/>
        <v>1</v>
      </c>
      <c r="J137" s="628"/>
      <c r="K137" s="21">
        <f t="shared" si="29"/>
        <v>1</v>
      </c>
      <c r="L137" s="628"/>
      <c r="M137" s="21">
        <f t="shared" si="30"/>
        <v>1</v>
      </c>
      <c r="N137" s="628"/>
      <c r="O137" s="21">
        <f t="shared" si="31"/>
        <v>1</v>
      </c>
      <c r="P137" s="628"/>
      <c r="Q137" s="21">
        <f t="shared" si="32"/>
        <v>1</v>
      </c>
      <c r="R137" s="21">
        <f t="shared" si="33"/>
        <v>0</v>
      </c>
      <c r="S137" s="302">
        <f t="shared" si="34"/>
        <v>0</v>
      </c>
    </row>
    <row r="138" spans="1:19">
      <c r="A138" s="136"/>
      <c r="B138" s="52"/>
      <c r="C138" s="21">
        <f t="shared" si="25"/>
        <v>1</v>
      </c>
      <c r="D138" s="628"/>
      <c r="E138" s="21">
        <f t="shared" si="26"/>
        <v>1</v>
      </c>
      <c r="F138" s="628"/>
      <c r="G138" s="21">
        <f t="shared" si="27"/>
        <v>1</v>
      </c>
      <c r="H138" s="628"/>
      <c r="I138" s="21">
        <f t="shared" si="28"/>
        <v>1</v>
      </c>
      <c r="J138" s="628"/>
      <c r="K138" s="21">
        <f t="shared" si="29"/>
        <v>1</v>
      </c>
      <c r="L138" s="628"/>
      <c r="M138" s="21">
        <f t="shared" si="30"/>
        <v>1</v>
      </c>
      <c r="N138" s="628"/>
      <c r="O138" s="21">
        <f t="shared" si="31"/>
        <v>1</v>
      </c>
      <c r="P138" s="628"/>
      <c r="Q138" s="21">
        <f t="shared" si="32"/>
        <v>1</v>
      </c>
      <c r="R138" s="21">
        <f t="shared" si="33"/>
        <v>0</v>
      </c>
      <c r="S138" s="302">
        <f t="shared" si="34"/>
        <v>0</v>
      </c>
    </row>
    <row r="139" spans="1:19">
      <c r="A139" s="136"/>
      <c r="B139" s="52"/>
      <c r="C139" s="21">
        <f t="shared" si="25"/>
        <v>1</v>
      </c>
      <c r="D139" s="628"/>
      <c r="E139" s="21">
        <f t="shared" si="26"/>
        <v>1</v>
      </c>
      <c r="F139" s="628"/>
      <c r="G139" s="21">
        <f t="shared" si="27"/>
        <v>1</v>
      </c>
      <c r="H139" s="628"/>
      <c r="I139" s="21">
        <f t="shared" si="28"/>
        <v>1</v>
      </c>
      <c r="J139" s="628"/>
      <c r="K139" s="21">
        <f t="shared" si="29"/>
        <v>1</v>
      </c>
      <c r="L139" s="628"/>
      <c r="M139" s="21">
        <f t="shared" si="30"/>
        <v>1</v>
      </c>
      <c r="N139" s="628"/>
      <c r="O139" s="21">
        <f t="shared" si="31"/>
        <v>1</v>
      </c>
      <c r="P139" s="628"/>
      <c r="Q139" s="21">
        <f t="shared" si="32"/>
        <v>1</v>
      </c>
      <c r="R139" s="21">
        <f t="shared" si="33"/>
        <v>0</v>
      </c>
      <c r="S139" s="302">
        <f t="shared" si="34"/>
        <v>0</v>
      </c>
    </row>
    <row r="140" spans="1:19">
      <c r="A140" s="136"/>
      <c r="B140" s="52"/>
      <c r="C140" s="21">
        <f t="shared" si="25"/>
        <v>1</v>
      </c>
      <c r="D140" s="628"/>
      <c r="E140" s="21">
        <f t="shared" si="26"/>
        <v>1</v>
      </c>
      <c r="F140" s="628"/>
      <c r="G140" s="21">
        <f t="shared" si="27"/>
        <v>1</v>
      </c>
      <c r="H140" s="628"/>
      <c r="I140" s="21">
        <f t="shared" si="28"/>
        <v>1</v>
      </c>
      <c r="J140" s="628"/>
      <c r="K140" s="21">
        <f t="shared" si="29"/>
        <v>1</v>
      </c>
      <c r="L140" s="628"/>
      <c r="M140" s="21">
        <f t="shared" si="30"/>
        <v>1</v>
      </c>
      <c r="N140" s="628"/>
      <c r="O140" s="21">
        <f t="shared" si="31"/>
        <v>1</v>
      </c>
      <c r="P140" s="628"/>
      <c r="Q140" s="21">
        <f t="shared" si="32"/>
        <v>1</v>
      </c>
      <c r="R140" s="21">
        <f t="shared" si="33"/>
        <v>0</v>
      </c>
      <c r="S140" s="302">
        <f t="shared" si="34"/>
        <v>0</v>
      </c>
    </row>
    <row r="141" spans="1:19">
      <c r="A141" s="136"/>
      <c r="B141" s="52"/>
      <c r="C141" s="21">
        <f t="shared" si="25"/>
        <v>1</v>
      </c>
      <c r="D141" s="628"/>
      <c r="E141" s="21">
        <f t="shared" si="26"/>
        <v>1</v>
      </c>
      <c r="F141" s="628"/>
      <c r="G141" s="21">
        <f t="shared" si="27"/>
        <v>1</v>
      </c>
      <c r="H141" s="628"/>
      <c r="I141" s="21">
        <f t="shared" si="28"/>
        <v>1</v>
      </c>
      <c r="J141" s="628"/>
      <c r="K141" s="21">
        <f t="shared" si="29"/>
        <v>1</v>
      </c>
      <c r="L141" s="628"/>
      <c r="M141" s="21">
        <f t="shared" si="30"/>
        <v>1</v>
      </c>
      <c r="N141" s="628"/>
      <c r="O141" s="21">
        <f t="shared" si="31"/>
        <v>1</v>
      </c>
      <c r="P141" s="628"/>
      <c r="Q141" s="21">
        <f t="shared" si="32"/>
        <v>1</v>
      </c>
      <c r="R141" s="21">
        <f t="shared" si="33"/>
        <v>0</v>
      </c>
      <c r="S141" s="302">
        <f t="shared" si="34"/>
        <v>0</v>
      </c>
    </row>
    <row r="142" spans="1:19">
      <c r="A142" s="136"/>
      <c r="B142" s="52"/>
      <c r="C142" s="21">
        <f t="shared" si="25"/>
        <v>1</v>
      </c>
      <c r="D142" s="628"/>
      <c r="E142" s="21">
        <f t="shared" si="26"/>
        <v>1</v>
      </c>
      <c r="F142" s="628"/>
      <c r="G142" s="21">
        <f t="shared" si="27"/>
        <v>1</v>
      </c>
      <c r="H142" s="628"/>
      <c r="I142" s="21">
        <f t="shared" si="28"/>
        <v>1</v>
      </c>
      <c r="J142" s="628"/>
      <c r="K142" s="21">
        <f t="shared" si="29"/>
        <v>1</v>
      </c>
      <c r="L142" s="628"/>
      <c r="M142" s="21">
        <f t="shared" si="30"/>
        <v>1</v>
      </c>
      <c r="N142" s="628"/>
      <c r="O142" s="21">
        <f t="shared" si="31"/>
        <v>1</v>
      </c>
      <c r="P142" s="628"/>
      <c r="Q142" s="21">
        <f t="shared" si="32"/>
        <v>1</v>
      </c>
      <c r="R142" s="21">
        <f t="shared" si="33"/>
        <v>0</v>
      </c>
      <c r="S142" s="302">
        <f t="shared" si="34"/>
        <v>0</v>
      </c>
    </row>
    <row r="143" spans="1:19">
      <c r="A143" s="136"/>
      <c r="B143" s="52"/>
      <c r="C143" s="21">
        <f t="shared" si="25"/>
        <v>1</v>
      </c>
      <c r="D143" s="628"/>
      <c r="E143" s="21">
        <f t="shared" si="26"/>
        <v>1</v>
      </c>
      <c r="F143" s="628"/>
      <c r="G143" s="21">
        <f t="shared" si="27"/>
        <v>1</v>
      </c>
      <c r="H143" s="628"/>
      <c r="I143" s="21">
        <f t="shared" si="28"/>
        <v>1</v>
      </c>
      <c r="J143" s="628"/>
      <c r="K143" s="21">
        <f t="shared" si="29"/>
        <v>1</v>
      </c>
      <c r="L143" s="628"/>
      <c r="M143" s="21">
        <f t="shared" si="30"/>
        <v>1</v>
      </c>
      <c r="N143" s="628"/>
      <c r="O143" s="21">
        <f t="shared" si="31"/>
        <v>1</v>
      </c>
      <c r="P143" s="628"/>
      <c r="Q143" s="21">
        <f t="shared" si="32"/>
        <v>1</v>
      </c>
      <c r="R143" s="21">
        <f t="shared" si="33"/>
        <v>0</v>
      </c>
      <c r="S143" s="302">
        <f t="shared" si="34"/>
        <v>0</v>
      </c>
    </row>
    <row r="144" spans="1:19">
      <c r="A144" s="136"/>
      <c r="B144" s="52"/>
      <c r="C144" s="21">
        <f t="shared" si="25"/>
        <v>1</v>
      </c>
      <c r="D144" s="628"/>
      <c r="E144" s="21">
        <f t="shared" si="26"/>
        <v>1</v>
      </c>
      <c r="F144" s="628"/>
      <c r="G144" s="21">
        <f t="shared" si="27"/>
        <v>1</v>
      </c>
      <c r="H144" s="628"/>
      <c r="I144" s="21">
        <f t="shared" si="28"/>
        <v>1</v>
      </c>
      <c r="J144" s="628"/>
      <c r="K144" s="21">
        <f t="shared" si="29"/>
        <v>1</v>
      </c>
      <c r="L144" s="628"/>
      <c r="M144" s="21">
        <f t="shared" si="30"/>
        <v>1</v>
      </c>
      <c r="N144" s="628"/>
      <c r="O144" s="21">
        <f t="shared" si="31"/>
        <v>1</v>
      </c>
      <c r="P144" s="628"/>
      <c r="Q144" s="21">
        <f t="shared" si="32"/>
        <v>1</v>
      </c>
      <c r="R144" s="21">
        <f t="shared" si="33"/>
        <v>0</v>
      </c>
      <c r="S144" s="302">
        <f t="shared" si="34"/>
        <v>0</v>
      </c>
    </row>
    <row r="145" spans="1:19">
      <c r="A145" s="136"/>
      <c r="B145" s="52"/>
      <c r="C145" s="21">
        <f t="shared" si="25"/>
        <v>1</v>
      </c>
      <c r="D145" s="628"/>
      <c r="E145" s="21">
        <f t="shared" si="26"/>
        <v>1</v>
      </c>
      <c r="F145" s="628"/>
      <c r="G145" s="21">
        <f t="shared" si="27"/>
        <v>1</v>
      </c>
      <c r="H145" s="628"/>
      <c r="I145" s="21">
        <f t="shared" si="28"/>
        <v>1</v>
      </c>
      <c r="J145" s="628"/>
      <c r="K145" s="21">
        <f t="shared" si="29"/>
        <v>1</v>
      </c>
      <c r="L145" s="628"/>
      <c r="M145" s="21">
        <f t="shared" si="30"/>
        <v>1</v>
      </c>
      <c r="N145" s="628"/>
      <c r="O145" s="21">
        <f t="shared" si="31"/>
        <v>1</v>
      </c>
      <c r="P145" s="628"/>
      <c r="Q145" s="21">
        <f t="shared" si="32"/>
        <v>1</v>
      </c>
      <c r="R145" s="21">
        <f t="shared" si="33"/>
        <v>0</v>
      </c>
      <c r="S145" s="302">
        <f t="shared" si="34"/>
        <v>0</v>
      </c>
    </row>
    <row r="146" spans="1:19">
      <c r="A146" s="136"/>
      <c r="B146" s="52"/>
      <c r="C146" s="21">
        <f t="shared" si="25"/>
        <v>1</v>
      </c>
      <c r="D146" s="628"/>
      <c r="E146" s="21">
        <f t="shared" si="26"/>
        <v>1</v>
      </c>
      <c r="F146" s="628"/>
      <c r="G146" s="21">
        <f t="shared" si="27"/>
        <v>1</v>
      </c>
      <c r="H146" s="628"/>
      <c r="I146" s="21">
        <f t="shared" si="28"/>
        <v>1</v>
      </c>
      <c r="J146" s="628"/>
      <c r="K146" s="21">
        <f t="shared" si="29"/>
        <v>1</v>
      </c>
      <c r="L146" s="628"/>
      <c r="M146" s="21">
        <f t="shared" si="30"/>
        <v>1</v>
      </c>
      <c r="N146" s="628"/>
      <c r="O146" s="21">
        <f t="shared" si="31"/>
        <v>1</v>
      </c>
      <c r="P146" s="628"/>
      <c r="Q146" s="21">
        <f t="shared" si="32"/>
        <v>1</v>
      </c>
      <c r="R146" s="21">
        <f t="shared" si="33"/>
        <v>0</v>
      </c>
      <c r="S146" s="302">
        <f t="shared" si="34"/>
        <v>0</v>
      </c>
    </row>
    <row r="147" spans="1:19">
      <c r="A147" s="136"/>
      <c r="B147" s="52"/>
      <c r="C147" s="21">
        <f t="shared" si="25"/>
        <v>1</v>
      </c>
      <c r="D147" s="628"/>
      <c r="E147" s="21">
        <f t="shared" si="26"/>
        <v>1</v>
      </c>
      <c r="F147" s="628"/>
      <c r="G147" s="21">
        <f t="shared" si="27"/>
        <v>1</v>
      </c>
      <c r="H147" s="628"/>
      <c r="I147" s="21">
        <f t="shared" si="28"/>
        <v>1</v>
      </c>
      <c r="J147" s="628"/>
      <c r="K147" s="21">
        <f t="shared" si="29"/>
        <v>1</v>
      </c>
      <c r="L147" s="628"/>
      <c r="M147" s="21">
        <f t="shared" si="30"/>
        <v>1</v>
      </c>
      <c r="N147" s="628"/>
      <c r="O147" s="21">
        <f t="shared" si="31"/>
        <v>1</v>
      </c>
      <c r="P147" s="628"/>
      <c r="Q147" s="21">
        <f t="shared" si="32"/>
        <v>1</v>
      </c>
      <c r="R147" s="21">
        <f t="shared" si="33"/>
        <v>0</v>
      </c>
      <c r="S147" s="302">
        <f t="shared" si="34"/>
        <v>0</v>
      </c>
    </row>
    <row r="148" spans="1:19">
      <c r="A148" s="136"/>
      <c r="B148" s="52"/>
      <c r="C148" s="21">
        <f t="shared" si="25"/>
        <v>1</v>
      </c>
      <c r="D148" s="628"/>
      <c r="E148" s="21">
        <f t="shared" si="26"/>
        <v>1</v>
      </c>
      <c r="F148" s="628"/>
      <c r="G148" s="21">
        <f t="shared" si="27"/>
        <v>1</v>
      </c>
      <c r="H148" s="628"/>
      <c r="I148" s="21">
        <f t="shared" si="28"/>
        <v>1</v>
      </c>
      <c r="J148" s="628"/>
      <c r="K148" s="21">
        <f t="shared" si="29"/>
        <v>1</v>
      </c>
      <c r="L148" s="628"/>
      <c r="M148" s="21">
        <f t="shared" si="30"/>
        <v>1</v>
      </c>
      <c r="N148" s="628"/>
      <c r="O148" s="21">
        <f t="shared" si="31"/>
        <v>1</v>
      </c>
      <c r="P148" s="628"/>
      <c r="Q148" s="21">
        <f t="shared" si="32"/>
        <v>1</v>
      </c>
      <c r="R148" s="21">
        <f t="shared" si="33"/>
        <v>0</v>
      </c>
      <c r="S148" s="302">
        <f t="shared" si="34"/>
        <v>0</v>
      </c>
    </row>
    <row r="149" spans="1:19">
      <c r="A149" s="136"/>
      <c r="B149" s="52"/>
      <c r="C149" s="21">
        <f t="shared" si="25"/>
        <v>1</v>
      </c>
      <c r="D149" s="628"/>
      <c r="E149" s="21">
        <f t="shared" si="26"/>
        <v>1</v>
      </c>
      <c r="F149" s="628"/>
      <c r="G149" s="21">
        <f t="shared" si="27"/>
        <v>1</v>
      </c>
      <c r="H149" s="628"/>
      <c r="I149" s="21">
        <f t="shared" si="28"/>
        <v>1</v>
      </c>
      <c r="J149" s="628"/>
      <c r="K149" s="21">
        <f t="shared" si="29"/>
        <v>1</v>
      </c>
      <c r="L149" s="628"/>
      <c r="M149" s="21">
        <f t="shared" si="30"/>
        <v>1</v>
      </c>
      <c r="N149" s="628"/>
      <c r="O149" s="21">
        <f t="shared" si="31"/>
        <v>1</v>
      </c>
      <c r="P149" s="628"/>
      <c r="Q149" s="21">
        <f t="shared" si="32"/>
        <v>1</v>
      </c>
      <c r="R149" s="21">
        <f t="shared" si="33"/>
        <v>0</v>
      </c>
      <c r="S149" s="302">
        <f t="shared" si="34"/>
        <v>0</v>
      </c>
    </row>
    <row r="150" spans="1:19">
      <c r="A150" s="136"/>
      <c r="B150" s="52"/>
      <c r="C150" s="21">
        <f t="shared" si="25"/>
        <v>1</v>
      </c>
      <c r="D150" s="628"/>
      <c r="E150" s="21">
        <f t="shared" si="26"/>
        <v>1</v>
      </c>
      <c r="F150" s="628"/>
      <c r="G150" s="21">
        <f t="shared" si="27"/>
        <v>1</v>
      </c>
      <c r="H150" s="628"/>
      <c r="I150" s="21">
        <f t="shared" si="28"/>
        <v>1</v>
      </c>
      <c r="J150" s="628"/>
      <c r="K150" s="21">
        <f t="shared" si="29"/>
        <v>1</v>
      </c>
      <c r="L150" s="628"/>
      <c r="M150" s="21">
        <f t="shared" si="30"/>
        <v>1</v>
      </c>
      <c r="N150" s="628"/>
      <c r="O150" s="21">
        <f t="shared" si="31"/>
        <v>1</v>
      </c>
      <c r="P150" s="628"/>
      <c r="Q150" s="21">
        <f t="shared" si="32"/>
        <v>1</v>
      </c>
      <c r="R150" s="21">
        <f t="shared" si="33"/>
        <v>0</v>
      </c>
      <c r="S150" s="302">
        <f t="shared" si="34"/>
        <v>0</v>
      </c>
    </row>
    <row r="151" spans="1:19">
      <c r="A151" s="136"/>
      <c r="B151" s="52"/>
      <c r="C151" s="21">
        <f t="shared" si="25"/>
        <v>1</v>
      </c>
      <c r="D151" s="628"/>
      <c r="E151" s="21">
        <f t="shared" si="26"/>
        <v>1</v>
      </c>
      <c r="F151" s="628"/>
      <c r="G151" s="21">
        <f t="shared" si="27"/>
        <v>1</v>
      </c>
      <c r="H151" s="628"/>
      <c r="I151" s="21">
        <f t="shared" si="28"/>
        <v>1</v>
      </c>
      <c r="J151" s="628"/>
      <c r="K151" s="21">
        <f t="shared" si="29"/>
        <v>1</v>
      </c>
      <c r="L151" s="628"/>
      <c r="M151" s="21">
        <f t="shared" si="30"/>
        <v>1</v>
      </c>
      <c r="N151" s="628"/>
      <c r="O151" s="21">
        <f t="shared" si="31"/>
        <v>1</v>
      </c>
      <c r="P151" s="628"/>
      <c r="Q151" s="21">
        <f t="shared" si="32"/>
        <v>1</v>
      </c>
      <c r="R151" s="21">
        <f t="shared" si="33"/>
        <v>0</v>
      </c>
      <c r="S151" s="302">
        <f t="shared" si="34"/>
        <v>0</v>
      </c>
    </row>
    <row r="152" spans="1:19">
      <c r="A152" s="136"/>
      <c r="B152" s="52"/>
      <c r="C152" s="21">
        <f t="shared" si="25"/>
        <v>1</v>
      </c>
      <c r="D152" s="628"/>
      <c r="E152" s="21">
        <f t="shared" si="26"/>
        <v>1</v>
      </c>
      <c r="F152" s="628"/>
      <c r="G152" s="21">
        <f t="shared" si="27"/>
        <v>1</v>
      </c>
      <c r="H152" s="628"/>
      <c r="I152" s="21">
        <f t="shared" si="28"/>
        <v>1</v>
      </c>
      <c r="J152" s="628"/>
      <c r="K152" s="21">
        <f t="shared" si="29"/>
        <v>1</v>
      </c>
      <c r="L152" s="628"/>
      <c r="M152" s="21">
        <f t="shared" si="30"/>
        <v>1</v>
      </c>
      <c r="N152" s="628"/>
      <c r="O152" s="21">
        <f t="shared" si="31"/>
        <v>1</v>
      </c>
      <c r="P152" s="628"/>
      <c r="Q152" s="21">
        <f t="shared" si="32"/>
        <v>1</v>
      </c>
      <c r="R152" s="21">
        <f t="shared" si="33"/>
        <v>0</v>
      </c>
      <c r="S152" s="302">
        <f t="shared" si="34"/>
        <v>0</v>
      </c>
    </row>
    <row r="153" spans="1:19">
      <c r="A153" s="136"/>
      <c r="B153" s="52"/>
      <c r="C153" s="21">
        <f t="shared" si="25"/>
        <v>1</v>
      </c>
      <c r="D153" s="628"/>
      <c r="E153" s="21">
        <f t="shared" si="26"/>
        <v>1</v>
      </c>
      <c r="F153" s="628"/>
      <c r="G153" s="21">
        <f t="shared" si="27"/>
        <v>1</v>
      </c>
      <c r="H153" s="628"/>
      <c r="I153" s="21">
        <f t="shared" si="28"/>
        <v>1</v>
      </c>
      <c r="J153" s="628"/>
      <c r="K153" s="21">
        <f t="shared" si="29"/>
        <v>1</v>
      </c>
      <c r="L153" s="628"/>
      <c r="M153" s="21">
        <f t="shared" si="30"/>
        <v>1</v>
      </c>
      <c r="N153" s="628"/>
      <c r="O153" s="21">
        <f t="shared" si="31"/>
        <v>1</v>
      </c>
      <c r="P153" s="628"/>
      <c r="Q153" s="21">
        <f t="shared" si="32"/>
        <v>1</v>
      </c>
      <c r="R153" s="21">
        <f t="shared" si="33"/>
        <v>0</v>
      </c>
      <c r="S153" s="302">
        <f t="shared" si="34"/>
        <v>0</v>
      </c>
    </row>
    <row r="154" spans="1:19">
      <c r="A154" s="136"/>
      <c r="B154" s="52"/>
      <c r="C154" s="21">
        <f t="shared" ref="C154:C217" si="35">IF(B154="",1,(LOOKUP(B154,$3:$3,$4:$4)-LOOKUP($B$24,$3:$3,$4:$4)+100)/100)</f>
        <v>1</v>
      </c>
      <c r="D154" s="628"/>
      <c r="E154" s="21">
        <f t="shared" ref="E154:E217" si="36">(SUMIF($5:$5,D154,$6:$6)-SUMIF($5:$5,$D$24,$6:$6)+100)/100</f>
        <v>1</v>
      </c>
      <c r="F154" s="628"/>
      <c r="G154" s="21">
        <f t="shared" ref="G154:G217" si="37">(SUMIF($7:$7,F154,$8:$8)-SUMIF($7:$7,$F$24,$8:$8)+100)/100</f>
        <v>1</v>
      </c>
      <c r="H154" s="628"/>
      <c r="I154" s="21">
        <f t="shared" ref="I154:I217" si="38">(SUMIF($9:$9,H154,$10:$10)-SUMIF($9:$9,$H$24,$10:$10)+100)/100</f>
        <v>1</v>
      </c>
      <c r="J154" s="628"/>
      <c r="K154" s="21">
        <f t="shared" ref="K154:K217" si="39">(SUMIF($11:$11,J154,$12:$12)-SUMIF($11:$11,$J$24,$12:$12)+100)/100</f>
        <v>1</v>
      </c>
      <c r="L154" s="628"/>
      <c r="M154" s="21">
        <f t="shared" ref="M154:M217" si="40">(SUMIF($13:$13,L154,$14:$14)-SUMIF($13:$13,$L$24,$14:$14)+100)/100</f>
        <v>1</v>
      </c>
      <c r="N154" s="628"/>
      <c r="O154" s="21">
        <f t="shared" ref="O154:O217" si="41">(SUMIF($15:$15,N154,$16:$16)-SUMIF($15:$15,$N$24,$16:$16)+100)/100</f>
        <v>1</v>
      </c>
      <c r="P154" s="628"/>
      <c r="Q154" s="21">
        <f t="shared" ref="Q154:Q217" si="42">(SUMIF($17:$17,P154,$18:$18)-SUMIF($17:$17,$P$24,$18:$18)+100)/100</f>
        <v>1</v>
      </c>
      <c r="R154" s="21">
        <f t="shared" ref="R154:R217" si="43">IF(B154="",0,ROUND($R$24*C154*E154*G154*I154*K154*M154*O154*Q154,0))</f>
        <v>0</v>
      </c>
      <c r="S154" s="302">
        <f t="shared" si="34"/>
        <v>0</v>
      </c>
    </row>
    <row r="155" spans="1:19">
      <c r="A155" s="136"/>
      <c r="B155" s="52"/>
      <c r="C155" s="21">
        <f t="shared" si="35"/>
        <v>1</v>
      </c>
      <c r="D155" s="628"/>
      <c r="E155" s="21">
        <f t="shared" si="36"/>
        <v>1</v>
      </c>
      <c r="F155" s="628"/>
      <c r="G155" s="21">
        <f t="shared" si="37"/>
        <v>1</v>
      </c>
      <c r="H155" s="628"/>
      <c r="I155" s="21">
        <f t="shared" si="38"/>
        <v>1</v>
      </c>
      <c r="J155" s="628"/>
      <c r="K155" s="21">
        <f t="shared" si="39"/>
        <v>1</v>
      </c>
      <c r="L155" s="628"/>
      <c r="M155" s="21">
        <f t="shared" si="40"/>
        <v>1</v>
      </c>
      <c r="N155" s="628"/>
      <c r="O155" s="21">
        <f t="shared" si="41"/>
        <v>1</v>
      </c>
      <c r="P155" s="628"/>
      <c r="Q155" s="21">
        <f t="shared" si="42"/>
        <v>1</v>
      </c>
      <c r="R155" s="21">
        <f t="shared" si="43"/>
        <v>0</v>
      </c>
      <c r="S155" s="302">
        <f t="shared" si="34"/>
        <v>0</v>
      </c>
    </row>
    <row r="156" spans="1:19">
      <c r="A156" s="136"/>
      <c r="B156" s="52"/>
      <c r="C156" s="21">
        <f t="shared" si="35"/>
        <v>1</v>
      </c>
      <c r="D156" s="628"/>
      <c r="E156" s="21">
        <f t="shared" si="36"/>
        <v>1</v>
      </c>
      <c r="F156" s="628"/>
      <c r="G156" s="21">
        <f t="shared" si="37"/>
        <v>1</v>
      </c>
      <c r="H156" s="628"/>
      <c r="I156" s="21">
        <f t="shared" si="38"/>
        <v>1</v>
      </c>
      <c r="J156" s="628"/>
      <c r="K156" s="21">
        <f t="shared" si="39"/>
        <v>1</v>
      </c>
      <c r="L156" s="628"/>
      <c r="M156" s="21">
        <f t="shared" si="40"/>
        <v>1</v>
      </c>
      <c r="N156" s="628"/>
      <c r="O156" s="21">
        <f t="shared" si="41"/>
        <v>1</v>
      </c>
      <c r="P156" s="628"/>
      <c r="Q156" s="21">
        <f t="shared" si="42"/>
        <v>1</v>
      </c>
      <c r="R156" s="21">
        <f t="shared" si="43"/>
        <v>0</v>
      </c>
      <c r="S156" s="302">
        <f t="shared" si="34"/>
        <v>0</v>
      </c>
    </row>
    <row r="157" spans="1:19">
      <c r="A157" s="136"/>
      <c r="B157" s="52"/>
      <c r="C157" s="21">
        <f t="shared" si="35"/>
        <v>1</v>
      </c>
      <c r="D157" s="628"/>
      <c r="E157" s="21">
        <f t="shared" si="36"/>
        <v>1</v>
      </c>
      <c r="F157" s="628"/>
      <c r="G157" s="21">
        <f t="shared" si="37"/>
        <v>1</v>
      </c>
      <c r="H157" s="628"/>
      <c r="I157" s="21">
        <f t="shared" si="38"/>
        <v>1</v>
      </c>
      <c r="J157" s="628"/>
      <c r="K157" s="21">
        <f t="shared" si="39"/>
        <v>1</v>
      </c>
      <c r="L157" s="628"/>
      <c r="M157" s="21">
        <f t="shared" si="40"/>
        <v>1</v>
      </c>
      <c r="N157" s="628"/>
      <c r="O157" s="21">
        <f t="shared" si="41"/>
        <v>1</v>
      </c>
      <c r="P157" s="628"/>
      <c r="Q157" s="21">
        <f t="shared" si="42"/>
        <v>1</v>
      </c>
      <c r="R157" s="21">
        <f t="shared" si="43"/>
        <v>0</v>
      </c>
      <c r="S157" s="302">
        <f t="shared" si="34"/>
        <v>0</v>
      </c>
    </row>
    <row r="158" spans="1:19">
      <c r="A158" s="136"/>
      <c r="B158" s="52"/>
      <c r="C158" s="21">
        <f t="shared" si="35"/>
        <v>1</v>
      </c>
      <c r="D158" s="628"/>
      <c r="E158" s="21">
        <f t="shared" si="36"/>
        <v>1</v>
      </c>
      <c r="F158" s="628"/>
      <c r="G158" s="21">
        <f t="shared" si="37"/>
        <v>1</v>
      </c>
      <c r="H158" s="628"/>
      <c r="I158" s="21">
        <f t="shared" si="38"/>
        <v>1</v>
      </c>
      <c r="J158" s="628"/>
      <c r="K158" s="21">
        <f t="shared" si="39"/>
        <v>1</v>
      </c>
      <c r="L158" s="628"/>
      <c r="M158" s="21">
        <f t="shared" si="40"/>
        <v>1</v>
      </c>
      <c r="N158" s="628"/>
      <c r="O158" s="21">
        <f t="shared" si="41"/>
        <v>1</v>
      </c>
      <c r="P158" s="628"/>
      <c r="Q158" s="21">
        <f t="shared" si="42"/>
        <v>1</v>
      </c>
      <c r="R158" s="21">
        <f t="shared" si="43"/>
        <v>0</v>
      </c>
      <c r="S158" s="302">
        <f t="shared" si="34"/>
        <v>0</v>
      </c>
    </row>
    <row r="159" spans="1:19">
      <c r="A159" s="136"/>
      <c r="B159" s="52"/>
      <c r="C159" s="21">
        <f t="shared" si="35"/>
        <v>1</v>
      </c>
      <c r="D159" s="628"/>
      <c r="E159" s="21">
        <f t="shared" si="36"/>
        <v>1</v>
      </c>
      <c r="F159" s="628"/>
      <c r="G159" s="21">
        <f t="shared" si="37"/>
        <v>1</v>
      </c>
      <c r="H159" s="628"/>
      <c r="I159" s="21">
        <f t="shared" si="38"/>
        <v>1</v>
      </c>
      <c r="J159" s="628"/>
      <c r="K159" s="21">
        <f t="shared" si="39"/>
        <v>1</v>
      </c>
      <c r="L159" s="628"/>
      <c r="M159" s="21">
        <f t="shared" si="40"/>
        <v>1</v>
      </c>
      <c r="N159" s="628"/>
      <c r="O159" s="21">
        <f t="shared" si="41"/>
        <v>1</v>
      </c>
      <c r="P159" s="628"/>
      <c r="Q159" s="21">
        <f t="shared" si="42"/>
        <v>1</v>
      </c>
      <c r="R159" s="21">
        <f t="shared" si="43"/>
        <v>0</v>
      </c>
      <c r="S159" s="302">
        <f t="shared" si="34"/>
        <v>0</v>
      </c>
    </row>
    <row r="160" spans="1:19">
      <c r="A160" s="136"/>
      <c r="B160" s="52"/>
      <c r="C160" s="21">
        <f t="shared" si="35"/>
        <v>1</v>
      </c>
      <c r="D160" s="628"/>
      <c r="E160" s="21">
        <f t="shared" si="36"/>
        <v>1</v>
      </c>
      <c r="F160" s="628"/>
      <c r="G160" s="21">
        <f t="shared" si="37"/>
        <v>1</v>
      </c>
      <c r="H160" s="628"/>
      <c r="I160" s="21">
        <f t="shared" si="38"/>
        <v>1</v>
      </c>
      <c r="J160" s="628"/>
      <c r="K160" s="21">
        <f t="shared" si="39"/>
        <v>1</v>
      </c>
      <c r="L160" s="628"/>
      <c r="M160" s="21">
        <f t="shared" si="40"/>
        <v>1</v>
      </c>
      <c r="N160" s="628"/>
      <c r="O160" s="21">
        <f t="shared" si="41"/>
        <v>1</v>
      </c>
      <c r="P160" s="628"/>
      <c r="Q160" s="21">
        <f t="shared" si="42"/>
        <v>1</v>
      </c>
      <c r="R160" s="21">
        <f t="shared" si="43"/>
        <v>0</v>
      </c>
      <c r="S160" s="302">
        <f t="shared" si="34"/>
        <v>0</v>
      </c>
    </row>
    <row r="161" spans="1:19">
      <c r="A161" s="136"/>
      <c r="B161" s="52"/>
      <c r="C161" s="21">
        <f t="shared" si="35"/>
        <v>1</v>
      </c>
      <c r="D161" s="628"/>
      <c r="E161" s="21">
        <f t="shared" si="36"/>
        <v>1</v>
      </c>
      <c r="F161" s="628"/>
      <c r="G161" s="21">
        <f t="shared" si="37"/>
        <v>1</v>
      </c>
      <c r="H161" s="628"/>
      <c r="I161" s="21">
        <f t="shared" si="38"/>
        <v>1</v>
      </c>
      <c r="J161" s="628"/>
      <c r="K161" s="21">
        <f t="shared" si="39"/>
        <v>1</v>
      </c>
      <c r="L161" s="628"/>
      <c r="M161" s="21">
        <f t="shared" si="40"/>
        <v>1</v>
      </c>
      <c r="N161" s="628"/>
      <c r="O161" s="21">
        <f t="shared" si="41"/>
        <v>1</v>
      </c>
      <c r="P161" s="628"/>
      <c r="Q161" s="21">
        <f t="shared" si="42"/>
        <v>1</v>
      </c>
      <c r="R161" s="21">
        <f t="shared" si="43"/>
        <v>0</v>
      </c>
      <c r="S161" s="302">
        <f t="shared" si="34"/>
        <v>0</v>
      </c>
    </row>
    <row r="162" spans="1:19">
      <c r="A162" s="136"/>
      <c r="B162" s="52"/>
      <c r="C162" s="21">
        <f t="shared" si="35"/>
        <v>1</v>
      </c>
      <c r="D162" s="628"/>
      <c r="E162" s="21">
        <f t="shared" si="36"/>
        <v>1</v>
      </c>
      <c r="F162" s="628"/>
      <c r="G162" s="21">
        <f t="shared" si="37"/>
        <v>1</v>
      </c>
      <c r="H162" s="628"/>
      <c r="I162" s="21">
        <f t="shared" si="38"/>
        <v>1</v>
      </c>
      <c r="J162" s="628"/>
      <c r="K162" s="21">
        <f t="shared" si="39"/>
        <v>1</v>
      </c>
      <c r="L162" s="628"/>
      <c r="M162" s="21">
        <f t="shared" si="40"/>
        <v>1</v>
      </c>
      <c r="N162" s="628"/>
      <c r="O162" s="21">
        <f t="shared" si="41"/>
        <v>1</v>
      </c>
      <c r="P162" s="628"/>
      <c r="Q162" s="21">
        <f t="shared" si="42"/>
        <v>1</v>
      </c>
      <c r="R162" s="21">
        <f t="shared" si="43"/>
        <v>0</v>
      </c>
      <c r="S162" s="302">
        <f t="shared" si="34"/>
        <v>0</v>
      </c>
    </row>
    <row r="163" spans="1:19">
      <c r="A163" s="136"/>
      <c r="B163" s="52"/>
      <c r="C163" s="21">
        <f t="shared" si="35"/>
        <v>1</v>
      </c>
      <c r="D163" s="628"/>
      <c r="E163" s="21">
        <f t="shared" si="36"/>
        <v>1</v>
      </c>
      <c r="F163" s="628"/>
      <c r="G163" s="21">
        <f t="shared" si="37"/>
        <v>1</v>
      </c>
      <c r="H163" s="628"/>
      <c r="I163" s="21">
        <f t="shared" si="38"/>
        <v>1</v>
      </c>
      <c r="J163" s="628"/>
      <c r="K163" s="21">
        <f t="shared" si="39"/>
        <v>1</v>
      </c>
      <c r="L163" s="628"/>
      <c r="M163" s="21">
        <f t="shared" si="40"/>
        <v>1</v>
      </c>
      <c r="N163" s="628"/>
      <c r="O163" s="21">
        <f t="shared" si="41"/>
        <v>1</v>
      </c>
      <c r="P163" s="628"/>
      <c r="Q163" s="21">
        <f t="shared" si="42"/>
        <v>1</v>
      </c>
      <c r="R163" s="21">
        <f t="shared" si="43"/>
        <v>0</v>
      </c>
      <c r="S163" s="302">
        <f t="shared" si="34"/>
        <v>0</v>
      </c>
    </row>
    <row r="164" spans="1:19">
      <c r="A164" s="136"/>
      <c r="B164" s="52"/>
      <c r="C164" s="21">
        <f t="shared" si="35"/>
        <v>1</v>
      </c>
      <c r="D164" s="628"/>
      <c r="E164" s="21">
        <f t="shared" si="36"/>
        <v>1</v>
      </c>
      <c r="F164" s="628"/>
      <c r="G164" s="21">
        <f t="shared" si="37"/>
        <v>1</v>
      </c>
      <c r="H164" s="628"/>
      <c r="I164" s="21">
        <f t="shared" si="38"/>
        <v>1</v>
      </c>
      <c r="J164" s="628"/>
      <c r="K164" s="21">
        <f t="shared" si="39"/>
        <v>1</v>
      </c>
      <c r="L164" s="628"/>
      <c r="M164" s="21">
        <f t="shared" si="40"/>
        <v>1</v>
      </c>
      <c r="N164" s="628"/>
      <c r="O164" s="21">
        <f t="shared" si="41"/>
        <v>1</v>
      </c>
      <c r="P164" s="628"/>
      <c r="Q164" s="21">
        <f t="shared" si="42"/>
        <v>1</v>
      </c>
      <c r="R164" s="21">
        <f t="shared" si="43"/>
        <v>0</v>
      </c>
      <c r="S164" s="302">
        <f t="shared" si="34"/>
        <v>0</v>
      </c>
    </row>
    <row r="165" spans="1:19">
      <c r="A165" s="136"/>
      <c r="B165" s="52"/>
      <c r="C165" s="21">
        <f t="shared" si="35"/>
        <v>1</v>
      </c>
      <c r="D165" s="628"/>
      <c r="E165" s="21">
        <f t="shared" si="36"/>
        <v>1</v>
      </c>
      <c r="F165" s="628"/>
      <c r="G165" s="21">
        <f t="shared" si="37"/>
        <v>1</v>
      </c>
      <c r="H165" s="628"/>
      <c r="I165" s="21">
        <f t="shared" si="38"/>
        <v>1</v>
      </c>
      <c r="J165" s="628"/>
      <c r="K165" s="21">
        <f t="shared" si="39"/>
        <v>1</v>
      </c>
      <c r="L165" s="628"/>
      <c r="M165" s="21">
        <f t="shared" si="40"/>
        <v>1</v>
      </c>
      <c r="N165" s="628"/>
      <c r="O165" s="21">
        <f t="shared" si="41"/>
        <v>1</v>
      </c>
      <c r="P165" s="628"/>
      <c r="Q165" s="21">
        <f t="shared" si="42"/>
        <v>1</v>
      </c>
      <c r="R165" s="21">
        <f t="shared" si="43"/>
        <v>0</v>
      </c>
      <c r="S165" s="302">
        <f t="shared" si="34"/>
        <v>0</v>
      </c>
    </row>
    <row r="166" spans="1:19">
      <c r="A166" s="136"/>
      <c r="B166" s="52"/>
      <c r="C166" s="21">
        <f t="shared" si="35"/>
        <v>1</v>
      </c>
      <c r="D166" s="628"/>
      <c r="E166" s="21">
        <f t="shared" si="36"/>
        <v>1</v>
      </c>
      <c r="F166" s="628"/>
      <c r="G166" s="21">
        <f t="shared" si="37"/>
        <v>1</v>
      </c>
      <c r="H166" s="628"/>
      <c r="I166" s="21">
        <f t="shared" si="38"/>
        <v>1</v>
      </c>
      <c r="J166" s="628"/>
      <c r="K166" s="21">
        <f t="shared" si="39"/>
        <v>1</v>
      </c>
      <c r="L166" s="628"/>
      <c r="M166" s="21">
        <f t="shared" si="40"/>
        <v>1</v>
      </c>
      <c r="N166" s="628"/>
      <c r="O166" s="21">
        <f t="shared" si="41"/>
        <v>1</v>
      </c>
      <c r="P166" s="628"/>
      <c r="Q166" s="21">
        <f t="shared" si="42"/>
        <v>1</v>
      </c>
      <c r="R166" s="21">
        <f t="shared" si="43"/>
        <v>0</v>
      </c>
      <c r="S166" s="302">
        <f t="shared" si="34"/>
        <v>0</v>
      </c>
    </row>
    <row r="167" spans="1:19">
      <c r="A167" s="136"/>
      <c r="B167" s="52"/>
      <c r="C167" s="21">
        <f t="shared" si="35"/>
        <v>1</v>
      </c>
      <c r="D167" s="628"/>
      <c r="E167" s="21">
        <f t="shared" si="36"/>
        <v>1</v>
      </c>
      <c r="F167" s="628"/>
      <c r="G167" s="21">
        <f t="shared" si="37"/>
        <v>1</v>
      </c>
      <c r="H167" s="628"/>
      <c r="I167" s="21">
        <f t="shared" si="38"/>
        <v>1</v>
      </c>
      <c r="J167" s="628"/>
      <c r="K167" s="21">
        <f t="shared" si="39"/>
        <v>1</v>
      </c>
      <c r="L167" s="628"/>
      <c r="M167" s="21">
        <f t="shared" si="40"/>
        <v>1</v>
      </c>
      <c r="N167" s="628"/>
      <c r="O167" s="21">
        <f t="shared" si="41"/>
        <v>1</v>
      </c>
      <c r="P167" s="628"/>
      <c r="Q167" s="21">
        <f t="shared" si="42"/>
        <v>1</v>
      </c>
      <c r="R167" s="21">
        <f t="shared" si="43"/>
        <v>0</v>
      </c>
      <c r="S167" s="302">
        <f t="shared" si="34"/>
        <v>0</v>
      </c>
    </row>
    <row r="168" spans="1:19">
      <c r="A168" s="136"/>
      <c r="B168" s="52"/>
      <c r="C168" s="21">
        <f t="shared" si="35"/>
        <v>1</v>
      </c>
      <c r="D168" s="628"/>
      <c r="E168" s="21">
        <f t="shared" si="36"/>
        <v>1</v>
      </c>
      <c r="F168" s="628"/>
      <c r="G168" s="21">
        <f t="shared" si="37"/>
        <v>1</v>
      </c>
      <c r="H168" s="628"/>
      <c r="I168" s="21">
        <f t="shared" si="38"/>
        <v>1</v>
      </c>
      <c r="J168" s="628"/>
      <c r="K168" s="21">
        <f t="shared" si="39"/>
        <v>1</v>
      </c>
      <c r="L168" s="628"/>
      <c r="M168" s="21">
        <f t="shared" si="40"/>
        <v>1</v>
      </c>
      <c r="N168" s="628"/>
      <c r="O168" s="21">
        <f t="shared" si="41"/>
        <v>1</v>
      </c>
      <c r="P168" s="628"/>
      <c r="Q168" s="21">
        <f t="shared" si="42"/>
        <v>1</v>
      </c>
      <c r="R168" s="21">
        <f t="shared" si="43"/>
        <v>0</v>
      </c>
      <c r="S168" s="302">
        <f t="shared" si="34"/>
        <v>0</v>
      </c>
    </row>
    <row r="169" spans="1:19">
      <c r="A169" s="136"/>
      <c r="B169" s="52"/>
      <c r="C169" s="21">
        <f t="shared" si="35"/>
        <v>1</v>
      </c>
      <c r="D169" s="628"/>
      <c r="E169" s="21">
        <f t="shared" si="36"/>
        <v>1</v>
      </c>
      <c r="F169" s="628"/>
      <c r="G169" s="21">
        <f t="shared" si="37"/>
        <v>1</v>
      </c>
      <c r="H169" s="628"/>
      <c r="I169" s="21">
        <f t="shared" si="38"/>
        <v>1</v>
      </c>
      <c r="J169" s="628"/>
      <c r="K169" s="21">
        <f t="shared" si="39"/>
        <v>1</v>
      </c>
      <c r="L169" s="628"/>
      <c r="M169" s="21">
        <f t="shared" si="40"/>
        <v>1</v>
      </c>
      <c r="N169" s="628"/>
      <c r="O169" s="21">
        <f t="shared" si="41"/>
        <v>1</v>
      </c>
      <c r="P169" s="628"/>
      <c r="Q169" s="21">
        <f t="shared" si="42"/>
        <v>1</v>
      </c>
      <c r="R169" s="21">
        <f t="shared" si="43"/>
        <v>0</v>
      </c>
      <c r="S169" s="302">
        <f t="shared" si="34"/>
        <v>0</v>
      </c>
    </row>
    <row r="170" spans="1:19">
      <c r="A170" s="136"/>
      <c r="B170" s="52"/>
      <c r="C170" s="21">
        <f t="shared" si="35"/>
        <v>1</v>
      </c>
      <c r="D170" s="628"/>
      <c r="E170" s="21">
        <f t="shared" si="36"/>
        <v>1</v>
      </c>
      <c r="F170" s="628"/>
      <c r="G170" s="21">
        <f t="shared" si="37"/>
        <v>1</v>
      </c>
      <c r="H170" s="628"/>
      <c r="I170" s="21">
        <f t="shared" si="38"/>
        <v>1</v>
      </c>
      <c r="J170" s="628"/>
      <c r="K170" s="21">
        <f t="shared" si="39"/>
        <v>1</v>
      </c>
      <c r="L170" s="628"/>
      <c r="M170" s="21">
        <f t="shared" si="40"/>
        <v>1</v>
      </c>
      <c r="N170" s="628"/>
      <c r="O170" s="21">
        <f t="shared" si="41"/>
        <v>1</v>
      </c>
      <c r="P170" s="628"/>
      <c r="Q170" s="21">
        <f t="shared" si="42"/>
        <v>1</v>
      </c>
      <c r="R170" s="21">
        <f t="shared" si="43"/>
        <v>0</v>
      </c>
      <c r="S170" s="302">
        <f t="shared" si="34"/>
        <v>0</v>
      </c>
    </row>
    <row r="171" spans="1:19">
      <c r="A171" s="136"/>
      <c r="B171" s="52"/>
      <c r="C171" s="21">
        <f t="shared" si="35"/>
        <v>1</v>
      </c>
      <c r="D171" s="628"/>
      <c r="E171" s="21">
        <f t="shared" si="36"/>
        <v>1</v>
      </c>
      <c r="F171" s="628"/>
      <c r="G171" s="21">
        <f t="shared" si="37"/>
        <v>1</v>
      </c>
      <c r="H171" s="628"/>
      <c r="I171" s="21">
        <f t="shared" si="38"/>
        <v>1</v>
      </c>
      <c r="J171" s="628"/>
      <c r="K171" s="21">
        <f t="shared" si="39"/>
        <v>1</v>
      </c>
      <c r="L171" s="628"/>
      <c r="M171" s="21">
        <f t="shared" si="40"/>
        <v>1</v>
      </c>
      <c r="N171" s="628"/>
      <c r="O171" s="21">
        <f t="shared" si="41"/>
        <v>1</v>
      </c>
      <c r="P171" s="628"/>
      <c r="Q171" s="21">
        <f t="shared" si="42"/>
        <v>1</v>
      </c>
      <c r="R171" s="21">
        <f t="shared" si="43"/>
        <v>0</v>
      </c>
      <c r="S171" s="302">
        <f t="shared" si="34"/>
        <v>0</v>
      </c>
    </row>
    <row r="172" spans="1:19">
      <c r="A172" s="136"/>
      <c r="B172" s="52"/>
      <c r="C172" s="21">
        <f t="shared" si="35"/>
        <v>1</v>
      </c>
      <c r="D172" s="628"/>
      <c r="E172" s="21">
        <f t="shared" si="36"/>
        <v>1</v>
      </c>
      <c r="F172" s="628"/>
      <c r="G172" s="21">
        <f t="shared" si="37"/>
        <v>1</v>
      </c>
      <c r="H172" s="628"/>
      <c r="I172" s="21">
        <f t="shared" si="38"/>
        <v>1</v>
      </c>
      <c r="J172" s="628"/>
      <c r="K172" s="21">
        <f t="shared" si="39"/>
        <v>1</v>
      </c>
      <c r="L172" s="628"/>
      <c r="M172" s="21">
        <f t="shared" si="40"/>
        <v>1</v>
      </c>
      <c r="N172" s="628"/>
      <c r="O172" s="21">
        <f t="shared" si="41"/>
        <v>1</v>
      </c>
      <c r="P172" s="628"/>
      <c r="Q172" s="21">
        <f t="shared" si="42"/>
        <v>1</v>
      </c>
      <c r="R172" s="21">
        <f t="shared" si="43"/>
        <v>0</v>
      </c>
      <c r="S172" s="302">
        <f t="shared" si="34"/>
        <v>0</v>
      </c>
    </row>
    <row r="173" spans="1:19">
      <c r="A173" s="136"/>
      <c r="B173" s="52"/>
      <c r="C173" s="21">
        <f t="shared" si="35"/>
        <v>1</v>
      </c>
      <c r="D173" s="628"/>
      <c r="E173" s="21">
        <f t="shared" si="36"/>
        <v>1</v>
      </c>
      <c r="F173" s="628"/>
      <c r="G173" s="21">
        <f t="shared" si="37"/>
        <v>1</v>
      </c>
      <c r="H173" s="628"/>
      <c r="I173" s="21">
        <f t="shared" si="38"/>
        <v>1</v>
      </c>
      <c r="J173" s="628"/>
      <c r="K173" s="21">
        <f t="shared" si="39"/>
        <v>1</v>
      </c>
      <c r="L173" s="628"/>
      <c r="M173" s="21">
        <f t="shared" si="40"/>
        <v>1</v>
      </c>
      <c r="N173" s="628"/>
      <c r="O173" s="21">
        <f t="shared" si="41"/>
        <v>1</v>
      </c>
      <c r="P173" s="628"/>
      <c r="Q173" s="21">
        <f t="shared" si="42"/>
        <v>1</v>
      </c>
      <c r="R173" s="21">
        <f t="shared" si="43"/>
        <v>0</v>
      </c>
      <c r="S173" s="302">
        <f t="shared" si="34"/>
        <v>0</v>
      </c>
    </row>
    <row r="174" spans="1:19">
      <c r="A174" s="136"/>
      <c r="B174" s="52"/>
      <c r="C174" s="21">
        <f t="shared" si="35"/>
        <v>1</v>
      </c>
      <c r="D174" s="628"/>
      <c r="E174" s="21">
        <f t="shared" si="36"/>
        <v>1</v>
      </c>
      <c r="F174" s="628"/>
      <c r="G174" s="21">
        <f t="shared" si="37"/>
        <v>1</v>
      </c>
      <c r="H174" s="628"/>
      <c r="I174" s="21">
        <f t="shared" si="38"/>
        <v>1</v>
      </c>
      <c r="J174" s="628"/>
      <c r="K174" s="21">
        <f t="shared" si="39"/>
        <v>1</v>
      </c>
      <c r="L174" s="628"/>
      <c r="M174" s="21">
        <f t="shared" si="40"/>
        <v>1</v>
      </c>
      <c r="N174" s="628"/>
      <c r="O174" s="21">
        <f t="shared" si="41"/>
        <v>1</v>
      </c>
      <c r="P174" s="628"/>
      <c r="Q174" s="21">
        <f t="shared" si="42"/>
        <v>1</v>
      </c>
      <c r="R174" s="21">
        <f t="shared" si="43"/>
        <v>0</v>
      </c>
      <c r="S174" s="302">
        <f t="shared" si="34"/>
        <v>0</v>
      </c>
    </row>
    <row r="175" spans="1:19">
      <c r="A175" s="136"/>
      <c r="B175" s="52"/>
      <c r="C175" s="21">
        <f t="shared" si="35"/>
        <v>1</v>
      </c>
      <c r="D175" s="628"/>
      <c r="E175" s="21">
        <f t="shared" si="36"/>
        <v>1</v>
      </c>
      <c r="F175" s="628"/>
      <c r="G175" s="21">
        <f t="shared" si="37"/>
        <v>1</v>
      </c>
      <c r="H175" s="628"/>
      <c r="I175" s="21">
        <f t="shared" si="38"/>
        <v>1</v>
      </c>
      <c r="J175" s="628"/>
      <c r="K175" s="21">
        <f t="shared" si="39"/>
        <v>1</v>
      </c>
      <c r="L175" s="628"/>
      <c r="M175" s="21">
        <f t="shared" si="40"/>
        <v>1</v>
      </c>
      <c r="N175" s="628"/>
      <c r="O175" s="21">
        <f t="shared" si="41"/>
        <v>1</v>
      </c>
      <c r="P175" s="628"/>
      <c r="Q175" s="21">
        <f t="shared" si="42"/>
        <v>1</v>
      </c>
      <c r="R175" s="21">
        <f t="shared" si="43"/>
        <v>0</v>
      </c>
      <c r="S175" s="302">
        <f t="shared" si="34"/>
        <v>0</v>
      </c>
    </row>
    <row r="176" spans="1:19">
      <c r="A176" s="136"/>
      <c r="B176" s="52"/>
      <c r="C176" s="21">
        <f t="shared" si="35"/>
        <v>1</v>
      </c>
      <c r="D176" s="628"/>
      <c r="E176" s="21">
        <f t="shared" si="36"/>
        <v>1</v>
      </c>
      <c r="F176" s="628"/>
      <c r="G176" s="21">
        <f t="shared" si="37"/>
        <v>1</v>
      </c>
      <c r="H176" s="628"/>
      <c r="I176" s="21">
        <f t="shared" si="38"/>
        <v>1</v>
      </c>
      <c r="J176" s="628"/>
      <c r="K176" s="21">
        <f t="shared" si="39"/>
        <v>1</v>
      </c>
      <c r="L176" s="628"/>
      <c r="M176" s="21">
        <f t="shared" si="40"/>
        <v>1</v>
      </c>
      <c r="N176" s="628"/>
      <c r="O176" s="21">
        <f t="shared" si="41"/>
        <v>1</v>
      </c>
      <c r="P176" s="628"/>
      <c r="Q176" s="21">
        <f t="shared" si="42"/>
        <v>1</v>
      </c>
      <c r="R176" s="21">
        <f t="shared" si="43"/>
        <v>0</v>
      </c>
      <c r="S176" s="302">
        <f t="shared" si="34"/>
        <v>0</v>
      </c>
    </row>
    <row r="177" spans="1:19">
      <c r="A177" s="136"/>
      <c r="B177" s="52"/>
      <c r="C177" s="21">
        <f t="shared" si="35"/>
        <v>1</v>
      </c>
      <c r="D177" s="628"/>
      <c r="E177" s="21">
        <f t="shared" si="36"/>
        <v>1</v>
      </c>
      <c r="F177" s="628"/>
      <c r="G177" s="21">
        <f t="shared" si="37"/>
        <v>1</v>
      </c>
      <c r="H177" s="628"/>
      <c r="I177" s="21">
        <f t="shared" si="38"/>
        <v>1</v>
      </c>
      <c r="J177" s="628"/>
      <c r="K177" s="21">
        <f t="shared" si="39"/>
        <v>1</v>
      </c>
      <c r="L177" s="628"/>
      <c r="M177" s="21">
        <f t="shared" si="40"/>
        <v>1</v>
      </c>
      <c r="N177" s="628"/>
      <c r="O177" s="21">
        <f t="shared" si="41"/>
        <v>1</v>
      </c>
      <c r="P177" s="628"/>
      <c r="Q177" s="21">
        <f t="shared" si="42"/>
        <v>1</v>
      </c>
      <c r="R177" s="21">
        <f t="shared" si="43"/>
        <v>0</v>
      </c>
      <c r="S177" s="302">
        <f t="shared" si="34"/>
        <v>0</v>
      </c>
    </row>
    <row r="178" spans="1:19">
      <c r="A178" s="136"/>
      <c r="B178" s="52"/>
      <c r="C178" s="21">
        <f t="shared" si="35"/>
        <v>1</v>
      </c>
      <c r="D178" s="628"/>
      <c r="E178" s="21">
        <f t="shared" si="36"/>
        <v>1</v>
      </c>
      <c r="F178" s="628"/>
      <c r="G178" s="21">
        <f t="shared" si="37"/>
        <v>1</v>
      </c>
      <c r="H178" s="628"/>
      <c r="I178" s="21">
        <f t="shared" si="38"/>
        <v>1</v>
      </c>
      <c r="J178" s="628"/>
      <c r="K178" s="21">
        <f t="shared" si="39"/>
        <v>1</v>
      </c>
      <c r="L178" s="628"/>
      <c r="M178" s="21">
        <f t="shared" si="40"/>
        <v>1</v>
      </c>
      <c r="N178" s="628"/>
      <c r="O178" s="21">
        <f t="shared" si="41"/>
        <v>1</v>
      </c>
      <c r="P178" s="628"/>
      <c r="Q178" s="21">
        <f t="shared" si="42"/>
        <v>1</v>
      </c>
      <c r="R178" s="21">
        <f t="shared" si="43"/>
        <v>0</v>
      </c>
      <c r="S178" s="302">
        <f t="shared" si="34"/>
        <v>0</v>
      </c>
    </row>
    <row r="179" spans="1:19">
      <c r="A179" s="136"/>
      <c r="B179" s="52"/>
      <c r="C179" s="21">
        <f t="shared" si="35"/>
        <v>1</v>
      </c>
      <c r="D179" s="628"/>
      <c r="E179" s="21">
        <f t="shared" si="36"/>
        <v>1</v>
      </c>
      <c r="F179" s="628"/>
      <c r="G179" s="21">
        <f t="shared" si="37"/>
        <v>1</v>
      </c>
      <c r="H179" s="628"/>
      <c r="I179" s="21">
        <f t="shared" si="38"/>
        <v>1</v>
      </c>
      <c r="J179" s="628"/>
      <c r="K179" s="21">
        <f t="shared" si="39"/>
        <v>1</v>
      </c>
      <c r="L179" s="628"/>
      <c r="M179" s="21">
        <f t="shared" si="40"/>
        <v>1</v>
      </c>
      <c r="N179" s="628"/>
      <c r="O179" s="21">
        <f t="shared" si="41"/>
        <v>1</v>
      </c>
      <c r="P179" s="628"/>
      <c r="Q179" s="21">
        <f t="shared" si="42"/>
        <v>1</v>
      </c>
      <c r="R179" s="21">
        <f t="shared" si="43"/>
        <v>0</v>
      </c>
      <c r="S179" s="302">
        <f t="shared" si="34"/>
        <v>0</v>
      </c>
    </row>
    <row r="180" spans="1:19">
      <c r="A180" s="136"/>
      <c r="B180" s="52"/>
      <c r="C180" s="21">
        <f t="shared" si="35"/>
        <v>1</v>
      </c>
      <c r="D180" s="628"/>
      <c r="E180" s="21">
        <f t="shared" si="36"/>
        <v>1</v>
      </c>
      <c r="F180" s="628"/>
      <c r="G180" s="21">
        <f t="shared" si="37"/>
        <v>1</v>
      </c>
      <c r="H180" s="628"/>
      <c r="I180" s="21">
        <f t="shared" si="38"/>
        <v>1</v>
      </c>
      <c r="J180" s="628"/>
      <c r="K180" s="21">
        <f t="shared" si="39"/>
        <v>1</v>
      </c>
      <c r="L180" s="628"/>
      <c r="M180" s="21">
        <f t="shared" si="40"/>
        <v>1</v>
      </c>
      <c r="N180" s="628"/>
      <c r="O180" s="21">
        <f t="shared" si="41"/>
        <v>1</v>
      </c>
      <c r="P180" s="628"/>
      <c r="Q180" s="21">
        <f t="shared" si="42"/>
        <v>1</v>
      </c>
      <c r="R180" s="21">
        <f t="shared" si="43"/>
        <v>0</v>
      </c>
      <c r="S180" s="302">
        <f t="shared" si="34"/>
        <v>0</v>
      </c>
    </row>
    <row r="181" spans="1:19">
      <c r="A181" s="136"/>
      <c r="B181" s="52"/>
      <c r="C181" s="21">
        <f t="shared" si="35"/>
        <v>1</v>
      </c>
      <c r="D181" s="628"/>
      <c r="E181" s="21">
        <f t="shared" si="36"/>
        <v>1</v>
      </c>
      <c r="F181" s="628"/>
      <c r="G181" s="21">
        <f t="shared" si="37"/>
        <v>1</v>
      </c>
      <c r="H181" s="628"/>
      <c r="I181" s="21">
        <f t="shared" si="38"/>
        <v>1</v>
      </c>
      <c r="J181" s="628"/>
      <c r="K181" s="21">
        <f t="shared" si="39"/>
        <v>1</v>
      </c>
      <c r="L181" s="628"/>
      <c r="M181" s="21">
        <f t="shared" si="40"/>
        <v>1</v>
      </c>
      <c r="N181" s="628"/>
      <c r="O181" s="21">
        <f t="shared" si="41"/>
        <v>1</v>
      </c>
      <c r="P181" s="628"/>
      <c r="Q181" s="21">
        <f t="shared" si="42"/>
        <v>1</v>
      </c>
      <c r="R181" s="21">
        <f t="shared" si="43"/>
        <v>0</v>
      </c>
      <c r="S181" s="302">
        <f t="shared" si="34"/>
        <v>0</v>
      </c>
    </row>
    <row r="182" spans="1:19">
      <c r="A182" s="136"/>
      <c r="B182" s="52"/>
      <c r="C182" s="21">
        <f t="shared" si="35"/>
        <v>1</v>
      </c>
      <c r="D182" s="628"/>
      <c r="E182" s="21">
        <f t="shared" si="36"/>
        <v>1</v>
      </c>
      <c r="F182" s="628"/>
      <c r="G182" s="21">
        <f t="shared" si="37"/>
        <v>1</v>
      </c>
      <c r="H182" s="628"/>
      <c r="I182" s="21">
        <f t="shared" si="38"/>
        <v>1</v>
      </c>
      <c r="J182" s="628"/>
      <c r="K182" s="21">
        <f t="shared" si="39"/>
        <v>1</v>
      </c>
      <c r="L182" s="628"/>
      <c r="M182" s="21">
        <f t="shared" si="40"/>
        <v>1</v>
      </c>
      <c r="N182" s="628"/>
      <c r="O182" s="21">
        <f t="shared" si="41"/>
        <v>1</v>
      </c>
      <c r="P182" s="628"/>
      <c r="Q182" s="21">
        <f t="shared" si="42"/>
        <v>1</v>
      </c>
      <c r="R182" s="21">
        <f t="shared" si="43"/>
        <v>0</v>
      </c>
      <c r="S182" s="302">
        <f t="shared" si="34"/>
        <v>0</v>
      </c>
    </row>
    <row r="183" spans="1:19">
      <c r="A183" s="136"/>
      <c r="B183" s="52"/>
      <c r="C183" s="21">
        <f t="shared" si="35"/>
        <v>1</v>
      </c>
      <c r="D183" s="628"/>
      <c r="E183" s="21">
        <f t="shared" si="36"/>
        <v>1</v>
      </c>
      <c r="F183" s="628"/>
      <c r="G183" s="21">
        <f t="shared" si="37"/>
        <v>1</v>
      </c>
      <c r="H183" s="628"/>
      <c r="I183" s="21">
        <f t="shared" si="38"/>
        <v>1</v>
      </c>
      <c r="J183" s="628"/>
      <c r="K183" s="21">
        <f t="shared" si="39"/>
        <v>1</v>
      </c>
      <c r="L183" s="628"/>
      <c r="M183" s="21">
        <f t="shared" si="40"/>
        <v>1</v>
      </c>
      <c r="N183" s="628"/>
      <c r="O183" s="21">
        <f t="shared" si="41"/>
        <v>1</v>
      </c>
      <c r="P183" s="628"/>
      <c r="Q183" s="21">
        <f t="shared" si="42"/>
        <v>1</v>
      </c>
      <c r="R183" s="21">
        <f t="shared" si="43"/>
        <v>0</v>
      </c>
      <c r="S183" s="302">
        <f t="shared" si="34"/>
        <v>0</v>
      </c>
    </row>
    <row r="184" spans="1:19">
      <c r="A184" s="136"/>
      <c r="B184" s="52"/>
      <c r="C184" s="21">
        <f t="shared" si="35"/>
        <v>1</v>
      </c>
      <c r="D184" s="628"/>
      <c r="E184" s="21">
        <f t="shared" si="36"/>
        <v>1</v>
      </c>
      <c r="F184" s="628"/>
      <c r="G184" s="21">
        <f t="shared" si="37"/>
        <v>1</v>
      </c>
      <c r="H184" s="628"/>
      <c r="I184" s="21">
        <f t="shared" si="38"/>
        <v>1</v>
      </c>
      <c r="J184" s="628"/>
      <c r="K184" s="21">
        <f t="shared" si="39"/>
        <v>1</v>
      </c>
      <c r="L184" s="628"/>
      <c r="M184" s="21">
        <f t="shared" si="40"/>
        <v>1</v>
      </c>
      <c r="N184" s="628"/>
      <c r="O184" s="21">
        <f t="shared" si="41"/>
        <v>1</v>
      </c>
      <c r="P184" s="628"/>
      <c r="Q184" s="21">
        <f t="shared" si="42"/>
        <v>1</v>
      </c>
      <c r="R184" s="21">
        <f t="shared" si="43"/>
        <v>0</v>
      </c>
      <c r="S184" s="302">
        <f t="shared" si="34"/>
        <v>0</v>
      </c>
    </row>
    <row r="185" spans="1:19">
      <c r="A185" s="136"/>
      <c r="B185" s="52"/>
      <c r="C185" s="21">
        <f t="shared" si="35"/>
        <v>1</v>
      </c>
      <c r="D185" s="628"/>
      <c r="E185" s="21">
        <f t="shared" si="36"/>
        <v>1</v>
      </c>
      <c r="F185" s="628"/>
      <c r="G185" s="21">
        <f t="shared" si="37"/>
        <v>1</v>
      </c>
      <c r="H185" s="628"/>
      <c r="I185" s="21">
        <f t="shared" si="38"/>
        <v>1</v>
      </c>
      <c r="J185" s="628"/>
      <c r="K185" s="21">
        <f t="shared" si="39"/>
        <v>1</v>
      </c>
      <c r="L185" s="628"/>
      <c r="M185" s="21">
        <f t="shared" si="40"/>
        <v>1</v>
      </c>
      <c r="N185" s="628"/>
      <c r="O185" s="21">
        <f t="shared" si="41"/>
        <v>1</v>
      </c>
      <c r="P185" s="628"/>
      <c r="Q185" s="21">
        <f t="shared" si="42"/>
        <v>1</v>
      </c>
      <c r="R185" s="21">
        <f t="shared" si="43"/>
        <v>0</v>
      </c>
      <c r="S185" s="302">
        <f t="shared" si="34"/>
        <v>0</v>
      </c>
    </row>
    <row r="186" spans="1:19">
      <c r="A186" s="136"/>
      <c r="B186" s="52"/>
      <c r="C186" s="21">
        <f t="shared" si="35"/>
        <v>1</v>
      </c>
      <c r="D186" s="628"/>
      <c r="E186" s="21">
        <f t="shared" si="36"/>
        <v>1</v>
      </c>
      <c r="F186" s="628"/>
      <c r="G186" s="21">
        <f t="shared" si="37"/>
        <v>1</v>
      </c>
      <c r="H186" s="628"/>
      <c r="I186" s="21">
        <f t="shared" si="38"/>
        <v>1</v>
      </c>
      <c r="J186" s="628"/>
      <c r="K186" s="21">
        <f t="shared" si="39"/>
        <v>1</v>
      </c>
      <c r="L186" s="628"/>
      <c r="M186" s="21">
        <f t="shared" si="40"/>
        <v>1</v>
      </c>
      <c r="N186" s="628"/>
      <c r="O186" s="21">
        <f t="shared" si="41"/>
        <v>1</v>
      </c>
      <c r="P186" s="628"/>
      <c r="Q186" s="21">
        <f t="shared" si="42"/>
        <v>1</v>
      </c>
      <c r="R186" s="21">
        <f t="shared" si="43"/>
        <v>0</v>
      </c>
      <c r="S186" s="302">
        <f t="shared" si="34"/>
        <v>0</v>
      </c>
    </row>
    <row r="187" spans="1:19">
      <c r="A187" s="136"/>
      <c r="B187" s="52"/>
      <c r="C187" s="21">
        <f t="shared" si="35"/>
        <v>1</v>
      </c>
      <c r="D187" s="628"/>
      <c r="E187" s="21">
        <f t="shared" si="36"/>
        <v>1</v>
      </c>
      <c r="F187" s="628"/>
      <c r="G187" s="21">
        <f t="shared" si="37"/>
        <v>1</v>
      </c>
      <c r="H187" s="628"/>
      <c r="I187" s="21">
        <f t="shared" si="38"/>
        <v>1</v>
      </c>
      <c r="J187" s="628"/>
      <c r="K187" s="21">
        <f t="shared" si="39"/>
        <v>1</v>
      </c>
      <c r="L187" s="628"/>
      <c r="M187" s="21">
        <f t="shared" si="40"/>
        <v>1</v>
      </c>
      <c r="N187" s="628"/>
      <c r="O187" s="21">
        <f t="shared" si="41"/>
        <v>1</v>
      </c>
      <c r="P187" s="628"/>
      <c r="Q187" s="21">
        <f t="shared" si="42"/>
        <v>1</v>
      </c>
      <c r="R187" s="21">
        <f t="shared" si="43"/>
        <v>0</v>
      </c>
      <c r="S187" s="302">
        <f t="shared" ref="S187:S222" si="44">ROUND(R187*B187/10000,0)</f>
        <v>0</v>
      </c>
    </row>
    <row r="188" spans="1:19">
      <c r="A188" s="136"/>
      <c r="B188" s="52"/>
      <c r="C188" s="21">
        <f t="shared" si="35"/>
        <v>1</v>
      </c>
      <c r="D188" s="628"/>
      <c r="E188" s="21">
        <f t="shared" si="36"/>
        <v>1</v>
      </c>
      <c r="F188" s="628"/>
      <c r="G188" s="21">
        <f t="shared" si="37"/>
        <v>1</v>
      </c>
      <c r="H188" s="628"/>
      <c r="I188" s="21">
        <f t="shared" si="38"/>
        <v>1</v>
      </c>
      <c r="J188" s="628"/>
      <c r="K188" s="21">
        <f t="shared" si="39"/>
        <v>1</v>
      </c>
      <c r="L188" s="628"/>
      <c r="M188" s="21">
        <f t="shared" si="40"/>
        <v>1</v>
      </c>
      <c r="N188" s="628"/>
      <c r="O188" s="21">
        <f t="shared" si="41"/>
        <v>1</v>
      </c>
      <c r="P188" s="628"/>
      <c r="Q188" s="21">
        <f t="shared" si="42"/>
        <v>1</v>
      </c>
      <c r="R188" s="21">
        <f t="shared" si="43"/>
        <v>0</v>
      </c>
      <c r="S188" s="302">
        <f t="shared" si="44"/>
        <v>0</v>
      </c>
    </row>
    <row r="189" spans="1:19">
      <c r="A189" s="136"/>
      <c r="B189" s="52"/>
      <c r="C189" s="21">
        <f t="shared" si="35"/>
        <v>1</v>
      </c>
      <c r="D189" s="628"/>
      <c r="E189" s="21">
        <f t="shared" si="36"/>
        <v>1</v>
      </c>
      <c r="F189" s="628"/>
      <c r="G189" s="21">
        <f t="shared" si="37"/>
        <v>1</v>
      </c>
      <c r="H189" s="628"/>
      <c r="I189" s="21">
        <f t="shared" si="38"/>
        <v>1</v>
      </c>
      <c r="J189" s="628"/>
      <c r="K189" s="21">
        <f t="shared" si="39"/>
        <v>1</v>
      </c>
      <c r="L189" s="628"/>
      <c r="M189" s="21">
        <f t="shared" si="40"/>
        <v>1</v>
      </c>
      <c r="N189" s="628"/>
      <c r="O189" s="21">
        <f t="shared" si="41"/>
        <v>1</v>
      </c>
      <c r="P189" s="628"/>
      <c r="Q189" s="21">
        <f t="shared" si="42"/>
        <v>1</v>
      </c>
      <c r="R189" s="21">
        <f t="shared" si="43"/>
        <v>0</v>
      </c>
      <c r="S189" s="302">
        <f t="shared" si="44"/>
        <v>0</v>
      </c>
    </row>
    <row r="190" spans="1:19">
      <c r="A190" s="136"/>
      <c r="B190" s="52"/>
      <c r="C190" s="21">
        <f t="shared" si="35"/>
        <v>1</v>
      </c>
      <c r="D190" s="628"/>
      <c r="E190" s="21">
        <f t="shared" si="36"/>
        <v>1</v>
      </c>
      <c r="F190" s="628"/>
      <c r="G190" s="21">
        <f t="shared" si="37"/>
        <v>1</v>
      </c>
      <c r="H190" s="628"/>
      <c r="I190" s="21">
        <f t="shared" si="38"/>
        <v>1</v>
      </c>
      <c r="J190" s="628"/>
      <c r="K190" s="21">
        <f t="shared" si="39"/>
        <v>1</v>
      </c>
      <c r="L190" s="628"/>
      <c r="M190" s="21">
        <f t="shared" si="40"/>
        <v>1</v>
      </c>
      <c r="N190" s="628"/>
      <c r="O190" s="21">
        <f t="shared" si="41"/>
        <v>1</v>
      </c>
      <c r="P190" s="628"/>
      <c r="Q190" s="21">
        <f t="shared" si="42"/>
        <v>1</v>
      </c>
      <c r="R190" s="21">
        <f t="shared" si="43"/>
        <v>0</v>
      </c>
      <c r="S190" s="302">
        <f t="shared" si="44"/>
        <v>0</v>
      </c>
    </row>
    <row r="191" spans="1:19">
      <c r="A191" s="136"/>
      <c r="B191" s="52"/>
      <c r="C191" s="21">
        <f t="shared" si="35"/>
        <v>1</v>
      </c>
      <c r="D191" s="628"/>
      <c r="E191" s="21">
        <f t="shared" si="36"/>
        <v>1</v>
      </c>
      <c r="F191" s="628"/>
      <c r="G191" s="21">
        <f t="shared" si="37"/>
        <v>1</v>
      </c>
      <c r="H191" s="628"/>
      <c r="I191" s="21">
        <f t="shared" si="38"/>
        <v>1</v>
      </c>
      <c r="J191" s="628"/>
      <c r="K191" s="21">
        <f t="shared" si="39"/>
        <v>1</v>
      </c>
      <c r="L191" s="628"/>
      <c r="M191" s="21">
        <f t="shared" si="40"/>
        <v>1</v>
      </c>
      <c r="N191" s="628"/>
      <c r="O191" s="21">
        <f t="shared" si="41"/>
        <v>1</v>
      </c>
      <c r="P191" s="628"/>
      <c r="Q191" s="21">
        <f t="shared" si="42"/>
        <v>1</v>
      </c>
      <c r="R191" s="21">
        <f t="shared" si="43"/>
        <v>0</v>
      </c>
      <c r="S191" s="302">
        <f t="shared" si="44"/>
        <v>0</v>
      </c>
    </row>
    <row r="192" spans="1:19">
      <c r="A192" s="136"/>
      <c r="B192" s="52"/>
      <c r="C192" s="21">
        <f t="shared" si="35"/>
        <v>1</v>
      </c>
      <c r="D192" s="628"/>
      <c r="E192" s="21">
        <f t="shared" si="36"/>
        <v>1</v>
      </c>
      <c r="F192" s="628"/>
      <c r="G192" s="21">
        <f t="shared" si="37"/>
        <v>1</v>
      </c>
      <c r="H192" s="628"/>
      <c r="I192" s="21">
        <f t="shared" si="38"/>
        <v>1</v>
      </c>
      <c r="J192" s="628"/>
      <c r="K192" s="21">
        <f t="shared" si="39"/>
        <v>1</v>
      </c>
      <c r="L192" s="628"/>
      <c r="M192" s="21">
        <f t="shared" si="40"/>
        <v>1</v>
      </c>
      <c r="N192" s="628"/>
      <c r="O192" s="21">
        <f t="shared" si="41"/>
        <v>1</v>
      </c>
      <c r="P192" s="628"/>
      <c r="Q192" s="21">
        <f t="shared" si="42"/>
        <v>1</v>
      </c>
      <c r="R192" s="21">
        <f t="shared" si="43"/>
        <v>0</v>
      </c>
      <c r="S192" s="302">
        <f t="shared" si="44"/>
        <v>0</v>
      </c>
    </row>
    <row r="193" spans="1:19">
      <c r="A193" s="136"/>
      <c r="B193" s="52"/>
      <c r="C193" s="21">
        <f t="shared" si="35"/>
        <v>1</v>
      </c>
      <c r="D193" s="628"/>
      <c r="E193" s="21">
        <f t="shared" si="36"/>
        <v>1</v>
      </c>
      <c r="F193" s="628"/>
      <c r="G193" s="21">
        <f t="shared" si="37"/>
        <v>1</v>
      </c>
      <c r="H193" s="628"/>
      <c r="I193" s="21">
        <f t="shared" si="38"/>
        <v>1</v>
      </c>
      <c r="J193" s="628"/>
      <c r="K193" s="21">
        <f t="shared" si="39"/>
        <v>1</v>
      </c>
      <c r="L193" s="628"/>
      <c r="M193" s="21">
        <f t="shared" si="40"/>
        <v>1</v>
      </c>
      <c r="N193" s="628"/>
      <c r="O193" s="21">
        <f t="shared" si="41"/>
        <v>1</v>
      </c>
      <c r="P193" s="628"/>
      <c r="Q193" s="21">
        <f t="shared" si="42"/>
        <v>1</v>
      </c>
      <c r="R193" s="21">
        <f t="shared" si="43"/>
        <v>0</v>
      </c>
      <c r="S193" s="302">
        <f t="shared" si="44"/>
        <v>0</v>
      </c>
    </row>
    <row r="194" spans="1:19">
      <c r="A194" s="136"/>
      <c r="B194" s="52"/>
      <c r="C194" s="21">
        <f t="shared" si="35"/>
        <v>1</v>
      </c>
      <c r="D194" s="628"/>
      <c r="E194" s="21">
        <f t="shared" si="36"/>
        <v>1</v>
      </c>
      <c r="F194" s="628"/>
      <c r="G194" s="21">
        <f t="shared" si="37"/>
        <v>1</v>
      </c>
      <c r="H194" s="628"/>
      <c r="I194" s="21">
        <f t="shared" si="38"/>
        <v>1</v>
      </c>
      <c r="J194" s="628"/>
      <c r="K194" s="21">
        <f t="shared" si="39"/>
        <v>1</v>
      </c>
      <c r="L194" s="628"/>
      <c r="M194" s="21">
        <f t="shared" si="40"/>
        <v>1</v>
      </c>
      <c r="N194" s="628"/>
      <c r="O194" s="21">
        <f t="shared" si="41"/>
        <v>1</v>
      </c>
      <c r="P194" s="628"/>
      <c r="Q194" s="21">
        <f t="shared" si="42"/>
        <v>1</v>
      </c>
      <c r="R194" s="21">
        <f t="shared" si="43"/>
        <v>0</v>
      </c>
      <c r="S194" s="302">
        <f t="shared" si="44"/>
        <v>0</v>
      </c>
    </row>
    <row r="195" spans="1:19">
      <c r="A195" s="136"/>
      <c r="B195" s="52"/>
      <c r="C195" s="21">
        <f t="shared" si="35"/>
        <v>1</v>
      </c>
      <c r="D195" s="628"/>
      <c r="E195" s="21">
        <f t="shared" si="36"/>
        <v>1</v>
      </c>
      <c r="F195" s="628"/>
      <c r="G195" s="21">
        <f t="shared" si="37"/>
        <v>1</v>
      </c>
      <c r="H195" s="628"/>
      <c r="I195" s="21">
        <f t="shared" si="38"/>
        <v>1</v>
      </c>
      <c r="J195" s="628"/>
      <c r="K195" s="21">
        <f t="shared" si="39"/>
        <v>1</v>
      </c>
      <c r="L195" s="628"/>
      <c r="M195" s="21">
        <f t="shared" si="40"/>
        <v>1</v>
      </c>
      <c r="N195" s="628"/>
      <c r="O195" s="21">
        <f t="shared" si="41"/>
        <v>1</v>
      </c>
      <c r="P195" s="628"/>
      <c r="Q195" s="21">
        <f t="shared" si="42"/>
        <v>1</v>
      </c>
      <c r="R195" s="21">
        <f t="shared" si="43"/>
        <v>0</v>
      </c>
      <c r="S195" s="302">
        <f t="shared" si="44"/>
        <v>0</v>
      </c>
    </row>
    <row r="196" spans="1:19">
      <c r="A196" s="136"/>
      <c r="B196" s="52"/>
      <c r="C196" s="21">
        <f t="shared" si="35"/>
        <v>1</v>
      </c>
      <c r="D196" s="628"/>
      <c r="E196" s="21">
        <f t="shared" si="36"/>
        <v>1</v>
      </c>
      <c r="F196" s="628"/>
      <c r="G196" s="21">
        <f t="shared" si="37"/>
        <v>1</v>
      </c>
      <c r="H196" s="628"/>
      <c r="I196" s="21">
        <f t="shared" si="38"/>
        <v>1</v>
      </c>
      <c r="J196" s="628"/>
      <c r="K196" s="21">
        <f t="shared" si="39"/>
        <v>1</v>
      </c>
      <c r="L196" s="628"/>
      <c r="M196" s="21">
        <f t="shared" si="40"/>
        <v>1</v>
      </c>
      <c r="N196" s="628"/>
      <c r="O196" s="21">
        <f t="shared" si="41"/>
        <v>1</v>
      </c>
      <c r="P196" s="628"/>
      <c r="Q196" s="21">
        <f t="shared" si="42"/>
        <v>1</v>
      </c>
      <c r="R196" s="21">
        <f t="shared" si="43"/>
        <v>0</v>
      </c>
      <c r="S196" s="302">
        <f t="shared" si="44"/>
        <v>0</v>
      </c>
    </row>
    <row r="197" spans="1:19">
      <c r="A197" s="136"/>
      <c r="B197" s="52"/>
      <c r="C197" s="21">
        <f t="shared" si="35"/>
        <v>1</v>
      </c>
      <c r="D197" s="628"/>
      <c r="E197" s="21">
        <f t="shared" si="36"/>
        <v>1</v>
      </c>
      <c r="F197" s="628"/>
      <c r="G197" s="21">
        <f t="shared" si="37"/>
        <v>1</v>
      </c>
      <c r="H197" s="628"/>
      <c r="I197" s="21">
        <f t="shared" si="38"/>
        <v>1</v>
      </c>
      <c r="J197" s="628"/>
      <c r="K197" s="21">
        <f t="shared" si="39"/>
        <v>1</v>
      </c>
      <c r="L197" s="628"/>
      <c r="M197" s="21">
        <f t="shared" si="40"/>
        <v>1</v>
      </c>
      <c r="N197" s="628"/>
      <c r="O197" s="21">
        <f t="shared" si="41"/>
        <v>1</v>
      </c>
      <c r="P197" s="628"/>
      <c r="Q197" s="21">
        <f t="shared" si="42"/>
        <v>1</v>
      </c>
      <c r="R197" s="21">
        <f t="shared" si="43"/>
        <v>0</v>
      </c>
      <c r="S197" s="302">
        <f t="shared" si="44"/>
        <v>0</v>
      </c>
    </row>
    <row r="198" spans="1:19">
      <c r="A198" s="136"/>
      <c r="B198" s="52"/>
      <c r="C198" s="21">
        <f t="shared" si="35"/>
        <v>1</v>
      </c>
      <c r="D198" s="628"/>
      <c r="E198" s="21">
        <f t="shared" si="36"/>
        <v>1</v>
      </c>
      <c r="F198" s="628"/>
      <c r="G198" s="21">
        <f t="shared" si="37"/>
        <v>1</v>
      </c>
      <c r="H198" s="628"/>
      <c r="I198" s="21">
        <f t="shared" si="38"/>
        <v>1</v>
      </c>
      <c r="J198" s="628"/>
      <c r="K198" s="21">
        <f t="shared" si="39"/>
        <v>1</v>
      </c>
      <c r="L198" s="628"/>
      <c r="M198" s="21">
        <f t="shared" si="40"/>
        <v>1</v>
      </c>
      <c r="N198" s="628"/>
      <c r="O198" s="21">
        <f t="shared" si="41"/>
        <v>1</v>
      </c>
      <c r="P198" s="628"/>
      <c r="Q198" s="21">
        <f t="shared" si="42"/>
        <v>1</v>
      </c>
      <c r="R198" s="21">
        <f t="shared" si="43"/>
        <v>0</v>
      </c>
      <c r="S198" s="302">
        <f t="shared" si="44"/>
        <v>0</v>
      </c>
    </row>
    <row r="199" spans="1:19">
      <c r="A199" s="136"/>
      <c r="B199" s="52"/>
      <c r="C199" s="21">
        <f t="shared" si="35"/>
        <v>1</v>
      </c>
      <c r="D199" s="628"/>
      <c r="E199" s="21">
        <f t="shared" si="36"/>
        <v>1</v>
      </c>
      <c r="F199" s="628"/>
      <c r="G199" s="21">
        <f t="shared" si="37"/>
        <v>1</v>
      </c>
      <c r="H199" s="628"/>
      <c r="I199" s="21">
        <f t="shared" si="38"/>
        <v>1</v>
      </c>
      <c r="J199" s="628"/>
      <c r="K199" s="21">
        <f t="shared" si="39"/>
        <v>1</v>
      </c>
      <c r="L199" s="628"/>
      <c r="M199" s="21">
        <f t="shared" si="40"/>
        <v>1</v>
      </c>
      <c r="N199" s="628"/>
      <c r="O199" s="21">
        <f t="shared" si="41"/>
        <v>1</v>
      </c>
      <c r="P199" s="628"/>
      <c r="Q199" s="21">
        <f t="shared" si="42"/>
        <v>1</v>
      </c>
      <c r="R199" s="21">
        <f t="shared" si="43"/>
        <v>0</v>
      </c>
      <c r="S199" s="302">
        <f t="shared" si="44"/>
        <v>0</v>
      </c>
    </row>
    <row r="200" spans="1:19">
      <c r="A200" s="136"/>
      <c r="B200" s="52"/>
      <c r="C200" s="21">
        <f t="shared" si="35"/>
        <v>1</v>
      </c>
      <c r="D200" s="628"/>
      <c r="E200" s="21">
        <f t="shared" si="36"/>
        <v>1</v>
      </c>
      <c r="F200" s="628"/>
      <c r="G200" s="21">
        <f t="shared" si="37"/>
        <v>1</v>
      </c>
      <c r="H200" s="628"/>
      <c r="I200" s="21">
        <f t="shared" si="38"/>
        <v>1</v>
      </c>
      <c r="J200" s="628"/>
      <c r="K200" s="21">
        <f t="shared" si="39"/>
        <v>1</v>
      </c>
      <c r="L200" s="628"/>
      <c r="M200" s="21">
        <f t="shared" si="40"/>
        <v>1</v>
      </c>
      <c r="N200" s="628"/>
      <c r="O200" s="21">
        <f t="shared" si="41"/>
        <v>1</v>
      </c>
      <c r="P200" s="628"/>
      <c r="Q200" s="21">
        <f t="shared" si="42"/>
        <v>1</v>
      </c>
      <c r="R200" s="21">
        <f t="shared" si="43"/>
        <v>0</v>
      </c>
      <c r="S200" s="302">
        <f t="shared" si="44"/>
        <v>0</v>
      </c>
    </row>
    <row r="201" spans="1:19">
      <c r="A201" s="136"/>
      <c r="B201" s="52"/>
      <c r="C201" s="21">
        <f t="shared" si="35"/>
        <v>1</v>
      </c>
      <c r="D201" s="628"/>
      <c r="E201" s="21">
        <f t="shared" si="36"/>
        <v>1</v>
      </c>
      <c r="F201" s="628"/>
      <c r="G201" s="21">
        <f t="shared" si="37"/>
        <v>1</v>
      </c>
      <c r="H201" s="628"/>
      <c r="I201" s="21">
        <f t="shared" si="38"/>
        <v>1</v>
      </c>
      <c r="J201" s="628"/>
      <c r="K201" s="21">
        <f t="shared" si="39"/>
        <v>1</v>
      </c>
      <c r="L201" s="628"/>
      <c r="M201" s="21">
        <f t="shared" si="40"/>
        <v>1</v>
      </c>
      <c r="N201" s="628"/>
      <c r="O201" s="21">
        <f t="shared" si="41"/>
        <v>1</v>
      </c>
      <c r="P201" s="628"/>
      <c r="Q201" s="21">
        <f t="shared" si="42"/>
        <v>1</v>
      </c>
      <c r="R201" s="21">
        <f t="shared" si="43"/>
        <v>0</v>
      </c>
      <c r="S201" s="302">
        <f t="shared" si="44"/>
        <v>0</v>
      </c>
    </row>
    <row r="202" spans="1:19">
      <c r="A202" s="136"/>
      <c r="B202" s="52"/>
      <c r="C202" s="21">
        <f t="shared" si="35"/>
        <v>1</v>
      </c>
      <c r="D202" s="628"/>
      <c r="E202" s="21">
        <f t="shared" si="36"/>
        <v>1</v>
      </c>
      <c r="F202" s="628"/>
      <c r="G202" s="21">
        <f t="shared" si="37"/>
        <v>1</v>
      </c>
      <c r="H202" s="628"/>
      <c r="I202" s="21">
        <f t="shared" si="38"/>
        <v>1</v>
      </c>
      <c r="J202" s="628"/>
      <c r="K202" s="21">
        <f t="shared" si="39"/>
        <v>1</v>
      </c>
      <c r="L202" s="628"/>
      <c r="M202" s="21">
        <f t="shared" si="40"/>
        <v>1</v>
      </c>
      <c r="N202" s="628"/>
      <c r="O202" s="21">
        <f t="shared" si="41"/>
        <v>1</v>
      </c>
      <c r="P202" s="628"/>
      <c r="Q202" s="21">
        <f t="shared" si="42"/>
        <v>1</v>
      </c>
      <c r="R202" s="21">
        <f t="shared" si="43"/>
        <v>0</v>
      </c>
      <c r="S202" s="302">
        <f t="shared" si="44"/>
        <v>0</v>
      </c>
    </row>
    <row r="203" spans="1:19">
      <c r="A203" s="136"/>
      <c r="B203" s="52"/>
      <c r="C203" s="21">
        <f t="shared" si="35"/>
        <v>1</v>
      </c>
      <c r="D203" s="628"/>
      <c r="E203" s="21">
        <f t="shared" si="36"/>
        <v>1</v>
      </c>
      <c r="F203" s="628"/>
      <c r="G203" s="21">
        <f t="shared" si="37"/>
        <v>1</v>
      </c>
      <c r="H203" s="628"/>
      <c r="I203" s="21">
        <f t="shared" si="38"/>
        <v>1</v>
      </c>
      <c r="J203" s="628"/>
      <c r="K203" s="21">
        <f t="shared" si="39"/>
        <v>1</v>
      </c>
      <c r="L203" s="628"/>
      <c r="M203" s="21">
        <f t="shared" si="40"/>
        <v>1</v>
      </c>
      <c r="N203" s="628"/>
      <c r="O203" s="21">
        <f t="shared" si="41"/>
        <v>1</v>
      </c>
      <c r="P203" s="628"/>
      <c r="Q203" s="21">
        <f t="shared" si="42"/>
        <v>1</v>
      </c>
      <c r="R203" s="21">
        <f t="shared" si="43"/>
        <v>0</v>
      </c>
      <c r="S203" s="302">
        <f t="shared" si="44"/>
        <v>0</v>
      </c>
    </row>
    <row r="204" spans="1:19">
      <c r="A204" s="136"/>
      <c r="B204" s="52"/>
      <c r="C204" s="21">
        <f t="shared" si="35"/>
        <v>1</v>
      </c>
      <c r="D204" s="628"/>
      <c r="E204" s="21">
        <f t="shared" si="36"/>
        <v>1</v>
      </c>
      <c r="F204" s="628"/>
      <c r="G204" s="21">
        <f t="shared" si="37"/>
        <v>1</v>
      </c>
      <c r="H204" s="628"/>
      <c r="I204" s="21">
        <f t="shared" si="38"/>
        <v>1</v>
      </c>
      <c r="J204" s="628"/>
      <c r="K204" s="21">
        <f t="shared" si="39"/>
        <v>1</v>
      </c>
      <c r="L204" s="628"/>
      <c r="M204" s="21">
        <f t="shared" si="40"/>
        <v>1</v>
      </c>
      <c r="N204" s="628"/>
      <c r="O204" s="21">
        <f t="shared" si="41"/>
        <v>1</v>
      </c>
      <c r="P204" s="628"/>
      <c r="Q204" s="21">
        <f t="shared" si="42"/>
        <v>1</v>
      </c>
      <c r="R204" s="21">
        <f t="shared" si="43"/>
        <v>0</v>
      </c>
      <c r="S204" s="302">
        <f t="shared" si="44"/>
        <v>0</v>
      </c>
    </row>
    <row r="205" spans="1:19">
      <c r="A205" s="136"/>
      <c r="B205" s="52"/>
      <c r="C205" s="21">
        <f t="shared" si="35"/>
        <v>1</v>
      </c>
      <c r="D205" s="628"/>
      <c r="E205" s="21">
        <f t="shared" si="36"/>
        <v>1</v>
      </c>
      <c r="F205" s="628"/>
      <c r="G205" s="21">
        <f t="shared" si="37"/>
        <v>1</v>
      </c>
      <c r="H205" s="628"/>
      <c r="I205" s="21">
        <f t="shared" si="38"/>
        <v>1</v>
      </c>
      <c r="J205" s="628"/>
      <c r="K205" s="21">
        <f t="shared" si="39"/>
        <v>1</v>
      </c>
      <c r="L205" s="628"/>
      <c r="M205" s="21">
        <f t="shared" si="40"/>
        <v>1</v>
      </c>
      <c r="N205" s="628"/>
      <c r="O205" s="21">
        <f t="shared" si="41"/>
        <v>1</v>
      </c>
      <c r="P205" s="628"/>
      <c r="Q205" s="21">
        <f t="shared" si="42"/>
        <v>1</v>
      </c>
      <c r="R205" s="21">
        <f t="shared" si="43"/>
        <v>0</v>
      </c>
      <c r="S205" s="302">
        <f t="shared" si="44"/>
        <v>0</v>
      </c>
    </row>
    <row r="206" spans="1:19">
      <c r="A206" s="136"/>
      <c r="B206" s="52"/>
      <c r="C206" s="21">
        <f t="shared" si="35"/>
        <v>1</v>
      </c>
      <c r="D206" s="628"/>
      <c r="E206" s="21">
        <f t="shared" si="36"/>
        <v>1</v>
      </c>
      <c r="F206" s="628"/>
      <c r="G206" s="21">
        <f t="shared" si="37"/>
        <v>1</v>
      </c>
      <c r="H206" s="628"/>
      <c r="I206" s="21">
        <f t="shared" si="38"/>
        <v>1</v>
      </c>
      <c r="J206" s="628"/>
      <c r="K206" s="21">
        <f t="shared" si="39"/>
        <v>1</v>
      </c>
      <c r="L206" s="628"/>
      <c r="M206" s="21">
        <f t="shared" si="40"/>
        <v>1</v>
      </c>
      <c r="N206" s="628"/>
      <c r="O206" s="21">
        <f t="shared" si="41"/>
        <v>1</v>
      </c>
      <c r="P206" s="628"/>
      <c r="Q206" s="21">
        <f t="shared" si="42"/>
        <v>1</v>
      </c>
      <c r="R206" s="21">
        <f t="shared" si="43"/>
        <v>0</v>
      </c>
      <c r="S206" s="302">
        <f t="shared" si="44"/>
        <v>0</v>
      </c>
    </row>
    <row r="207" spans="1:19">
      <c r="A207" s="136"/>
      <c r="B207" s="52"/>
      <c r="C207" s="21">
        <f t="shared" si="35"/>
        <v>1</v>
      </c>
      <c r="D207" s="628"/>
      <c r="E207" s="21">
        <f t="shared" si="36"/>
        <v>1</v>
      </c>
      <c r="F207" s="628"/>
      <c r="G207" s="21">
        <f t="shared" si="37"/>
        <v>1</v>
      </c>
      <c r="H207" s="628"/>
      <c r="I207" s="21">
        <f t="shared" si="38"/>
        <v>1</v>
      </c>
      <c r="J207" s="628"/>
      <c r="K207" s="21">
        <f t="shared" si="39"/>
        <v>1</v>
      </c>
      <c r="L207" s="628"/>
      <c r="M207" s="21">
        <f t="shared" si="40"/>
        <v>1</v>
      </c>
      <c r="N207" s="628"/>
      <c r="O207" s="21">
        <f t="shared" si="41"/>
        <v>1</v>
      </c>
      <c r="P207" s="628"/>
      <c r="Q207" s="21">
        <f t="shared" si="42"/>
        <v>1</v>
      </c>
      <c r="R207" s="21">
        <f t="shared" si="43"/>
        <v>0</v>
      </c>
      <c r="S207" s="302">
        <f t="shared" si="44"/>
        <v>0</v>
      </c>
    </row>
    <row r="208" spans="1:19">
      <c r="A208" s="136"/>
      <c r="B208" s="52"/>
      <c r="C208" s="21">
        <f t="shared" si="35"/>
        <v>1</v>
      </c>
      <c r="D208" s="628"/>
      <c r="E208" s="21">
        <f t="shared" si="36"/>
        <v>1</v>
      </c>
      <c r="F208" s="628"/>
      <c r="G208" s="21">
        <f t="shared" si="37"/>
        <v>1</v>
      </c>
      <c r="H208" s="628"/>
      <c r="I208" s="21">
        <f t="shared" si="38"/>
        <v>1</v>
      </c>
      <c r="J208" s="628"/>
      <c r="K208" s="21">
        <f t="shared" si="39"/>
        <v>1</v>
      </c>
      <c r="L208" s="628"/>
      <c r="M208" s="21">
        <f t="shared" si="40"/>
        <v>1</v>
      </c>
      <c r="N208" s="628"/>
      <c r="O208" s="21">
        <f t="shared" si="41"/>
        <v>1</v>
      </c>
      <c r="P208" s="628"/>
      <c r="Q208" s="21">
        <f t="shared" si="42"/>
        <v>1</v>
      </c>
      <c r="R208" s="21">
        <f t="shared" si="43"/>
        <v>0</v>
      </c>
      <c r="S208" s="302">
        <f t="shared" si="44"/>
        <v>0</v>
      </c>
    </row>
    <row r="209" spans="1:19">
      <c r="A209" s="136"/>
      <c r="B209" s="52"/>
      <c r="C209" s="21">
        <f t="shared" si="35"/>
        <v>1</v>
      </c>
      <c r="D209" s="628"/>
      <c r="E209" s="21">
        <f t="shared" si="36"/>
        <v>1</v>
      </c>
      <c r="F209" s="628"/>
      <c r="G209" s="21">
        <f t="shared" si="37"/>
        <v>1</v>
      </c>
      <c r="H209" s="628"/>
      <c r="I209" s="21">
        <f t="shared" si="38"/>
        <v>1</v>
      </c>
      <c r="J209" s="628"/>
      <c r="K209" s="21">
        <f t="shared" si="39"/>
        <v>1</v>
      </c>
      <c r="L209" s="628"/>
      <c r="M209" s="21">
        <f t="shared" si="40"/>
        <v>1</v>
      </c>
      <c r="N209" s="628"/>
      <c r="O209" s="21">
        <f t="shared" si="41"/>
        <v>1</v>
      </c>
      <c r="P209" s="628"/>
      <c r="Q209" s="21">
        <f t="shared" si="42"/>
        <v>1</v>
      </c>
      <c r="R209" s="21">
        <f t="shared" si="43"/>
        <v>0</v>
      </c>
      <c r="S209" s="302">
        <f t="shared" si="44"/>
        <v>0</v>
      </c>
    </row>
    <row r="210" spans="1:19">
      <c r="A210" s="136"/>
      <c r="B210" s="52"/>
      <c r="C210" s="21">
        <f t="shared" si="35"/>
        <v>1</v>
      </c>
      <c r="D210" s="628"/>
      <c r="E210" s="21">
        <f t="shared" si="36"/>
        <v>1</v>
      </c>
      <c r="F210" s="628"/>
      <c r="G210" s="21">
        <f t="shared" si="37"/>
        <v>1</v>
      </c>
      <c r="H210" s="628"/>
      <c r="I210" s="21">
        <f t="shared" si="38"/>
        <v>1</v>
      </c>
      <c r="J210" s="628"/>
      <c r="K210" s="21">
        <f t="shared" si="39"/>
        <v>1</v>
      </c>
      <c r="L210" s="628"/>
      <c r="M210" s="21">
        <f t="shared" si="40"/>
        <v>1</v>
      </c>
      <c r="N210" s="628"/>
      <c r="O210" s="21">
        <f t="shared" si="41"/>
        <v>1</v>
      </c>
      <c r="P210" s="628"/>
      <c r="Q210" s="21">
        <f t="shared" si="42"/>
        <v>1</v>
      </c>
      <c r="R210" s="21">
        <f t="shared" si="43"/>
        <v>0</v>
      </c>
      <c r="S210" s="302">
        <f t="shared" si="44"/>
        <v>0</v>
      </c>
    </row>
    <row r="211" spans="1:19">
      <c r="A211" s="136"/>
      <c r="B211" s="52"/>
      <c r="C211" s="21">
        <f t="shared" si="35"/>
        <v>1</v>
      </c>
      <c r="D211" s="628"/>
      <c r="E211" s="21">
        <f t="shared" si="36"/>
        <v>1</v>
      </c>
      <c r="F211" s="628"/>
      <c r="G211" s="21">
        <f t="shared" si="37"/>
        <v>1</v>
      </c>
      <c r="H211" s="628"/>
      <c r="I211" s="21">
        <f t="shared" si="38"/>
        <v>1</v>
      </c>
      <c r="J211" s="628"/>
      <c r="K211" s="21">
        <f t="shared" si="39"/>
        <v>1</v>
      </c>
      <c r="L211" s="628"/>
      <c r="M211" s="21">
        <f t="shared" si="40"/>
        <v>1</v>
      </c>
      <c r="N211" s="628"/>
      <c r="O211" s="21">
        <f t="shared" si="41"/>
        <v>1</v>
      </c>
      <c r="P211" s="628"/>
      <c r="Q211" s="21">
        <f t="shared" si="42"/>
        <v>1</v>
      </c>
      <c r="R211" s="21">
        <f t="shared" si="43"/>
        <v>0</v>
      </c>
      <c r="S211" s="302">
        <f t="shared" si="44"/>
        <v>0</v>
      </c>
    </row>
    <row r="212" spans="1:19">
      <c r="A212" s="136"/>
      <c r="B212" s="52"/>
      <c r="C212" s="21">
        <f t="shared" si="35"/>
        <v>1</v>
      </c>
      <c r="D212" s="628"/>
      <c r="E212" s="21">
        <f t="shared" si="36"/>
        <v>1</v>
      </c>
      <c r="F212" s="628"/>
      <c r="G212" s="21">
        <f t="shared" si="37"/>
        <v>1</v>
      </c>
      <c r="H212" s="628"/>
      <c r="I212" s="21">
        <f t="shared" si="38"/>
        <v>1</v>
      </c>
      <c r="J212" s="628"/>
      <c r="K212" s="21">
        <f t="shared" si="39"/>
        <v>1</v>
      </c>
      <c r="L212" s="628"/>
      <c r="M212" s="21">
        <f t="shared" si="40"/>
        <v>1</v>
      </c>
      <c r="N212" s="628"/>
      <c r="O212" s="21">
        <f t="shared" si="41"/>
        <v>1</v>
      </c>
      <c r="P212" s="628"/>
      <c r="Q212" s="21">
        <f t="shared" si="42"/>
        <v>1</v>
      </c>
      <c r="R212" s="21">
        <f t="shared" si="43"/>
        <v>0</v>
      </c>
      <c r="S212" s="302">
        <f t="shared" si="44"/>
        <v>0</v>
      </c>
    </row>
    <row r="213" spans="1:19">
      <c r="A213" s="136"/>
      <c r="B213" s="52"/>
      <c r="C213" s="21">
        <f t="shared" si="35"/>
        <v>1</v>
      </c>
      <c r="D213" s="628"/>
      <c r="E213" s="21">
        <f t="shared" si="36"/>
        <v>1</v>
      </c>
      <c r="F213" s="628"/>
      <c r="G213" s="21">
        <f t="shared" si="37"/>
        <v>1</v>
      </c>
      <c r="H213" s="628"/>
      <c r="I213" s="21">
        <f t="shared" si="38"/>
        <v>1</v>
      </c>
      <c r="J213" s="628"/>
      <c r="K213" s="21">
        <f t="shared" si="39"/>
        <v>1</v>
      </c>
      <c r="L213" s="628"/>
      <c r="M213" s="21">
        <f t="shared" si="40"/>
        <v>1</v>
      </c>
      <c r="N213" s="628"/>
      <c r="O213" s="21">
        <f t="shared" si="41"/>
        <v>1</v>
      </c>
      <c r="P213" s="628"/>
      <c r="Q213" s="21">
        <f t="shared" si="42"/>
        <v>1</v>
      </c>
      <c r="R213" s="21">
        <f t="shared" si="43"/>
        <v>0</v>
      </c>
      <c r="S213" s="302">
        <f t="shared" si="44"/>
        <v>0</v>
      </c>
    </row>
    <row r="214" spans="1:19">
      <c r="A214" s="136"/>
      <c r="B214" s="52"/>
      <c r="C214" s="21">
        <f t="shared" si="35"/>
        <v>1</v>
      </c>
      <c r="D214" s="628"/>
      <c r="E214" s="21">
        <f t="shared" si="36"/>
        <v>1</v>
      </c>
      <c r="F214" s="628"/>
      <c r="G214" s="21">
        <f t="shared" si="37"/>
        <v>1</v>
      </c>
      <c r="H214" s="628"/>
      <c r="I214" s="21">
        <f t="shared" si="38"/>
        <v>1</v>
      </c>
      <c r="J214" s="628"/>
      <c r="K214" s="21">
        <f t="shared" si="39"/>
        <v>1</v>
      </c>
      <c r="L214" s="628"/>
      <c r="M214" s="21">
        <f t="shared" si="40"/>
        <v>1</v>
      </c>
      <c r="N214" s="628"/>
      <c r="O214" s="21">
        <f t="shared" si="41"/>
        <v>1</v>
      </c>
      <c r="P214" s="628"/>
      <c r="Q214" s="21">
        <f t="shared" si="42"/>
        <v>1</v>
      </c>
      <c r="R214" s="21">
        <f t="shared" si="43"/>
        <v>0</v>
      </c>
      <c r="S214" s="302">
        <f t="shared" si="44"/>
        <v>0</v>
      </c>
    </row>
    <row r="215" spans="1:19">
      <c r="A215" s="136"/>
      <c r="B215" s="52"/>
      <c r="C215" s="21">
        <f t="shared" si="35"/>
        <v>1</v>
      </c>
      <c r="D215" s="628"/>
      <c r="E215" s="21">
        <f t="shared" si="36"/>
        <v>1</v>
      </c>
      <c r="F215" s="628"/>
      <c r="G215" s="21">
        <f t="shared" si="37"/>
        <v>1</v>
      </c>
      <c r="H215" s="628"/>
      <c r="I215" s="21">
        <f t="shared" si="38"/>
        <v>1</v>
      </c>
      <c r="J215" s="628"/>
      <c r="K215" s="21">
        <f t="shared" si="39"/>
        <v>1</v>
      </c>
      <c r="L215" s="628"/>
      <c r="M215" s="21">
        <f t="shared" si="40"/>
        <v>1</v>
      </c>
      <c r="N215" s="628"/>
      <c r="O215" s="21">
        <f t="shared" si="41"/>
        <v>1</v>
      </c>
      <c r="P215" s="628"/>
      <c r="Q215" s="21">
        <f t="shared" si="42"/>
        <v>1</v>
      </c>
      <c r="R215" s="21">
        <f t="shared" si="43"/>
        <v>0</v>
      </c>
      <c r="S215" s="302">
        <f t="shared" si="44"/>
        <v>0</v>
      </c>
    </row>
    <row r="216" spans="1:19">
      <c r="A216" s="136"/>
      <c r="B216" s="52"/>
      <c r="C216" s="21">
        <f t="shared" si="35"/>
        <v>1</v>
      </c>
      <c r="D216" s="628"/>
      <c r="E216" s="21">
        <f t="shared" si="36"/>
        <v>1</v>
      </c>
      <c r="F216" s="628"/>
      <c r="G216" s="21">
        <f t="shared" si="37"/>
        <v>1</v>
      </c>
      <c r="H216" s="628"/>
      <c r="I216" s="21">
        <f t="shared" si="38"/>
        <v>1</v>
      </c>
      <c r="J216" s="628"/>
      <c r="K216" s="21">
        <f t="shared" si="39"/>
        <v>1</v>
      </c>
      <c r="L216" s="628"/>
      <c r="M216" s="21">
        <f t="shared" si="40"/>
        <v>1</v>
      </c>
      <c r="N216" s="628"/>
      <c r="O216" s="21">
        <f t="shared" si="41"/>
        <v>1</v>
      </c>
      <c r="P216" s="628"/>
      <c r="Q216" s="21">
        <f t="shared" si="42"/>
        <v>1</v>
      </c>
      <c r="R216" s="21">
        <f t="shared" si="43"/>
        <v>0</v>
      </c>
      <c r="S216" s="302">
        <f t="shared" si="44"/>
        <v>0</v>
      </c>
    </row>
    <row r="217" spans="1:19">
      <c r="A217" s="136"/>
      <c r="B217" s="52"/>
      <c r="C217" s="21">
        <f t="shared" si="35"/>
        <v>1</v>
      </c>
      <c r="D217" s="628"/>
      <c r="E217" s="21">
        <f t="shared" si="36"/>
        <v>1</v>
      </c>
      <c r="F217" s="628"/>
      <c r="G217" s="21">
        <f t="shared" si="37"/>
        <v>1</v>
      </c>
      <c r="H217" s="628"/>
      <c r="I217" s="21">
        <f t="shared" si="38"/>
        <v>1</v>
      </c>
      <c r="J217" s="628"/>
      <c r="K217" s="21">
        <f t="shared" si="39"/>
        <v>1</v>
      </c>
      <c r="L217" s="628"/>
      <c r="M217" s="21">
        <f t="shared" si="40"/>
        <v>1</v>
      </c>
      <c r="N217" s="628"/>
      <c r="O217" s="21">
        <f t="shared" si="41"/>
        <v>1</v>
      </c>
      <c r="P217" s="628"/>
      <c r="Q217" s="21">
        <f t="shared" si="42"/>
        <v>1</v>
      </c>
      <c r="R217" s="21">
        <f t="shared" si="43"/>
        <v>0</v>
      </c>
      <c r="S217" s="302">
        <f t="shared" si="44"/>
        <v>0</v>
      </c>
    </row>
    <row r="218" spans="1:19">
      <c r="A218" s="136"/>
      <c r="B218" s="52"/>
      <c r="C218" s="21">
        <f t="shared" ref="C218:C281" si="45">IF(B218="",1,(LOOKUP(B218,$3:$3,$4:$4)-LOOKUP($B$24,$3:$3,$4:$4)+100)/100)</f>
        <v>1</v>
      </c>
      <c r="D218" s="628"/>
      <c r="E218" s="21">
        <f t="shared" ref="E218:E281" si="46">(SUMIF($5:$5,D218,$6:$6)-SUMIF($5:$5,$D$24,$6:$6)+100)/100</f>
        <v>1</v>
      </c>
      <c r="F218" s="628"/>
      <c r="G218" s="21">
        <f t="shared" ref="G218:G281" si="47">(SUMIF($7:$7,F218,$8:$8)-SUMIF($7:$7,$F$24,$8:$8)+100)/100</f>
        <v>1</v>
      </c>
      <c r="H218" s="628"/>
      <c r="I218" s="21">
        <f t="shared" ref="I218:I281" si="48">(SUMIF($9:$9,H218,$10:$10)-SUMIF($9:$9,$H$24,$10:$10)+100)/100</f>
        <v>1</v>
      </c>
      <c r="J218" s="628"/>
      <c r="K218" s="21">
        <f t="shared" ref="K218:K281" si="49">(SUMIF($11:$11,J218,$12:$12)-SUMIF($11:$11,$J$24,$12:$12)+100)/100</f>
        <v>1</v>
      </c>
      <c r="L218" s="628"/>
      <c r="M218" s="21">
        <f t="shared" ref="M218:M281" si="50">(SUMIF($13:$13,L218,$14:$14)-SUMIF($13:$13,$L$24,$14:$14)+100)/100</f>
        <v>1</v>
      </c>
      <c r="N218" s="628"/>
      <c r="O218" s="21">
        <f t="shared" ref="O218:O281" si="51">(SUMIF($15:$15,N218,$16:$16)-SUMIF($15:$15,$N$24,$16:$16)+100)/100</f>
        <v>1</v>
      </c>
      <c r="P218" s="628"/>
      <c r="Q218" s="21">
        <f t="shared" ref="Q218:Q281" si="52">(SUMIF($17:$17,P218,$18:$18)-SUMIF($17:$17,$P$24,$18:$18)+100)/100</f>
        <v>1</v>
      </c>
      <c r="R218" s="21">
        <f t="shared" ref="R218:R281" si="53">IF(B218="",0,ROUND($R$24*C218*E218*G218*I218*K218*M218*O218*Q218,0))</f>
        <v>0</v>
      </c>
      <c r="S218" s="302">
        <f t="shared" si="44"/>
        <v>0</v>
      </c>
    </row>
    <row r="219" spans="1:19">
      <c r="A219" s="136"/>
      <c r="B219" s="52"/>
      <c r="C219" s="21">
        <f t="shared" si="45"/>
        <v>1</v>
      </c>
      <c r="D219" s="628"/>
      <c r="E219" s="21">
        <f t="shared" si="46"/>
        <v>1</v>
      </c>
      <c r="F219" s="628"/>
      <c r="G219" s="21">
        <f t="shared" si="47"/>
        <v>1</v>
      </c>
      <c r="H219" s="628"/>
      <c r="I219" s="21">
        <f t="shared" si="48"/>
        <v>1</v>
      </c>
      <c r="J219" s="628"/>
      <c r="K219" s="21">
        <f t="shared" si="49"/>
        <v>1</v>
      </c>
      <c r="L219" s="628"/>
      <c r="M219" s="21">
        <f t="shared" si="50"/>
        <v>1</v>
      </c>
      <c r="N219" s="628"/>
      <c r="O219" s="21">
        <f t="shared" si="51"/>
        <v>1</v>
      </c>
      <c r="P219" s="628"/>
      <c r="Q219" s="21">
        <f t="shared" si="52"/>
        <v>1</v>
      </c>
      <c r="R219" s="21">
        <f t="shared" si="53"/>
        <v>0</v>
      </c>
      <c r="S219" s="302">
        <f t="shared" si="44"/>
        <v>0</v>
      </c>
    </row>
    <row r="220" spans="1:19">
      <c r="A220" s="136"/>
      <c r="B220" s="52"/>
      <c r="C220" s="21">
        <f t="shared" si="45"/>
        <v>1</v>
      </c>
      <c r="D220" s="628"/>
      <c r="E220" s="21">
        <f t="shared" si="46"/>
        <v>1</v>
      </c>
      <c r="F220" s="628"/>
      <c r="G220" s="21">
        <f t="shared" si="47"/>
        <v>1</v>
      </c>
      <c r="H220" s="628"/>
      <c r="I220" s="21">
        <f t="shared" si="48"/>
        <v>1</v>
      </c>
      <c r="J220" s="628"/>
      <c r="K220" s="21">
        <f t="shared" si="49"/>
        <v>1</v>
      </c>
      <c r="L220" s="628"/>
      <c r="M220" s="21">
        <f t="shared" si="50"/>
        <v>1</v>
      </c>
      <c r="N220" s="628"/>
      <c r="O220" s="21">
        <f t="shared" si="51"/>
        <v>1</v>
      </c>
      <c r="P220" s="628"/>
      <c r="Q220" s="21">
        <f t="shared" si="52"/>
        <v>1</v>
      </c>
      <c r="R220" s="21">
        <f t="shared" si="53"/>
        <v>0</v>
      </c>
      <c r="S220" s="302">
        <f t="shared" si="44"/>
        <v>0</v>
      </c>
    </row>
    <row r="221" spans="1:19">
      <c r="A221" s="136"/>
      <c r="B221" s="52"/>
      <c r="C221" s="21">
        <f t="shared" si="45"/>
        <v>1</v>
      </c>
      <c r="D221" s="628"/>
      <c r="E221" s="21">
        <f t="shared" si="46"/>
        <v>1</v>
      </c>
      <c r="F221" s="628"/>
      <c r="G221" s="21">
        <f t="shared" si="47"/>
        <v>1</v>
      </c>
      <c r="H221" s="628"/>
      <c r="I221" s="21">
        <f t="shared" si="48"/>
        <v>1</v>
      </c>
      <c r="J221" s="628"/>
      <c r="K221" s="21">
        <f t="shared" si="49"/>
        <v>1</v>
      </c>
      <c r="L221" s="628"/>
      <c r="M221" s="21">
        <f t="shared" si="50"/>
        <v>1</v>
      </c>
      <c r="N221" s="628"/>
      <c r="O221" s="21">
        <f t="shared" si="51"/>
        <v>1</v>
      </c>
      <c r="P221" s="628"/>
      <c r="Q221" s="21">
        <f t="shared" si="52"/>
        <v>1</v>
      </c>
      <c r="R221" s="21">
        <f t="shared" si="53"/>
        <v>0</v>
      </c>
      <c r="S221" s="302">
        <f t="shared" si="44"/>
        <v>0</v>
      </c>
    </row>
    <row r="222" spans="1:19">
      <c r="A222" s="136"/>
      <c r="B222" s="52"/>
      <c r="C222" s="21">
        <f t="shared" si="45"/>
        <v>1</v>
      </c>
      <c r="D222" s="628"/>
      <c r="E222" s="21">
        <f t="shared" si="46"/>
        <v>1</v>
      </c>
      <c r="F222" s="628"/>
      <c r="G222" s="21">
        <f t="shared" si="47"/>
        <v>1</v>
      </c>
      <c r="H222" s="628"/>
      <c r="I222" s="21">
        <f t="shared" si="48"/>
        <v>1</v>
      </c>
      <c r="J222" s="628"/>
      <c r="K222" s="21">
        <f t="shared" si="49"/>
        <v>1</v>
      </c>
      <c r="L222" s="628"/>
      <c r="M222" s="21">
        <f t="shared" si="50"/>
        <v>1</v>
      </c>
      <c r="N222" s="628"/>
      <c r="O222" s="21">
        <f t="shared" si="51"/>
        <v>1</v>
      </c>
      <c r="P222" s="628"/>
      <c r="Q222" s="21">
        <f t="shared" si="52"/>
        <v>1</v>
      </c>
      <c r="R222" s="21">
        <f t="shared" si="53"/>
        <v>0</v>
      </c>
      <c r="S222" s="302">
        <f t="shared" si="44"/>
        <v>0</v>
      </c>
    </row>
    <row r="223" spans="1:19">
      <c r="A223" s="136"/>
      <c r="B223" s="52"/>
      <c r="C223" s="21">
        <f t="shared" si="45"/>
        <v>1</v>
      </c>
      <c r="D223" s="628"/>
      <c r="E223" s="21">
        <f t="shared" si="46"/>
        <v>1</v>
      </c>
      <c r="F223" s="628"/>
      <c r="G223" s="21">
        <f t="shared" si="47"/>
        <v>1</v>
      </c>
      <c r="H223" s="628"/>
      <c r="I223" s="21">
        <f t="shared" si="48"/>
        <v>1</v>
      </c>
      <c r="J223" s="628"/>
      <c r="K223" s="21">
        <f t="shared" si="49"/>
        <v>1</v>
      </c>
      <c r="L223" s="628"/>
      <c r="M223" s="21">
        <f t="shared" si="50"/>
        <v>1</v>
      </c>
      <c r="N223" s="628"/>
      <c r="O223" s="21">
        <f t="shared" si="51"/>
        <v>1</v>
      </c>
      <c r="P223" s="628"/>
      <c r="Q223" s="21">
        <f t="shared" si="52"/>
        <v>1</v>
      </c>
      <c r="R223" s="21">
        <f t="shared" si="53"/>
        <v>0</v>
      </c>
      <c r="S223" s="302">
        <f t="shared" ref="S223:S286" si="54">ROUND(R223*B223/10000,0)</f>
        <v>0</v>
      </c>
    </row>
    <row r="224" spans="1:19">
      <c r="A224" s="136"/>
      <c r="B224" s="52"/>
      <c r="C224" s="21">
        <f t="shared" si="45"/>
        <v>1</v>
      </c>
      <c r="D224" s="628"/>
      <c r="E224" s="21">
        <f t="shared" si="46"/>
        <v>1</v>
      </c>
      <c r="F224" s="628"/>
      <c r="G224" s="21">
        <f t="shared" si="47"/>
        <v>1</v>
      </c>
      <c r="H224" s="628"/>
      <c r="I224" s="21">
        <f t="shared" si="48"/>
        <v>1</v>
      </c>
      <c r="J224" s="628"/>
      <c r="K224" s="21">
        <f t="shared" si="49"/>
        <v>1</v>
      </c>
      <c r="L224" s="628"/>
      <c r="M224" s="21">
        <f t="shared" si="50"/>
        <v>1</v>
      </c>
      <c r="N224" s="628"/>
      <c r="O224" s="21">
        <f t="shared" si="51"/>
        <v>1</v>
      </c>
      <c r="P224" s="628"/>
      <c r="Q224" s="21">
        <f t="shared" si="52"/>
        <v>1</v>
      </c>
      <c r="R224" s="21">
        <f t="shared" si="53"/>
        <v>0</v>
      </c>
      <c r="S224" s="302">
        <f t="shared" si="54"/>
        <v>0</v>
      </c>
    </row>
    <row r="225" spans="1:19">
      <c r="A225" s="136"/>
      <c r="B225" s="52"/>
      <c r="C225" s="21">
        <f t="shared" si="45"/>
        <v>1</v>
      </c>
      <c r="D225" s="628"/>
      <c r="E225" s="21">
        <f t="shared" si="46"/>
        <v>1</v>
      </c>
      <c r="F225" s="628"/>
      <c r="G225" s="21">
        <f t="shared" si="47"/>
        <v>1</v>
      </c>
      <c r="H225" s="628"/>
      <c r="I225" s="21">
        <f t="shared" si="48"/>
        <v>1</v>
      </c>
      <c r="J225" s="628"/>
      <c r="K225" s="21">
        <f t="shared" si="49"/>
        <v>1</v>
      </c>
      <c r="L225" s="628"/>
      <c r="M225" s="21">
        <f t="shared" si="50"/>
        <v>1</v>
      </c>
      <c r="N225" s="628"/>
      <c r="O225" s="21">
        <f t="shared" si="51"/>
        <v>1</v>
      </c>
      <c r="P225" s="628"/>
      <c r="Q225" s="21">
        <f t="shared" si="52"/>
        <v>1</v>
      </c>
      <c r="R225" s="21">
        <f t="shared" si="53"/>
        <v>0</v>
      </c>
      <c r="S225" s="302">
        <f t="shared" si="54"/>
        <v>0</v>
      </c>
    </row>
    <row r="226" spans="1:19">
      <c r="A226" s="136"/>
      <c r="B226" s="52"/>
      <c r="C226" s="21">
        <f t="shared" si="45"/>
        <v>1</v>
      </c>
      <c r="D226" s="628"/>
      <c r="E226" s="21">
        <f t="shared" si="46"/>
        <v>1</v>
      </c>
      <c r="F226" s="628"/>
      <c r="G226" s="21">
        <f t="shared" si="47"/>
        <v>1</v>
      </c>
      <c r="H226" s="628"/>
      <c r="I226" s="21">
        <f t="shared" si="48"/>
        <v>1</v>
      </c>
      <c r="J226" s="628"/>
      <c r="K226" s="21">
        <f t="shared" si="49"/>
        <v>1</v>
      </c>
      <c r="L226" s="628"/>
      <c r="M226" s="21">
        <f t="shared" si="50"/>
        <v>1</v>
      </c>
      <c r="N226" s="628"/>
      <c r="O226" s="21">
        <f t="shared" si="51"/>
        <v>1</v>
      </c>
      <c r="P226" s="628"/>
      <c r="Q226" s="21">
        <f t="shared" si="52"/>
        <v>1</v>
      </c>
      <c r="R226" s="21">
        <f t="shared" si="53"/>
        <v>0</v>
      </c>
      <c r="S226" s="302">
        <f t="shared" si="54"/>
        <v>0</v>
      </c>
    </row>
    <row r="227" spans="1:19">
      <c r="A227" s="136"/>
      <c r="B227" s="52"/>
      <c r="C227" s="21">
        <f t="shared" si="45"/>
        <v>1</v>
      </c>
      <c r="D227" s="628"/>
      <c r="E227" s="21">
        <f t="shared" si="46"/>
        <v>1</v>
      </c>
      <c r="F227" s="628"/>
      <c r="G227" s="21">
        <f t="shared" si="47"/>
        <v>1</v>
      </c>
      <c r="H227" s="628"/>
      <c r="I227" s="21">
        <f t="shared" si="48"/>
        <v>1</v>
      </c>
      <c r="J227" s="628"/>
      <c r="K227" s="21">
        <f t="shared" si="49"/>
        <v>1</v>
      </c>
      <c r="L227" s="628"/>
      <c r="M227" s="21">
        <f t="shared" si="50"/>
        <v>1</v>
      </c>
      <c r="N227" s="628"/>
      <c r="O227" s="21">
        <f t="shared" si="51"/>
        <v>1</v>
      </c>
      <c r="P227" s="628"/>
      <c r="Q227" s="21">
        <f t="shared" si="52"/>
        <v>1</v>
      </c>
      <c r="R227" s="21">
        <f t="shared" si="53"/>
        <v>0</v>
      </c>
      <c r="S227" s="302">
        <f t="shared" si="54"/>
        <v>0</v>
      </c>
    </row>
    <row r="228" spans="1:19">
      <c r="A228" s="136"/>
      <c r="B228" s="52"/>
      <c r="C228" s="21">
        <f t="shared" si="45"/>
        <v>1</v>
      </c>
      <c r="D228" s="628"/>
      <c r="E228" s="21">
        <f t="shared" si="46"/>
        <v>1</v>
      </c>
      <c r="F228" s="628"/>
      <c r="G228" s="21">
        <f t="shared" si="47"/>
        <v>1</v>
      </c>
      <c r="H228" s="628"/>
      <c r="I228" s="21">
        <f t="shared" si="48"/>
        <v>1</v>
      </c>
      <c r="J228" s="628"/>
      <c r="K228" s="21">
        <f t="shared" si="49"/>
        <v>1</v>
      </c>
      <c r="L228" s="628"/>
      <c r="M228" s="21">
        <f t="shared" si="50"/>
        <v>1</v>
      </c>
      <c r="N228" s="628"/>
      <c r="O228" s="21">
        <f t="shared" si="51"/>
        <v>1</v>
      </c>
      <c r="P228" s="628"/>
      <c r="Q228" s="21">
        <f t="shared" si="52"/>
        <v>1</v>
      </c>
      <c r="R228" s="21">
        <f t="shared" si="53"/>
        <v>0</v>
      </c>
      <c r="S228" s="302">
        <f t="shared" si="54"/>
        <v>0</v>
      </c>
    </row>
    <row r="229" spans="1:19">
      <c r="A229" s="136"/>
      <c r="B229" s="52"/>
      <c r="C229" s="21">
        <f t="shared" si="45"/>
        <v>1</v>
      </c>
      <c r="D229" s="628"/>
      <c r="E229" s="21">
        <f t="shared" si="46"/>
        <v>1</v>
      </c>
      <c r="F229" s="628"/>
      <c r="G229" s="21">
        <f t="shared" si="47"/>
        <v>1</v>
      </c>
      <c r="H229" s="628"/>
      <c r="I229" s="21">
        <f t="shared" si="48"/>
        <v>1</v>
      </c>
      <c r="J229" s="628"/>
      <c r="K229" s="21">
        <f t="shared" si="49"/>
        <v>1</v>
      </c>
      <c r="L229" s="628"/>
      <c r="M229" s="21">
        <f t="shared" si="50"/>
        <v>1</v>
      </c>
      <c r="N229" s="628"/>
      <c r="O229" s="21">
        <f t="shared" si="51"/>
        <v>1</v>
      </c>
      <c r="P229" s="628"/>
      <c r="Q229" s="21">
        <f t="shared" si="52"/>
        <v>1</v>
      </c>
      <c r="R229" s="21">
        <f t="shared" si="53"/>
        <v>0</v>
      </c>
      <c r="S229" s="302">
        <f t="shared" si="54"/>
        <v>0</v>
      </c>
    </row>
    <row r="230" spans="1:19">
      <c r="A230" s="136"/>
      <c r="B230" s="52"/>
      <c r="C230" s="21">
        <f t="shared" si="45"/>
        <v>1</v>
      </c>
      <c r="D230" s="628"/>
      <c r="E230" s="21">
        <f t="shared" si="46"/>
        <v>1</v>
      </c>
      <c r="F230" s="628"/>
      <c r="G230" s="21">
        <f t="shared" si="47"/>
        <v>1</v>
      </c>
      <c r="H230" s="628"/>
      <c r="I230" s="21">
        <f t="shared" si="48"/>
        <v>1</v>
      </c>
      <c r="J230" s="628"/>
      <c r="K230" s="21">
        <f t="shared" si="49"/>
        <v>1</v>
      </c>
      <c r="L230" s="628"/>
      <c r="M230" s="21">
        <f t="shared" si="50"/>
        <v>1</v>
      </c>
      <c r="N230" s="628"/>
      <c r="O230" s="21">
        <f t="shared" si="51"/>
        <v>1</v>
      </c>
      <c r="P230" s="628"/>
      <c r="Q230" s="21">
        <f t="shared" si="52"/>
        <v>1</v>
      </c>
      <c r="R230" s="21">
        <f t="shared" si="53"/>
        <v>0</v>
      </c>
      <c r="S230" s="302">
        <f t="shared" si="54"/>
        <v>0</v>
      </c>
    </row>
    <row r="231" spans="1:19">
      <c r="A231" s="136"/>
      <c r="B231" s="52"/>
      <c r="C231" s="21">
        <f t="shared" si="45"/>
        <v>1</v>
      </c>
      <c r="D231" s="628"/>
      <c r="E231" s="21">
        <f t="shared" si="46"/>
        <v>1</v>
      </c>
      <c r="F231" s="628"/>
      <c r="G231" s="21">
        <f t="shared" si="47"/>
        <v>1</v>
      </c>
      <c r="H231" s="628"/>
      <c r="I231" s="21">
        <f t="shared" si="48"/>
        <v>1</v>
      </c>
      <c r="J231" s="628"/>
      <c r="K231" s="21">
        <f t="shared" si="49"/>
        <v>1</v>
      </c>
      <c r="L231" s="628"/>
      <c r="M231" s="21">
        <f t="shared" si="50"/>
        <v>1</v>
      </c>
      <c r="N231" s="628"/>
      <c r="O231" s="21">
        <f t="shared" si="51"/>
        <v>1</v>
      </c>
      <c r="P231" s="628"/>
      <c r="Q231" s="21">
        <f t="shared" si="52"/>
        <v>1</v>
      </c>
      <c r="R231" s="21">
        <f t="shared" si="53"/>
        <v>0</v>
      </c>
      <c r="S231" s="302">
        <f t="shared" si="54"/>
        <v>0</v>
      </c>
    </row>
    <row r="232" spans="1:19">
      <c r="A232" s="136"/>
      <c r="B232" s="52"/>
      <c r="C232" s="21">
        <f t="shared" si="45"/>
        <v>1</v>
      </c>
      <c r="D232" s="628"/>
      <c r="E232" s="21">
        <f t="shared" si="46"/>
        <v>1</v>
      </c>
      <c r="F232" s="628"/>
      <c r="G232" s="21">
        <f t="shared" si="47"/>
        <v>1</v>
      </c>
      <c r="H232" s="628"/>
      <c r="I232" s="21">
        <f t="shared" si="48"/>
        <v>1</v>
      </c>
      <c r="J232" s="628"/>
      <c r="K232" s="21">
        <f t="shared" si="49"/>
        <v>1</v>
      </c>
      <c r="L232" s="628"/>
      <c r="M232" s="21">
        <f t="shared" si="50"/>
        <v>1</v>
      </c>
      <c r="N232" s="628"/>
      <c r="O232" s="21">
        <f t="shared" si="51"/>
        <v>1</v>
      </c>
      <c r="P232" s="628"/>
      <c r="Q232" s="21">
        <f t="shared" si="52"/>
        <v>1</v>
      </c>
      <c r="R232" s="21">
        <f t="shared" si="53"/>
        <v>0</v>
      </c>
      <c r="S232" s="302">
        <f t="shared" si="54"/>
        <v>0</v>
      </c>
    </row>
    <row r="233" spans="1:19">
      <c r="A233" s="136"/>
      <c r="B233" s="52"/>
      <c r="C233" s="21">
        <f t="shared" si="45"/>
        <v>1</v>
      </c>
      <c r="D233" s="628"/>
      <c r="E233" s="21">
        <f t="shared" si="46"/>
        <v>1</v>
      </c>
      <c r="F233" s="628"/>
      <c r="G233" s="21">
        <f t="shared" si="47"/>
        <v>1</v>
      </c>
      <c r="H233" s="628"/>
      <c r="I233" s="21">
        <f t="shared" si="48"/>
        <v>1</v>
      </c>
      <c r="J233" s="628"/>
      <c r="K233" s="21">
        <f t="shared" si="49"/>
        <v>1</v>
      </c>
      <c r="L233" s="628"/>
      <c r="M233" s="21">
        <f t="shared" si="50"/>
        <v>1</v>
      </c>
      <c r="N233" s="628"/>
      <c r="O233" s="21">
        <f t="shared" si="51"/>
        <v>1</v>
      </c>
      <c r="P233" s="628"/>
      <c r="Q233" s="21">
        <f t="shared" si="52"/>
        <v>1</v>
      </c>
      <c r="R233" s="21">
        <f t="shared" si="53"/>
        <v>0</v>
      </c>
      <c r="S233" s="302">
        <f t="shared" si="54"/>
        <v>0</v>
      </c>
    </row>
    <row r="234" spans="1:19">
      <c r="A234" s="136"/>
      <c r="B234" s="52"/>
      <c r="C234" s="21">
        <f t="shared" si="45"/>
        <v>1</v>
      </c>
      <c r="D234" s="628"/>
      <c r="E234" s="21">
        <f t="shared" si="46"/>
        <v>1</v>
      </c>
      <c r="F234" s="628"/>
      <c r="G234" s="21">
        <f t="shared" si="47"/>
        <v>1</v>
      </c>
      <c r="H234" s="628"/>
      <c r="I234" s="21">
        <f t="shared" si="48"/>
        <v>1</v>
      </c>
      <c r="J234" s="628"/>
      <c r="K234" s="21">
        <f t="shared" si="49"/>
        <v>1</v>
      </c>
      <c r="L234" s="628"/>
      <c r="M234" s="21">
        <f t="shared" si="50"/>
        <v>1</v>
      </c>
      <c r="N234" s="628"/>
      <c r="O234" s="21">
        <f t="shared" si="51"/>
        <v>1</v>
      </c>
      <c r="P234" s="628"/>
      <c r="Q234" s="21">
        <f t="shared" si="52"/>
        <v>1</v>
      </c>
      <c r="R234" s="21">
        <f t="shared" si="53"/>
        <v>0</v>
      </c>
      <c r="S234" s="302">
        <f t="shared" si="54"/>
        <v>0</v>
      </c>
    </row>
    <row r="235" spans="1:19">
      <c r="A235" s="136"/>
      <c r="B235" s="52"/>
      <c r="C235" s="21">
        <f t="shared" si="45"/>
        <v>1</v>
      </c>
      <c r="D235" s="628"/>
      <c r="E235" s="21">
        <f t="shared" si="46"/>
        <v>1</v>
      </c>
      <c r="F235" s="628"/>
      <c r="G235" s="21">
        <f t="shared" si="47"/>
        <v>1</v>
      </c>
      <c r="H235" s="628"/>
      <c r="I235" s="21">
        <f t="shared" si="48"/>
        <v>1</v>
      </c>
      <c r="J235" s="628"/>
      <c r="K235" s="21">
        <f t="shared" si="49"/>
        <v>1</v>
      </c>
      <c r="L235" s="628"/>
      <c r="M235" s="21">
        <f t="shared" si="50"/>
        <v>1</v>
      </c>
      <c r="N235" s="628"/>
      <c r="O235" s="21">
        <f t="shared" si="51"/>
        <v>1</v>
      </c>
      <c r="P235" s="628"/>
      <c r="Q235" s="21">
        <f t="shared" si="52"/>
        <v>1</v>
      </c>
      <c r="R235" s="21">
        <f t="shared" si="53"/>
        <v>0</v>
      </c>
      <c r="S235" s="302">
        <f t="shared" si="54"/>
        <v>0</v>
      </c>
    </row>
    <row r="236" spans="1:19">
      <c r="A236" s="136"/>
      <c r="B236" s="52"/>
      <c r="C236" s="21">
        <f t="shared" si="45"/>
        <v>1</v>
      </c>
      <c r="D236" s="628"/>
      <c r="E236" s="21">
        <f t="shared" si="46"/>
        <v>1</v>
      </c>
      <c r="F236" s="628"/>
      <c r="G236" s="21">
        <f t="shared" si="47"/>
        <v>1</v>
      </c>
      <c r="H236" s="628"/>
      <c r="I236" s="21">
        <f t="shared" si="48"/>
        <v>1</v>
      </c>
      <c r="J236" s="628"/>
      <c r="K236" s="21">
        <f t="shared" si="49"/>
        <v>1</v>
      </c>
      <c r="L236" s="628"/>
      <c r="M236" s="21">
        <f t="shared" si="50"/>
        <v>1</v>
      </c>
      <c r="N236" s="628"/>
      <c r="O236" s="21">
        <f t="shared" si="51"/>
        <v>1</v>
      </c>
      <c r="P236" s="628"/>
      <c r="Q236" s="21">
        <f t="shared" si="52"/>
        <v>1</v>
      </c>
      <c r="R236" s="21">
        <f t="shared" si="53"/>
        <v>0</v>
      </c>
      <c r="S236" s="302">
        <f t="shared" si="54"/>
        <v>0</v>
      </c>
    </row>
    <row r="237" spans="1:19">
      <c r="A237" s="136"/>
      <c r="B237" s="52"/>
      <c r="C237" s="21">
        <f t="shared" si="45"/>
        <v>1</v>
      </c>
      <c r="D237" s="628"/>
      <c r="E237" s="21">
        <f t="shared" si="46"/>
        <v>1</v>
      </c>
      <c r="F237" s="628"/>
      <c r="G237" s="21">
        <f t="shared" si="47"/>
        <v>1</v>
      </c>
      <c r="H237" s="628"/>
      <c r="I237" s="21">
        <f t="shared" si="48"/>
        <v>1</v>
      </c>
      <c r="J237" s="628"/>
      <c r="K237" s="21">
        <f t="shared" si="49"/>
        <v>1</v>
      </c>
      <c r="L237" s="628"/>
      <c r="M237" s="21">
        <f t="shared" si="50"/>
        <v>1</v>
      </c>
      <c r="N237" s="628"/>
      <c r="O237" s="21">
        <f t="shared" si="51"/>
        <v>1</v>
      </c>
      <c r="P237" s="628"/>
      <c r="Q237" s="21">
        <f t="shared" si="52"/>
        <v>1</v>
      </c>
      <c r="R237" s="21">
        <f t="shared" si="53"/>
        <v>0</v>
      </c>
      <c r="S237" s="302">
        <f t="shared" si="54"/>
        <v>0</v>
      </c>
    </row>
    <row r="238" spans="1:19">
      <c r="A238" s="136"/>
      <c r="B238" s="52"/>
      <c r="C238" s="21">
        <f t="shared" si="45"/>
        <v>1</v>
      </c>
      <c r="D238" s="628"/>
      <c r="E238" s="21">
        <f t="shared" si="46"/>
        <v>1</v>
      </c>
      <c r="F238" s="628"/>
      <c r="G238" s="21">
        <f t="shared" si="47"/>
        <v>1</v>
      </c>
      <c r="H238" s="628"/>
      <c r="I238" s="21">
        <f t="shared" si="48"/>
        <v>1</v>
      </c>
      <c r="J238" s="628"/>
      <c r="K238" s="21">
        <f t="shared" si="49"/>
        <v>1</v>
      </c>
      <c r="L238" s="628"/>
      <c r="M238" s="21">
        <f t="shared" si="50"/>
        <v>1</v>
      </c>
      <c r="N238" s="628"/>
      <c r="O238" s="21">
        <f t="shared" si="51"/>
        <v>1</v>
      </c>
      <c r="P238" s="628"/>
      <c r="Q238" s="21">
        <f t="shared" si="52"/>
        <v>1</v>
      </c>
      <c r="R238" s="21">
        <f t="shared" si="53"/>
        <v>0</v>
      </c>
      <c r="S238" s="302">
        <f t="shared" si="54"/>
        <v>0</v>
      </c>
    </row>
    <row r="239" spans="1:19">
      <c r="A239" s="136"/>
      <c r="B239" s="52"/>
      <c r="C239" s="21">
        <f t="shared" si="45"/>
        <v>1</v>
      </c>
      <c r="D239" s="628"/>
      <c r="E239" s="21">
        <f t="shared" si="46"/>
        <v>1</v>
      </c>
      <c r="F239" s="628"/>
      <c r="G239" s="21">
        <f t="shared" si="47"/>
        <v>1</v>
      </c>
      <c r="H239" s="628"/>
      <c r="I239" s="21">
        <f t="shared" si="48"/>
        <v>1</v>
      </c>
      <c r="J239" s="628"/>
      <c r="K239" s="21">
        <f t="shared" si="49"/>
        <v>1</v>
      </c>
      <c r="L239" s="628"/>
      <c r="M239" s="21">
        <f t="shared" si="50"/>
        <v>1</v>
      </c>
      <c r="N239" s="628"/>
      <c r="O239" s="21">
        <f t="shared" si="51"/>
        <v>1</v>
      </c>
      <c r="P239" s="628"/>
      <c r="Q239" s="21">
        <f t="shared" si="52"/>
        <v>1</v>
      </c>
      <c r="R239" s="21">
        <f t="shared" si="53"/>
        <v>0</v>
      </c>
      <c r="S239" s="302">
        <f t="shared" si="54"/>
        <v>0</v>
      </c>
    </row>
    <row r="240" spans="1:19">
      <c r="A240" s="136"/>
      <c r="B240" s="52"/>
      <c r="C240" s="21">
        <f t="shared" si="45"/>
        <v>1</v>
      </c>
      <c r="D240" s="628"/>
      <c r="E240" s="21">
        <f t="shared" si="46"/>
        <v>1</v>
      </c>
      <c r="F240" s="628"/>
      <c r="G240" s="21">
        <f t="shared" si="47"/>
        <v>1</v>
      </c>
      <c r="H240" s="628"/>
      <c r="I240" s="21">
        <f t="shared" si="48"/>
        <v>1</v>
      </c>
      <c r="J240" s="628"/>
      <c r="K240" s="21">
        <f t="shared" si="49"/>
        <v>1</v>
      </c>
      <c r="L240" s="628"/>
      <c r="M240" s="21">
        <f t="shared" si="50"/>
        <v>1</v>
      </c>
      <c r="N240" s="628"/>
      <c r="O240" s="21">
        <f t="shared" si="51"/>
        <v>1</v>
      </c>
      <c r="P240" s="628"/>
      <c r="Q240" s="21">
        <f t="shared" si="52"/>
        <v>1</v>
      </c>
      <c r="R240" s="21">
        <f t="shared" si="53"/>
        <v>0</v>
      </c>
      <c r="S240" s="302">
        <f t="shared" si="54"/>
        <v>0</v>
      </c>
    </row>
    <row r="241" spans="1:19">
      <c r="A241" s="136"/>
      <c r="B241" s="52"/>
      <c r="C241" s="21">
        <f t="shared" si="45"/>
        <v>1</v>
      </c>
      <c r="D241" s="628"/>
      <c r="E241" s="21">
        <f t="shared" si="46"/>
        <v>1</v>
      </c>
      <c r="F241" s="628"/>
      <c r="G241" s="21">
        <f t="shared" si="47"/>
        <v>1</v>
      </c>
      <c r="H241" s="628"/>
      <c r="I241" s="21">
        <f t="shared" si="48"/>
        <v>1</v>
      </c>
      <c r="J241" s="628"/>
      <c r="K241" s="21">
        <f t="shared" si="49"/>
        <v>1</v>
      </c>
      <c r="L241" s="628"/>
      <c r="M241" s="21">
        <f t="shared" si="50"/>
        <v>1</v>
      </c>
      <c r="N241" s="628"/>
      <c r="O241" s="21">
        <f t="shared" si="51"/>
        <v>1</v>
      </c>
      <c r="P241" s="628"/>
      <c r="Q241" s="21">
        <f t="shared" si="52"/>
        <v>1</v>
      </c>
      <c r="R241" s="21">
        <f t="shared" si="53"/>
        <v>0</v>
      </c>
      <c r="S241" s="302">
        <f t="shared" si="54"/>
        <v>0</v>
      </c>
    </row>
    <row r="242" spans="1:19">
      <c r="A242" s="136"/>
      <c r="B242" s="52"/>
      <c r="C242" s="21">
        <f t="shared" si="45"/>
        <v>1</v>
      </c>
      <c r="D242" s="628"/>
      <c r="E242" s="21">
        <f t="shared" si="46"/>
        <v>1</v>
      </c>
      <c r="F242" s="628"/>
      <c r="G242" s="21">
        <f t="shared" si="47"/>
        <v>1</v>
      </c>
      <c r="H242" s="628"/>
      <c r="I242" s="21">
        <f t="shared" si="48"/>
        <v>1</v>
      </c>
      <c r="J242" s="628"/>
      <c r="K242" s="21">
        <f t="shared" si="49"/>
        <v>1</v>
      </c>
      <c r="L242" s="628"/>
      <c r="M242" s="21">
        <f t="shared" si="50"/>
        <v>1</v>
      </c>
      <c r="N242" s="628"/>
      <c r="O242" s="21">
        <f t="shared" si="51"/>
        <v>1</v>
      </c>
      <c r="P242" s="628"/>
      <c r="Q242" s="21">
        <f t="shared" si="52"/>
        <v>1</v>
      </c>
      <c r="R242" s="21">
        <f t="shared" si="53"/>
        <v>0</v>
      </c>
      <c r="S242" s="302">
        <f t="shared" si="54"/>
        <v>0</v>
      </c>
    </row>
    <row r="243" spans="1:19">
      <c r="A243" s="136"/>
      <c r="B243" s="52"/>
      <c r="C243" s="21">
        <f t="shared" si="45"/>
        <v>1</v>
      </c>
      <c r="D243" s="628"/>
      <c r="E243" s="21">
        <f t="shared" si="46"/>
        <v>1</v>
      </c>
      <c r="F243" s="628"/>
      <c r="G243" s="21">
        <f t="shared" si="47"/>
        <v>1</v>
      </c>
      <c r="H243" s="628"/>
      <c r="I243" s="21">
        <f t="shared" si="48"/>
        <v>1</v>
      </c>
      <c r="J243" s="628"/>
      <c r="K243" s="21">
        <f t="shared" si="49"/>
        <v>1</v>
      </c>
      <c r="L243" s="628"/>
      <c r="M243" s="21">
        <f t="shared" si="50"/>
        <v>1</v>
      </c>
      <c r="N243" s="628"/>
      <c r="O243" s="21">
        <f t="shared" si="51"/>
        <v>1</v>
      </c>
      <c r="P243" s="628"/>
      <c r="Q243" s="21">
        <f t="shared" si="52"/>
        <v>1</v>
      </c>
      <c r="R243" s="21">
        <f t="shared" si="53"/>
        <v>0</v>
      </c>
      <c r="S243" s="302">
        <f t="shared" si="54"/>
        <v>0</v>
      </c>
    </row>
    <row r="244" spans="1:19">
      <c r="A244" s="136"/>
      <c r="B244" s="52"/>
      <c r="C244" s="21">
        <f t="shared" si="45"/>
        <v>1</v>
      </c>
      <c r="D244" s="628"/>
      <c r="E244" s="21">
        <f t="shared" si="46"/>
        <v>1</v>
      </c>
      <c r="F244" s="628"/>
      <c r="G244" s="21">
        <f t="shared" si="47"/>
        <v>1</v>
      </c>
      <c r="H244" s="628"/>
      <c r="I244" s="21">
        <f t="shared" si="48"/>
        <v>1</v>
      </c>
      <c r="J244" s="628"/>
      <c r="K244" s="21">
        <f t="shared" si="49"/>
        <v>1</v>
      </c>
      <c r="L244" s="628"/>
      <c r="M244" s="21">
        <f t="shared" si="50"/>
        <v>1</v>
      </c>
      <c r="N244" s="628"/>
      <c r="O244" s="21">
        <f t="shared" si="51"/>
        <v>1</v>
      </c>
      <c r="P244" s="628"/>
      <c r="Q244" s="21">
        <f t="shared" si="52"/>
        <v>1</v>
      </c>
      <c r="R244" s="21">
        <f t="shared" si="53"/>
        <v>0</v>
      </c>
      <c r="S244" s="302">
        <f t="shared" si="54"/>
        <v>0</v>
      </c>
    </row>
    <row r="245" spans="1:19">
      <c r="A245" s="136"/>
      <c r="B245" s="52"/>
      <c r="C245" s="21">
        <f t="shared" si="45"/>
        <v>1</v>
      </c>
      <c r="D245" s="628"/>
      <c r="E245" s="21">
        <f t="shared" si="46"/>
        <v>1</v>
      </c>
      <c r="F245" s="628"/>
      <c r="G245" s="21">
        <f t="shared" si="47"/>
        <v>1</v>
      </c>
      <c r="H245" s="628"/>
      <c r="I245" s="21">
        <f t="shared" si="48"/>
        <v>1</v>
      </c>
      <c r="J245" s="628"/>
      <c r="K245" s="21">
        <f t="shared" si="49"/>
        <v>1</v>
      </c>
      <c r="L245" s="628"/>
      <c r="M245" s="21">
        <f t="shared" si="50"/>
        <v>1</v>
      </c>
      <c r="N245" s="628"/>
      <c r="O245" s="21">
        <f t="shared" si="51"/>
        <v>1</v>
      </c>
      <c r="P245" s="628"/>
      <c r="Q245" s="21">
        <f t="shared" si="52"/>
        <v>1</v>
      </c>
      <c r="R245" s="21">
        <f t="shared" si="53"/>
        <v>0</v>
      </c>
      <c r="S245" s="302">
        <f t="shared" si="54"/>
        <v>0</v>
      </c>
    </row>
    <row r="246" spans="1:19">
      <c r="A246" s="136"/>
      <c r="B246" s="52"/>
      <c r="C246" s="21">
        <f t="shared" si="45"/>
        <v>1</v>
      </c>
      <c r="D246" s="628"/>
      <c r="E246" s="21">
        <f t="shared" si="46"/>
        <v>1</v>
      </c>
      <c r="F246" s="628"/>
      <c r="G246" s="21">
        <f t="shared" si="47"/>
        <v>1</v>
      </c>
      <c r="H246" s="628"/>
      <c r="I246" s="21">
        <f t="shared" si="48"/>
        <v>1</v>
      </c>
      <c r="J246" s="628"/>
      <c r="K246" s="21">
        <f t="shared" si="49"/>
        <v>1</v>
      </c>
      <c r="L246" s="628"/>
      <c r="M246" s="21">
        <f t="shared" si="50"/>
        <v>1</v>
      </c>
      <c r="N246" s="628"/>
      <c r="O246" s="21">
        <f t="shared" si="51"/>
        <v>1</v>
      </c>
      <c r="P246" s="628"/>
      <c r="Q246" s="21">
        <f t="shared" si="52"/>
        <v>1</v>
      </c>
      <c r="R246" s="21">
        <f t="shared" si="53"/>
        <v>0</v>
      </c>
      <c r="S246" s="302">
        <f t="shared" si="54"/>
        <v>0</v>
      </c>
    </row>
    <row r="247" spans="1:19">
      <c r="A247" s="136"/>
      <c r="B247" s="52"/>
      <c r="C247" s="21">
        <f t="shared" si="45"/>
        <v>1</v>
      </c>
      <c r="D247" s="628"/>
      <c r="E247" s="21">
        <f t="shared" si="46"/>
        <v>1</v>
      </c>
      <c r="F247" s="628"/>
      <c r="G247" s="21">
        <f t="shared" si="47"/>
        <v>1</v>
      </c>
      <c r="H247" s="628"/>
      <c r="I247" s="21">
        <f t="shared" si="48"/>
        <v>1</v>
      </c>
      <c r="J247" s="628"/>
      <c r="K247" s="21">
        <f t="shared" si="49"/>
        <v>1</v>
      </c>
      <c r="L247" s="628"/>
      <c r="M247" s="21">
        <f t="shared" si="50"/>
        <v>1</v>
      </c>
      <c r="N247" s="628"/>
      <c r="O247" s="21">
        <f t="shared" si="51"/>
        <v>1</v>
      </c>
      <c r="P247" s="628"/>
      <c r="Q247" s="21">
        <f t="shared" si="52"/>
        <v>1</v>
      </c>
      <c r="R247" s="21">
        <f t="shared" si="53"/>
        <v>0</v>
      </c>
      <c r="S247" s="302">
        <f t="shared" si="54"/>
        <v>0</v>
      </c>
    </row>
    <row r="248" spans="1:19">
      <c r="A248" s="136"/>
      <c r="B248" s="52"/>
      <c r="C248" s="21">
        <f t="shared" si="45"/>
        <v>1</v>
      </c>
      <c r="D248" s="628"/>
      <c r="E248" s="21">
        <f t="shared" si="46"/>
        <v>1</v>
      </c>
      <c r="F248" s="628"/>
      <c r="G248" s="21">
        <f t="shared" si="47"/>
        <v>1</v>
      </c>
      <c r="H248" s="628"/>
      <c r="I248" s="21">
        <f t="shared" si="48"/>
        <v>1</v>
      </c>
      <c r="J248" s="628"/>
      <c r="K248" s="21">
        <f t="shared" si="49"/>
        <v>1</v>
      </c>
      <c r="L248" s="628"/>
      <c r="M248" s="21">
        <f t="shared" si="50"/>
        <v>1</v>
      </c>
      <c r="N248" s="628"/>
      <c r="O248" s="21">
        <f t="shared" si="51"/>
        <v>1</v>
      </c>
      <c r="P248" s="628"/>
      <c r="Q248" s="21">
        <f t="shared" si="52"/>
        <v>1</v>
      </c>
      <c r="R248" s="21">
        <f t="shared" si="53"/>
        <v>0</v>
      </c>
      <c r="S248" s="302">
        <f t="shared" si="54"/>
        <v>0</v>
      </c>
    </row>
    <row r="249" spans="1:19">
      <c r="A249" s="136"/>
      <c r="B249" s="52"/>
      <c r="C249" s="21">
        <f t="shared" si="45"/>
        <v>1</v>
      </c>
      <c r="D249" s="628"/>
      <c r="E249" s="21">
        <f t="shared" si="46"/>
        <v>1</v>
      </c>
      <c r="F249" s="628"/>
      <c r="G249" s="21">
        <f t="shared" si="47"/>
        <v>1</v>
      </c>
      <c r="H249" s="628"/>
      <c r="I249" s="21">
        <f t="shared" si="48"/>
        <v>1</v>
      </c>
      <c r="J249" s="628"/>
      <c r="K249" s="21">
        <f t="shared" si="49"/>
        <v>1</v>
      </c>
      <c r="L249" s="628"/>
      <c r="M249" s="21">
        <f t="shared" si="50"/>
        <v>1</v>
      </c>
      <c r="N249" s="628"/>
      <c r="O249" s="21">
        <f t="shared" si="51"/>
        <v>1</v>
      </c>
      <c r="P249" s="628"/>
      <c r="Q249" s="21">
        <f t="shared" si="52"/>
        <v>1</v>
      </c>
      <c r="R249" s="21">
        <f t="shared" si="53"/>
        <v>0</v>
      </c>
      <c r="S249" s="302">
        <f t="shared" si="54"/>
        <v>0</v>
      </c>
    </row>
    <row r="250" spans="1:19">
      <c r="A250" s="136"/>
      <c r="B250" s="52"/>
      <c r="C250" s="21">
        <f t="shared" si="45"/>
        <v>1</v>
      </c>
      <c r="D250" s="628"/>
      <c r="E250" s="21">
        <f t="shared" si="46"/>
        <v>1</v>
      </c>
      <c r="F250" s="628"/>
      <c r="G250" s="21">
        <f t="shared" si="47"/>
        <v>1</v>
      </c>
      <c r="H250" s="628"/>
      <c r="I250" s="21">
        <f t="shared" si="48"/>
        <v>1</v>
      </c>
      <c r="J250" s="628"/>
      <c r="K250" s="21">
        <f t="shared" si="49"/>
        <v>1</v>
      </c>
      <c r="L250" s="628"/>
      <c r="M250" s="21">
        <f t="shared" si="50"/>
        <v>1</v>
      </c>
      <c r="N250" s="628"/>
      <c r="O250" s="21">
        <f t="shared" si="51"/>
        <v>1</v>
      </c>
      <c r="P250" s="628"/>
      <c r="Q250" s="21">
        <f t="shared" si="52"/>
        <v>1</v>
      </c>
      <c r="R250" s="21">
        <f t="shared" si="53"/>
        <v>0</v>
      </c>
      <c r="S250" s="302">
        <f t="shared" si="54"/>
        <v>0</v>
      </c>
    </row>
    <row r="251" spans="1:19">
      <c r="A251" s="136"/>
      <c r="B251" s="52"/>
      <c r="C251" s="21">
        <f t="shared" si="45"/>
        <v>1</v>
      </c>
      <c r="D251" s="628"/>
      <c r="E251" s="21">
        <f t="shared" si="46"/>
        <v>1</v>
      </c>
      <c r="F251" s="628"/>
      <c r="G251" s="21">
        <f t="shared" si="47"/>
        <v>1</v>
      </c>
      <c r="H251" s="628"/>
      <c r="I251" s="21">
        <f t="shared" si="48"/>
        <v>1</v>
      </c>
      <c r="J251" s="628"/>
      <c r="K251" s="21">
        <f t="shared" si="49"/>
        <v>1</v>
      </c>
      <c r="L251" s="628"/>
      <c r="M251" s="21">
        <f t="shared" si="50"/>
        <v>1</v>
      </c>
      <c r="N251" s="628"/>
      <c r="O251" s="21">
        <f t="shared" si="51"/>
        <v>1</v>
      </c>
      <c r="P251" s="628"/>
      <c r="Q251" s="21">
        <f t="shared" si="52"/>
        <v>1</v>
      </c>
      <c r="R251" s="21">
        <f t="shared" si="53"/>
        <v>0</v>
      </c>
      <c r="S251" s="302">
        <f t="shared" si="54"/>
        <v>0</v>
      </c>
    </row>
    <row r="252" spans="1:19">
      <c r="A252" s="136"/>
      <c r="B252" s="52"/>
      <c r="C252" s="21">
        <f t="shared" si="45"/>
        <v>1</v>
      </c>
      <c r="D252" s="628"/>
      <c r="E252" s="21">
        <f t="shared" si="46"/>
        <v>1</v>
      </c>
      <c r="F252" s="628"/>
      <c r="G252" s="21">
        <f t="shared" si="47"/>
        <v>1</v>
      </c>
      <c r="H252" s="628"/>
      <c r="I252" s="21">
        <f t="shared" si="48"/>
        <v>1</v>
      </c>
      <c r="J252" s="628"/>
      <c r="K252" s="21">
        <f t="shared" si="49"/>
        <v>1</v>
      </c>
      <c r="L252" s="628"/>
      <c r="M252" s="21">
        <f t="shared" si="50"/>
        <v>1</v>
      </c>
      <c r="N252" s="628"/>
      <c r="O252" s="21">
        <f t="shared" si="51"/>
        <v>1</v>
      </c>
      <c r="P252" s="628"/>
      <c r="Q252" s="21">
        <f t="shared" si="52"/>
        <v>1</v>
      </c>
      <c r="R252" s="21">
        <f t="shared" si="53"/>
        <v>0</v>
      </c>
      <c r="S252" s="302">
        <f t="shared" si="54"/>
        <v>0</v>
      </c>
    </row>
    <row r="253" spans="1:19">
      <c r="A253" s="136"/>
      <c r="B253" s="52"/>
      <c r="C253" s="21">
        <f t="shared" si="45"/>
        <v>1</v>
      </c>
      <c r="D253" s="628"/>
      <c r="E253" s="21">
        <f t="shared" si="46"/>
        <v>1</v>
      </c>
      <c r="F253" s="628"/>
      <c r="G253" s="21">
        <f t="shared" si="47"/>
        <v>1</v>
      </c>
      <c r="H253" s="628"/>
      <c r="I253" s="21">
        <f t="shared" si="48"/>
        <v>1</v>
      </c>
      <c r="J253" s="628"/>
      <c r="K253" s="21">
        <f t="shared" si="49"/>
        <v>1</v>
      </c>
      <c r="L253" s="628"/>
      <c r="M253" s="21">
        <f t="shared" si="50"/>
        <v>1</v>
      </c>
      <c r="N253" s="628"/>
      <c r="O253" s="21">
        <f t="shared" si="51"/>
        <v>1</v>
      </c>
      <c r="P253" s="628"/>
      <c r="Q253" s="21">
        <f t="shared" si="52"/>
        <v>1</v>
      </c>
      <c r="R253" s="21">
        <f t="shared" si="53"/>
        <v>0</v>
      </c>
      <c r="S253" s="302">
        <f t="shared" si="54"/>
        <v>0</v>
      </c>
    </row>
    <row r="254" spans="1:19">
      <c r="A254" s="136"/>
      <c r="B254" s="52"/>
      <c r="C254" s="21">
        <f t="shared" si="45"/>
        <v>1</v>
      </c>
      <c r="D254" s="628"/>
      <c r="E254" s="21">
        <f t="shared" si="46"/>
        <v>1</v>
      </c>
      <c r="F254" s="628"/>
      <c r="G254" s="21">
        <f t="shared" si="47"/>
        <v>1</v>
      </c>
      <c r="H254" s="628"/>
      <c r="I254" s="21">
        <f t="shared" si="48"/>
        <v>1</v>
      </c>
      <c r="J254" s="628"/>
      <c r="K254" s="21">
        <f t="shared" si="49"/>
        <v>1</v>
      </c>
      <c r="L254" s="628"/>
      <c r="M254" s="21">
        <f t="shared" si="50"/>
        <v>1</v>
      </c>
      <c r="N254" s="628"/>
      <c r="O254" s="21">
        <f t="shared" si="51"/>
        <v>1</v>
      </c>
      <c r="P254" s="628"/>
      <c r="Q254" s="21">
        <f t="shared" si="52"/>
        <v>1</v>
      </c>
      <c r="R254" s="21">
        <f t="shared" si="53"/>
        <v>0</v>
      </c>
      <c r="S254" s="302">
        <f t="shared" si="54"/>
        <v>0</v>
      </c>
    </row>
    <row r="255" spans="1:19">
      <c r="A255" s="136"/>
      <c r="B255" s="52"/>
      <c r="C255" s="21">
        <f t="shared" si="45"/>
        <v>1</v>
      </c>
      <c r="D255" s="628"/>
      <c r="E255" s="21">
        <f t="shared" si="46"/>
        <v>1</v>
      </c>
      <c r="F255" s="628"/>
      <c r="G255" s="21">
        <f t="shared" si="47"/>
        <v>1</v>
      </c>
      <c r="H255" s="628"/>
      <c r="I255" s="21">
        <f t="shared" si="48"/>
        <v>1</v>
      </c>
      <c r="J255" s="628"/>
      <c r="K255" s="21">
        <f t="shared" si="49"/>
        <v>1</v>
      </c>
      <c r="L255" s="628"/>
      <c r="M255" s="21">
        <f t="shared" si="50"/>
        <v>1</v>
      </c>
      <c r="N255" s="628"/>
      <c r="O255" s="21">
        <f t="shared" si="51"/>
        <v>1</v>
      </c>
      <c r="P255" s="628"/>
      <c r="Q255" s="21">
        <f t="shared" si="52"/>
        <v>1</v>
      </c>
      <c r="R255" s="21">
        <f t="shared" si="53"/>
        <v>0</v>
      </c>
      <c r="S255" s="302">
        <f t="shared" si="54"/>
        <v>0</v>
      </c>
    </row>
    <row r="256" spans="1:19">
      <c r="A256" s="136"/>
      <c r="B256" s="52"/>
      <c r="C256" s="21">
        <f t="shared" si="45"/>
        <v>1</v>
      </c>
      <c r="D256" s="628"/>
      <c r="E256" s="21">
        <f t="shared" si="46"/>
        <v>1</v>
      </c>
      <c r="F256" s="628"/>
      <c r="G256" s="21">
        <f t="shared" si="47"/>
        <v>1</v>
      </c>
      <c r="H256" s="628"/>
      <c r="I256" s="21">
        <f t="shared" si="48"/>
        <v>1</v>
      </c>
      <c r="J256" s="628"/>
      <c r="K256" s="21">
        <f t="shared" si="49"/>
        <v>1</v>
      </c>
      <c r="L256" s="628"/>
      <c r="M256" s="21">
        <f t="shared" si="50"/>
        <v>1</v>
      </c>
      <c r="N256" s="628"/>
      <c r="O256" s="21">
        <f t="shared" si="51"/>
        <v>1</v>
      </c>
      <c r="P256" s="628"/>
      <c r="Q256" s="21">
        <f t="shared" si="52"/>
        <v>1</v>
      </c>
      <c r="R256" s="21">
        <f t="shared" si="53"/>
        <v>0</v>
      </c>
      <c r="S256" s="302">
        <f t="shared" si="54"/>
        <v>0</v>
      </c>
    </row>
    <row r="257" spans="1:19">
      <c r="A257" s="136"/>
      <c r="B257" s="52"/>
      <c r="C257" s="21">
        <f t="shared" si="45"/>
        <v>1</v>
      </c>
      <c r="D257" s="628"/>
      <c r="E257" s="21">
        <f t="shared" si="46"/>
        <v>1</v>
      </c>
      <c r="F257" s="628"/>
      <c r="G257" s="21">
        <f t="shared" si="47"/>
        <v>1</v>
      </c>
      <c r="H257" s="628"/>
      <c r="I257" s="21">
        <f t="shared" si="48"/>
        <v>1</v>
      </c>
      <c r="J257" s="628"/>
      <c r="K257" s="21">
        <f t="shared" si="49"/>
        <v>1</v>
      </c>
      <c r="L257" s="628"/>
      <c r="M257" s="21">
        <f t="shared" si="50"/>
        <v>1</v>
      </c>
      <c r="N257" s="628"/>
      <c r="O257" s="21">
        <f t="shared" si="51"/>
        <v>1</v>
      </c>
      <c r="P257" s="628"/>
      <c r="Q257" s="21">
        <f t="shared" si="52"/>
        <v>1</v>
      </c>
      <c r="R257" s="21">
        <f t="shared" si="53"/>
        <v>0</v>
      </c>
      <c r="S257" s="302">
        <f t="shared" si="54"/>
        <v>0</v>
      </c>
    </row>
    <row r="258" spans="1:19">
      <c r="A258" s="136"/>
      <c r="B258" s="52"/>
      <c r="C258" s="21">
        <f t="shared" si="45"/>
        <v>1</v>
      </c>
      <c r="D258" s="628"/>
      <c r="E258" s="21">
        <f t="shared" si="46"/>
        <v>1</v>
      </c>
      <c r="F258" s="628"/>
      <c r="G258" s="21">
        <f t="shared" si="47"/>
        <v>1</v>
      </c>
      <c r="H258" s="628"/>
      <c r="I258" s="21">
        <f t="shared" si="48"/>
        <v>1</v>
      </c>
      <c r="J258" s="628"/>
      <c r="K258" s="21">
        <f t="shared" si="49"/>
        <v>1</v>
      </c>
      <c r="L258" s="628"/>
      <c r="M258" s="21">
        <f t="shared" si="50"/>
        <v>1</v>
      </c>
      <c r="N258" s="628"/>
      <c r="O258" s="21">
        <f t="shared" si="51"/>
        <v>1</v>
      </c>
      <c r="P258" s="628"/>
      <c r="Q258" s="21">
        <f t="shared" si="52"/>
        <v>1</v>
      </c>
      <c r="R258" s="21">
        <f t="shared" si="53"/>
        <v>0</v>
      </c>
      <c r="S258" s="302">
        <f t="shared" si="54"/>
        <v>0</v>
      </c>
    </row>
    <row r="259" spans="1:19">
      <c r="A259" s="136"/>
      <c r="B259" s="52"/>
      <c r="C259" s="21">
        <f t="shared" si="45"/>
        <v>1</v>
      </c>
      <c r="D259" s="628"/>
      <c r="E259" s="21">
        <f t="shared" si="46"/>
        <v>1</v>
      </c>
      <c r="F259" s="628"/>
      <c r="G259" s="21">
        <f t="shared" si="47"/>
        <v>1</v>
      </c>
      <c r="H259" s="628"/>
      <c r="I259" s="21">
        <f t="shared" si="48"/>
        <v>1</v>
      </c>
      <c r="J259" s="628"/>
      <c r="K259" s="21">
        <f t="shared" si="49"/>
        <v>1</v>
      </c>
      <c r="L259" s="628"/>
      <c r="M259" s="21">
        <f t="shared" si="50"/>
        <v>1</v>
      </c>
      <c r="N259" s="628"/>
      <c r="O259" s="21">
        <f t="shared" si="51"/>
        <v>1</v>
      </c>
      <c r="P259" s="628"/>
      <c r="Q259" s="21">
        <f t="shared" si="52"/>
        <v>1</v>
      </c>
      <c r="R259" s="21">
        <f t="shared" si="53"/>
        <v>0</v>
      </c>
      <c r="S259" s="302">
        <f t="shared" si="54"/>
        <v>0</v>
      </c>
    </row>
    <row r="260" spans="1:19">
      <c r="A260" s="136"/>
      <c r="B260" s="52"/>
      <c r="C260" s="21">
        <f t="shared" si="45"/>
        <v>1</v>
      </c>
      <c r="D260" s="628"/>
      <c r="E260" s="21">
        <f t="shared" si="46"/>
        <v>1</v>
      </c>
      <c r="F260" s="628"/>
      <c r="G260" s="21">
        <f t="shared" si="47"/>
        <v>1</v>
      </c>
      <c r="H260" s="628"/>
      <c r="I260" s="21">
        <f t="shared" si="48"/>
        <v>1</v>
      </c>
      <c r="J260" s="628"/>
      <c r="K260" s="21">
        <f t="shared" si="49"/>
        <v>1</v>
      </c>
      <c r="L260" s="628"/>
      <c r="M260" s="21">
        <f t="shared" si="50"/>
        <v>1</v>
      </c>
      <c r="N260" s="628"/>
      <c r="O260" s="21">
        <f t="shared" si="51"/>
        <v>1</v>
      </c>
      <c r="P260" s="628"/>
      <c r="Q260" s="21">
        <f t="shared" si="52"/>
        <v>1</v>
      </c>
      <c r="R260" s="21">
        <f t="shared" si="53"/>
        <v>0</v>
      </c>
      <c r="S260" s="302">
        <f t="shared" si="54"/>
        <v>0</v>
      </c>
    </row>
    <row r="261" spans="1:19">
      <c r="A261" s="136"/>
      <c r="B261" s="52"/>
      <c r="C261" s="21">
        <f t="shared" si="45"/>
        <v>1</v>
      </c>
      <c r="D261" s="628"/>
      <c r="E261" s="21">
        <f t="shared" si="46"/>
        <v>1</v>
      </c>
      <c r="F261" s="628"/>
      <c r="G261" s="21">
        <f t="shared" si="47"/>
        <v>1</v>
      </c>
      <c r="H261" s="628"/>
      <c r="I261" s="21">
        <f t="shared" si="48"/>
        <v>1</v>
      </c>
      <c r="J261" s="628"/>
      <c r="K261" s="21">
        <f t="shared" si="49"/>
        <v>1</v>
      </c>
      <c r="L261" s="628"/>
      <c r="M261" s="21">
        <f t="shared" si="50"/>
        <v>1</v>
      </c>
      <c r="N261" s="628"/>
      <c r="O261" s="21">
        <f t="shared" si="51"/>
        <v>1</v>
      </c>
      <c r="P261" s="628"/>
      <c r="Q261" s="21">
        <f t="shared" si="52"/>
        <v>1</v>
      </c>
      <c r="R261" s="21">
        <f t="shared" si="53"/>
        <v>0</v>
      </c>
      <c r="S261" s="302">
        <f t="shared" si="54"/>
        <v>0</v>
      </c>
    </row>
    <row r="262" spans="1:19">
      <c r="A262" s="136"/>
      <c r="B262" s="52"/>
      <c r="C262" s="21">
        <f t="shared" si="45"/>
        <v>1</v>
      </c>
      <c r="D262" s="628"/>
      <c r="E262" s="21">
        <f t="shared" si="46"/>
        <v>1</v>
      </c>
      <c r="F262" s="628"/>
      <c r="G262" s="21">
        <f t="shared" si="47"/>
        <v>1</v>
      </c>
      <c r="H262" s="628"/>
      <c r="I262" s="21">
        <f t="shared" si="48"/>
        <v>1</v>
      </c>
      <c r="J262" s="628"/>
      <c r="K262" s="21">
        <f t="shared" si="49"/>
        <v>1</v>
      </c>
      <c r="L262" s="628"/>
      <c r="M262" s="21">
        <f t="shared" si="50"/>
        <v>1</v>
      </c>
      <c r="N262" s="628"/>
      <c r="O262" s="21">
        <f t="shared" si="51"/>
        <v>1</v>
      </c>
      <c r="P262" s="628"/>
      <c r="Q262" s="21">
        <f t="shared" si="52"/>
        <v>1</v>
      </c>
      <c r="R262" s="21">
        <f t="shared" si="53"/>
        <v>0</v>
      </c>
      <c r="S262" s="302">
        <f t="shared" si="54"/>
        <v>0</v>
      </c>
    </row>
    <row r="263" spans="1:19">
      <c r="A263" s="136"/>
      <c r="B263" s="52"/>
      <c r="C263" s="21">
        <f t="shared" si="45"/>
        <v>1</v>
      </c>
      <c r="D263" s="628"/>
      <c r="E263" s="21">
        <f t="shared" si="46"/>
        <v>1</v>
      </c>
      <c r="F263" s="628"/>
      <c r="G263" s="21">
        <f t="shared" si="47"/>
        <v>1</v>
      </c>
      <c r="H263" s="628"/>
      <c r="I263" s="21">
        <f t="shared" si="48"/>
        <v>1</v>
      </c>
      <c r="J263" s="628"/>
      <c r="K263" s="21">
        <f t="shared" si="49"/>
        <v>1</v>
      </c>
      <c r="L263" s="628"/>
      <c r="M263" s="21">
        <f t="shared" si="50"/>
        <v>1</v>
      </c>
      <c r="N263" s="628"/>
      <c r="O263" s="21">
        <f t="shared" si="51"/>
        <v>1</v>
      </c>
      <c r="P263" s="628"/>
      <c r="Q263" s="21">
        <f t="shared" si="52"/>
        <v>1</v>
      </c>
      <c r="R263" s="21">
        <f t="shared" si="53"/>
        <v>0</v>
      </c>
      <c r="S263" s="302">
        <f t="shared" si="54"/>
        <v>0</v>
      </c>
    </row>
    <row r="264" spans="1:19">
      <c r="A264" s="136"/>
      <c r="B264" s="52"/>
      <c r="C264" s="21">
        <f t="shared" si="45"/>
        <v>1</v>
      </c>
      <c r="D264" s="628"/>
      <c r="E264" s="21">
        <f t="shared" si="46"/>
        <v>1</v>
      </c>
      <c r="F264" s="628"/>
      <c r="G264" s="21">
        <f t="shared" si="47"/>
        <v>1</v>
      </c>
      <c r="H264" s="628"/>
      <c r="I264" s="21">
        <f t="shared" si="48"/>
        <v>1</v>
      </c>
      <c r="J264" s="628"/>
      <c r="K264" s="21">
        <f t="shared" si="49"/>
        <v>1</v>
      </c>
      <c r="L264" s="628"/>
      <c r="M264" s="21">
        <f t="shared" si="50"/>
        <v>1</v>
      </c>
      <c r="N264" s="628"/>
      <c r="O264" s="21">
        <f t="shared" si="51"/>
        <v>1</v>
      </c>
      <c r="P264" s="628"/>
      <c r="Q264" s="21">
        <f t="shared" si="52"/>
        <v>1</v>
      </c>
      <c r="R264" s="21">
        <f t="shared" si="53"/>
        <v>0</v>
      </c>
      <c r="S264" s="302">
        <f t="shared" si="54"/>
        <v>0</v>
      </c>
    </row>
    <row r="265" spans="1:19">
      <c r="A265" s="136"/>
      <c r="B265" s="52"/>
      <c r="C265" s="21">
        <f t="shared" si="45"/>
        <v>1</v>
      </c>
      <c r="D265" s="628"/>
      <c r="E265" s="21">
        <f t="shared" si="46"/>
        <v>1</v>
      </c>
      <c r="F265" s="628"/>
      <c r="G265" s="21">
        <f t="shared" si="47"/>
        <v>1</v>
      </c>
      <c r="H265" s="628"/>
      <c r="I265" s="21">
        <f t="shared" si="48"/>
        <v>1</v>
      </c>
      <c r="J265" s="628"/>
      <c r="K265" s="21">
        <f t="shared" si="49"/>
        <v>1</v>
      </c>
      <c r="L265" s="628"/>
      <c r="M265" s="21">
        <f t="shared" si="50"/>
        <v>1</v>
      </c>
      <c r="N265" s="628"/>
      <c r="O265" s="21">
        <f t="shared" si="51"/>
        <v>1</v>
      </c>
      <c r="P265" s="628"/>
      <c r="Q265" s="21">
        <f t="shared" si="52"/>
        <v>1</v>
      </c>
      <c r="R265" s="21">
        <f t="shared" si="53"/>
        <v>0</v>
      </c>
      <c r="S265" s="302">
        <f t="shared" si="54"/>
        <v>0</v>
      </c>
    </row>
    <row r="266" spans="1:19">
      <c r="A266" s="136"/>
      <c r="B266" s="52"/>
      <c r="C266" s="21">
        <f t="shared" si="45"/>
        <v>1</v>
      </c>
      <c r="D266" s="628"/>
      <c r="E266" s="21">
        <f t="shared" si="46"/>
        <v>1</v>
      </c>
      <c r="F266" s="628"/>
      <c r="G266" s="21">
        <f t="shared" si="47"/>
        <v>1</v>
      </c>
      <c r="H266" s="628"/>
      <c r="I266" s="21">
        <f t="shared" si="48"/>
        <v>1</v>
      </c>
      <c r="J266" s="628"/>
      <c r="K266" s="21">
        <f t="shared" si="49"/>
        <v>1</v>
      </c>
      <c r="L266" s="628"/>
      <c r="M266" s="21">
        <f t="shared" si="50"/>
        <v>1</v>
      </c>
      <c r="N266" s="628"/>
      <c r="O266" s="21">
        <f t="shared" si="51"/>
        <v>1</v>
      </c>
      <c r="P266" s="628"/>
      <c r="Q266" s="21">
        <f t="shared" si="52"/>
        <v>1</v>
      </c>
      <c r="R266" s="21">
        <f t="shared" si="53"/>
        <v>0</v>
      </c>
      <c r="S266" s="302">
        <f t="shared" si="54"/>
        <v>0</v>
      </c>
    </row>
    <row r="267" spans="1:19">
      <c r="A267" s="136"/>
      <c r="B267" s="52"/>
      <c r="C267" s="21">
        <f t="shared" si="45"/>
        <v>1</v>
      </c>
      <c r="D267" s="628"/>
      <c r="E267" s="21">
        <f t="shared" si="46"/>
        <v>1</v>
      </c>
      <c r="F267" s="628"/>
      <c r="G267" s="21">
        <f t="shared" si="47"/>
        <v>1</v>
      </c>
      <c r="H267" s="628"/>
      <c r="I267" s="21">
        <f t="shared" si="48"/>
        <v>1</v>
      </c>
      <c r="J267" s="628"/>
      <c r="K267" s="21">
        <f t="shared" si="49"/>
        <v>1</v>
      </c>
      <c r="L267" s="628"/>
      <c r="M267" s="21">
        <f t="shared" si="50"/>
        <v>1</v>
      </c>
      <c r="N267" s="628"/>
      <c r="O267" s="21">
        <f t="shared" si="51"/>
        <v>1</v>
      </c>
      <c r="P267" s="628"/>
      <c r="Q267" s="21">
        <f t="shared" si="52"/>
        <v>1</v>
      </c>
      <c r="R267" s="21">
        <f t="shared" si="53"/>
        <v>0</v>
      </c>
      <c r="S267" s="302">
        <f t="shared" si="54"/>
        <v>0</v>
      </c>
    </row>
    <row r="268" spans="1:19">
      <c r="A268" s="136"/>
      <c r="B268" s="52"/>
      <c r="C268" s="21">
        <f t="shared" si="45"/>
        <v>1</v>
      </c>
      <c r="D268" s="628"/>
      <c r="E268" s="21">
        <f t="shared" si="46"/>
        <v>1</v>
      </c>
      <c r="F268" s="628"/>
      <c r="G268" s="21">
        <f t="shared" si="47"/>
        <v>1</v>
      </c>
      <c r="H268" s="628"/>
      <c r="I268" s="21">
        <f t="shared" si="48"/>
        <v>1</v>
      </c>
      <c r="J268" s="628"/>
      <c r="K268" s="21">
        <f t="shared" si="49"/>
        <v>1</v>
      </c>
      <c r="L268" s="628"/>
      <c r="M268" s="21">
        <f t="shared" si="50"/>
        <v>1</v>
      </c>
      <c r="N268" s="628"/>
      <c r="O268" s="21">
        <f t="shared" si="51"/>
        <v>1</v>
      </c>
      <c r="P268" s="628"/>
      <c r="Q268" s="21">
        <f t="shared" si="52"/>
        <v>1</v>
      </c>
      <c r="R268" s="21">
        <f t="shared" si="53"/>
        <v>0</v>
      </c>
      <c r="S268" s="302">
        <f t="shared" si="54"/>
        <v>0</v>
      </c>
    </row>
    <row r="269" spans="1:19">
      <c r="A269" s="136"/>
      <c r="B269" s="52"/>
      <c r="C269" s="21">
        <f t="shared" si="45"/>
        <v>1</v>
      </c>
      <c r="D269" s="628"/>
      <c r="E269" s="21">
        <f t="shared" si="46"/>
        <v>1</v>
      </c>
      <c r="F269" s="628"/>
      <c r="G269" s="21">
        <f t="shared" si="47"/>
        <v>1</v>
      </c>
      <c r="H269" s="628"/>
      <c r="I269" s="21">
        <f t="shared" si="48"/>
        <v>1</v>
      </c>
      <c r="J269" s="628"/>
      <c r="K269" s="21">
        <f t="shared" si="49"/>
        <v>1</v>
      </c>
      <c r="L269" s="628"/>
      <c r="M269" s="21">
        <f t="shared" si="50"/>
        <v>1</v>
      </c>
      <c r="N269" s="628"/>
      <c r="O269" s="21">
        <f t="shared" si="51"/>
        <v>1</v>
      </c>
      <c r="P269" s="628"/>
      <c r="Q269" s="21">
        <f t="shared" si="52"/>
        <v>1</v>
      </c>
      <c r="R269" s="21">
        <f t="shared" si="53"/>
        <v>0</v>
      </c>
      <c r="S269" s="302">
        <f t="shared" si="54"/>
        <v>0</v>
      </c>
    </row>
    <row r="270" spans="1:19">
      <c r="A270" s="136"/>
      <c r="B270" s="52"/>
      <c r="C270" s="21">
        <f t="shared" si="45"/>
        <v>1</v>
      </c>
      <c r="D270" s="628"/>
      <c r="E270" s="21">
        <f t="shared" si="46"/>
        <v>1</v>
      </c>
      <c r="F270" s="628"/>
      <c r="G270" s="21">
        <f t="shared" si="47"/>
        <v>1</v>
      </c>
      <c r="H270" s="628"/>
      <c r="I270" s="21">
        <f t="shared" si="48"/>
        <v>1</v>
      </c>
      <c r="J270" s="628"/>
      <c r="K270" s="21">
        <f t="shared" si="49"/>
        <v>1</v>
      </c>
      <c r="L270" s="628"/>
      <c r="M270" s="21">
        <f t="shared" si="50"/>
        <v>1</v>
      </c>
      <c r="N270" s="628"/>
      <c r="O270" s="21">
        <f t="shared" si="51"/>
        <v>1</v>
      </c>
      <c r="P270" s="628"/>
      <c r="Q270" s="21">
        <f t="shared" si="52"/>
        <v>1</v>
      </c>
      <c r="R270" s="21">
        <f t="shared" si="53"/>
        <v>0</v>
      </c>
      <c r="S270" s="302">
        <f t="shared" si="54"/>
        <v>0</v>
      </c>
    </row>
    <row r="271" spans="1:19">
      <c r="A271" s="136"/>
      <c r="B271" s="52"/>
      <c r="C271" s="21">
        <f t="shared" si="45"/>
        <v>1</v>
      </c>
      <c r="D271" s="628"/>
      <c r="E271" s="21">
        <f t="shared" si="46"/>
        <v>1</v>
      </c>
      <c r="F271" s="628"/>
      <c r="G271" s="21">
        <f t="shared" si="47"/>
        <v>1</v>
      </c>
      <c r="H271" s="628"/>
      <c r="I271" s="21">
        <f t="shared" si="48"/>
        <v>1</v>
      </c>
      <c r="J271" s="628"/>
      <c r="K271" s="21">
        <f t="shared" si="49"/>
        <v>1</v>
      </c>
      <c r="L271" s="628"/>
      <c r="M271" s="21">
        <f t="shared" si="50"/>
        <v>1</v>
      </c>
      <c r="N271" s="628"/>
      <c r="O271" s="21">
        <f t="shared" si="51"/>
        <v>1</v>
      </c>
      <c r="P271" s="628"/>
      <c r="Q271" s="21">
        <f t="shared" si="52"/>
        <v>1</v>
      </c>
      <c r="R271" s="21">
        <f t="shared" si="53"/>
        <v>0</v>
      </c>
      <c r="S271" s="302">
        <f t="shared" si="54"/>
        <v>0</v>
      </c>
    </row>
    <row r="272" spans="1:19">
      <c r="A272" s="136"/>
      <c r="B272" s="52"/>
      <c r="C272" s="21">
        <f t="shared" si="45"/>
        <v>1</v>
      </c>
      <c r="D272" s="628"/>
      <c r="E272" s="21">
        <f t="shared" si="46"/>
        <v>1</v>
      </c>
      <c r="F272" s="628"/>
      <c r="G272" s="21">
        <f t="shared" si="47"/>
        <v>1</v>
      </c>
      <c r="H272" s="628"/>
      <c r="I272" s="21">
        <f t="shared" si="48"/>
        <v>1</v>
      </c>
      <c r="J272" s="628"/>
      <c r="K272" s="21">
        <f t="shared" si="49"/>
        <v>1</v>
      </c>
      <c r="L272" s="628"/>
      <c r="M272" s="21">
        <f t="shared" si="50"/>
        <v>1</v>
      </c>
      <c r="N272" s="628"/>
      <c r="O272" s="21">
        <f t="shared" si="51"/>
        <v>1</v>
      </c>
      <c r="P272" s="628"/>
      <c r="Q272" s="21">
        <f t="shared" si="52"/>
        <v>1</v>
      </c>
      <c r="R272" s="21">
        <f t="shared" si="53"/>
        <v>0</v>
      </c>
      <c r="S272" s="302">
        <f t="shared" si="54"/>
        <v>0</v>
      </c>
    </row>
    <row r="273" spans="1:19">
      <c r="A273" s="136"/>
      <c r="B273" s="52"/>
      <c r="C273" s="21">
        <f t="shared" si="45"/>
        <v>1</v>
      </c>
      <c r="D273" s="628"/>
      <c r="E273" s="21">
        <f t="shared" si="46"/>
        <v>1</v>
      </c>
      <c r="F273" s="628"/>
      <c r="G273" s="21">
        <f t="shared" si="47"/>
        <v>1</v>
      </c>
      <c r="H273" s="628"/>
      <c r="I273" s="21">
        <f t="shared" si="48"/>
        <v>1</v>
      </c>
      <c r="J273" s="628"/>
      <c r="K273" s="21">
        <f t="shared" si="49"/>
        <v>1</v>
      </c>
      <c r="L273" s="628"/>
      <c r="M273" s="21">
        <f t="shared" si="50"/>
        <v>1</v>
      </c>
      <c r="N273" s="628"/>
      <c r="O273" s="21">
        <f t="shared" si="51"/>
        <v>1</v>
      </c>
      <c r="P273" s="628"/>
      <c r="Q273" s="21">
        <f t="shared" si="52"/>
        <v>1</v>
      </c>
      <c r="R273" s="21">
        <f t="shared" si="53"/>
        <v>0</v>
      </c>
      <c r="S273" s="302">
        <f t="shared" si="54"/>
        <v>0</v>
      </c>
    </row>
    <row r="274" spans="1:19">
      <c r="A274" s="136"/>
      <c r="B274" s="52"/>
      <c r="C274" s="21">
        <f t="shared" si="45"/>
        <v>1</v>
      </c>
      <c r="D274" s="628"/>
      <c r="E274" s="21">
        <f t="shared" si="46"/>
        <v>1</v>
      </c>
      <c r="F274" s="628"/>
      <c r="G274" s="21">
        <f t="shared" si="47"/>
        <v>1</v>
      </c>
      <c r="H274" s="628"/>
      <c r="I274" s="21">
        <f t="shared" si="48"/>
        <v>1</v>
      </c>
      <c r="J274" s="628"/>
      <c r="K274" s="21">
        <f t="shared" si="49"/>
        <v>1</v>
      </c>
      <c r="L274" s="628"/>
      <c r="M274" s="21">
        <f t="shared" si="50"/>
        <v>1</v>
      </c>
      <c r="N274" s="628"/>
      <c r="O274" s="21">
        <f t="shared" si="51"/>
        <v>1</v>
      </c>
      <c r="P274" s="628"/>
      <c r="Q274" s="21">
        <f t="shared" si="52"/>
        <v>1</v>
      </c>
      <c r="R274" s="21">
        <f t="shared" si="53"/>
        <v>0</v>
      </c>
      <c r="S274" s="302">
        <f t="shared" si="54"/>
        <v>0</v>
      </c>
    </row>
    <row r="275" spans="1:19">
      <c r="A275" s="136"/>
      <c r="B275" s="52"/>
      <c r="C275" s="21">
        <f t="shared" si="45"/>
        <v>1</v>
      </c>
      <c r="D275" s="628"/>
      <c r="E275" s="21">
        <f t="shared" si="46"/>
        <v>1</v>
      </c>
      <c r="F275" s="628"/>
      <c r="G275" s="21">
        <f t="shared" si="47"/>
        <v>1</v>
      </c>
      <c r="H275" s="628"/>
      <c r="I275" s="21">
        <f t="shared" si="48"/>
        <v>1</v>
      </c>
      <c r="J275" s="628"/>
      <c r="K275" s="21">
        <f t="shared" si="49"/>
        <v>1</v>
      </c>
      <c r="L275" s="628"/>
      <c r="M275" s="21">
        <f t="shared" si="50"/>
        <v>1</v>
      </c>
      <c r="N275" s="628"/>
      <c r="O275" s="21">
        <f t="shared" si="51"/>
        <v>1</v>
      </c>
      <c r="P275" s="628"/>
      <c r="Q275" s="21">
        <f t="shared" si="52"/>
        <v>1</v>
      </c>
      <c r="R275" s="21">
        <f t="shared" si="53"/>
        <v>0</v>
      </c>
      <c r="S275" s="302">
        <f t="shared" si="54"/>
        <v>0</v>
      </c>
    </row>
    <row r="276" spans="1:19">
      <c r="A276" s="136"/>
      <c r="B276" s="52"/>
      <c r="C276" s="21">
        <f t="shared" si="45"/>
        <v>1</v>
      </c>
      <c r="D276" s="628"/>
      <c r="E276" s="21">
        <f t="shared" si="46"/>
        <v>1</v>
      </c>
      <c r="F276" s="628"/>
      <c r="G276" s="21">
        <f t="shared" si="47"/>
        <v>1</v>
      </c>
      <c r="H276" s="628"/>
      <c r="I276" s="21">
        <f t="shared" si="48"/>
        <v>1</v>
      </c>
      <c r="J276" s="628"/>
      <c r="K276" s="21">
        <f t="shared" si="49"/>
        <v>1</v>
      </c>
      <c r="L276" s="628"/>
      <c r="M276" s="21">
        <f t="shared" si="50"/>
        <v>1</v>
      </c>
      <c r="N276" s="628"/>
      <c r="O276" s="21">
        <f t="shared" si="51"/>
        <v>1</v>
      </c>
      <c r="P276" s="628"/>
      <c r="Q276" s="21">
        <f t="shared" si="52"/>
        <v>1</v>
      </c>
      <c r="R276" s="21">
        <f t="shared" si="53"/>
        <v>0</v>
      </c>
      <c r="S276" s="302">
        <f t="shared" si="54"/>
        <v>0</v>
      </c>
    </row>
    <row r="277" spans="1:19">
      <c r="A277" s="136"/>
      <c r="B277" s="52"/>
      <c r="C277" s="21">
        <f t="shared" si="45"/>
        <v>1</v>
      </c>
      <c r="D277" s="628"/>
      <c r="E277" s="21">
        <f t="shared" si="46"/>
        <v>1</v>
      </c>
      <c r="F277" s="628"/>
      <c r="G277" s="21">
        <f t="shared" si="47"/>
        <v>1</v>
      </c>
      <c r="H277" s="628"/>
      <c r="I277" s="21">
        <f t="shared" si="48"/>
        <v>1</v>
      </c>
      <c r="J277" s="628"/>
      <c r="K277" s="21">
        <f t="shared" si="49"/>
        <v>1</v>
      </c>
      <c r="L277" s="628"/>
      <c r="M277" s="21">
        <f t="shared" si="50"/>
        <v>1</v>
      </c>
      <c r="N277" s="628"/>
      <c r="O277" s="21">
        <f t="shared" si="51"/>
        <v>1</v>
      </c>
      <c r="P277" s="628"/>
      <c r="Q277" s="21">
        <f t="shared" si="52"/>
        <v>1</v>
      </c>
      <c r="R277" s="21">
        <f t="shared" si="53"/>
        <v>0</v>
      </c>
      <c r="S277" s="302">
        <f t="shared" si="54"/>
        <v>0</v>
      </c>
    </row>
    <row r="278" spans="1:19">
      <c r="A278" s="136"/>
      <c r="B278" s="52"/>
      <c r="C278" s="21">
        <f t="shared" si="45"/>
        <v>1</v>
      </c>
      <c r="D278" s="628"/>
      <c r="E278" s="21">
        <f t="shared" si="46"/>
        <v>1</v>
      </c>
      <c r="F278" s="628"/>
      <c r="G278" s="21">
        <f t="shared" si="47"/>
        <v>1</v>
      </c>
      <c r="H278" s="628"/>
      <c r="I278" s="21">
        <f t="shared" si="48"/>
        <v>1</v>
      </c>
      <c r="J278" s="628"/>
      <c r="K278" s="21">
        <f t="shared" si="49"/>
        <v>1</v>
      </c>
      <c r="L278" s="628"/>
      <c r="M278" s="21">
        <f t="shared" si="50"/>
        <v>1</v>
      </c>
      <c r="N278" s="628"/>
      <c r="O278" s="21">
        <f t="shared" si="51"/>
        <v>1</v>
      </c>
      <c r="P278" s="628"/>
      <c r="Q278" s="21">
        <f t="shared" si="52"/>
        <v>1</v>
      </c>
      <c r="R278" s="21">
        <f t="shared" si="53"/>
        <v>0</v>
      </c>
      <c r="S278" s="302">
        <f t="shared" si="54"/>
        <v>0</v>
      </c>
    </row>
    <row r="279" spans="1:19">
      <c r="A279" s="136"/>
      <c r="B279" s="52"/>
      <c r="C279" s="21">
        <f t="shared" si="45"/>
        <v>1</v>
      </c>
      <c r="D279" s="628"/>
      <c r="E279" s="21">
        <f t="shared" si="46"/>
        <v>1</v>
      </c>
      <c r="F279" s="628"/>
      <c r="G279" s="21">
        <f t="shared" si="47"/>
        <v>1</v>
      </c>
      <c r="H279" s="628"/>
      <c r="I279" s="21">
        <f t="shared" si="48"/>
        <v>1</v>
      </c>
      <c r="J279" s="628"/>
      <c r="K279" s="21">
        <f t="shared" si="49"/>
        <v>1</v>
      </c>
      <c r="L279" s="628"/>
      <c r="M279" s="21">
        <f t="shared" si="50"/>
        <v>1</v>
      </c>
      <c r="N279" s="628"/>
      <c r="O279" s="21">
        <f t="shared" si="51"/>
        <v>1</v>
      </c>
      <c r="P279" s="628"/>
      <c r="Q279" s="21">
        <f t="shared" si="52"/>
        <v>1</v>
      </c>
      <c r="R279" s="21">
        <f t="shared" si="53"/>
        <v>0</v>
      </c>
      <c r="S279" s="302">
        <f t="shared" si="54"/>
        <v>0</v>
      </c>
    </row>
    <row r="280" spans="1:19">
      <c r="A280" s="136"/>
      <c r="B280" s="52"/>
      <c r="C280" s="21">
        <f t="shared" si="45"/>
        <v>1</v>
      </c>
      <c r="D280" s="628"/>
      <c r="E280" s="21">
        <f t="shared" si="46"/>
        <v>1</v>
      </c>
      <c r="F280" s="628"/>
      <c r="G280" s="21">
        <f t="shared" si="47"/>
        <v>1</v>
      </c>
      <c r="H280" s="628"/>
      <c r="I280" s="21">
        <f t="shared" si="48"/>
        <v>1</v>
      </c>
      <c r="J280" s="628"/>
      <c r="K280" s="21">
        <f t="shared" si="49"/>
        <v>1</v>
      </c>
      <c r="L280" s="628"/>
      <c r="M280" s="21">
        <f t="shared" si="50"/>
        <v>1</v>
      </c>
      <c r="N280" s="628"/>
      <c r="O280" s="21">
        <f t="shared" si="51"/>
        <v>1</v>
      </c>
      <c r="P280" s="628"/>
      <c r="Q280" s="21">
        <f t="shared" si="52"/>
        <v>1</v>
      </c>
      <c r="R280" s="21">
        <f t="shared" si="53"/>
        <v>0</v>
      </c>
      <c r="S280" s="302">
        <f t="shared" si="54"/>
        <v>0</v>
      </c>
    </row>
    <row r="281" spans="1:19">
      <c r="A281" s="136"/>
      <c r="B281" s="52"/>
      <c r="C281" s="21">
        <f t="shared" si="45"/>
        <v>1</v>
      </c>
      <c r="D281" s="628"/>
      <c r="E281" s="21">
        <f t="shared" si="46"/>
        <v>1</v>
      </c>
      <c r="F281" s="628"/>
      <c r="G281" s="21">
        <f t="shared" si="47"/>
        <v>1</v>
      </c>
      <c r="H281" s="628"/>
      <c r="I281" s="21">
        <f t="shared" si="48"/>
        <v>1</v>
      </c>
      <c r="J281" s="628"/>
      <c r="K281" s="21">
        <f t="shared" si="49"/>
        <v>1</v>
      </c>
      <c r="L281" s="628"/>
      <c r="M281" s="21">
        <f t="shared" si="50"/>
        <v>1</v>
      </c>
      <c r="N281" s="628"/>
      <c r="O281" s="21">
        <f t="shared" si="51"/>
        <v>1</v>
      </c>
      <c r="P281" s="628"/>
      <c r="Q281" s="21">
        <f t="shared" si="52"/>
        <v>1</v>
      </c>
      <c r="R281" s="21">
        <f t="shared" si="53"/>
        <v>0</v>
      </c>
      <c r="S281" s="302">
        <f t="shared" si="54"/>
        <v>0</v>
      </c>
    </row>
    <row r="282" spans="1:19">
      <c r="A282" s="136"/>
      <c r="B282" s="52"/>
      <c r="C282" s="21">
        <f t="shared" ref="C282:C345" si="55">IF(B282="",1,(LOOKUP(B282,$3:$3,$4:$4)-LOOKUP($B$24,$3:$3,$4:$4)+100)/100)</f>
        <v>1</v>
      </c>
      <c r="D282" s="628"/>
      <c r="E282" s="21">
        <f t="shared" ref="E282:E345" si="56">(SUMIF($5:$5,D282,$6:$6)-SUMIF($5:$5,$D$24,$6:$6)+100)/100</f>
        <v>1</v>
      </c>
      <c r="F282" s="628"/>
      <c r="G282" s="21">
        <f t="shared" ref="G282:G345" si="57">(SUMIF($7:$7,F282,$8:$8)-SUMIF($7:$7,$F$24,$8:$8)+100)/100</f>
        <v>1</v>
      </c>
      <c r="H282" s="628"/>
      <c r="I282" s="21">
        <f t="shared" ref="I282:I345" si="58">(SUMIF($9:$9,H282,$10:$10)-SUMIF($9:$9,$H$24,$10:$10)+100)/100</f>
        <v>1</v>
      </c>
      <c r="J282" s="628"/>
      <c r="K282" s="21">
        <f t="shared" ref="K282:K345" si="59">(SUMIF($11:$11,J282,$12:$12)-SUMIF($11:$11,$J$24,$12:$12)+100)/100</f>
        <v>1</v>
      </c>
      <c r="L282" s="628"/>
      <c r="M282" s="21">
        <f t="shared" ref="M282:M345" si="60">(SUMIF($13:$13,L282,$14:$14)-SUMIF($13:$13,$L$24,$14:$14)+100)/100</f>
        <v>1</v>
      </c>
      <c r="N282" s="628"/>
      <c r="O282" s="21">
        <f t="shared" ref="O282:O345" si="61">(SUMIF($15:$15,N282,$16:$16)-SUMIF($15:$15,$N$24,$16:$16)+100)/100</f>
        <v>1</v>
      </c>
      <c r="P282" s="628"/>
      <c r="Q282" s="21">
        <f t="shared" ref="Q282:Q345" si="62">(SUMIF($17:$17,P282,$18:$18)-SUMIF($17:$17,$P$24,$18:$18)+100)/100</f>
        <v>1</v>
      </c>
      <c r="R282" s="21">
        <f t="shared" ref="R282:R345" si="63">IF(B282="",0,ROUND($R$24*C282*E282*G282*I282*K282*M282*O282*Q282,0))</f>
        <v>0</v>
      </c>
      <c r="S282" s="302">
        <f t="shared" si="54"/>
        <v>0</v>
      </c>
    </row>
    <row r="283" spans="1:19">
      <c r="A283" s="136"/>
      <c r="B283" s="52"/>
      <c r="C283" s="21">
        <f t="shared" si="55"/>
        <v>1</v>
      </c>
      <c r="D283" s="628"/>
      <c r="E283" s="21">
        <f t="shared" si="56"/>
        <v>1</v>
      </c>
      <c r="F283" s="628"/>
      <c r="G283" s="21">
        <f t="shared" si="57"/>
        <v>1</v>
      </c>
      <c r="H283" s="628"/>
      <c r="I283" s="21">
        <f t="shared" si="58"/>
        <v>1</v>
      </c>
      <c r="J283" s="628"/>
      <c r="K283" s="21">
        <f t="shared" si="59"/>
        <v>1</v>
      </c>
      <c r="L283" s="628"/>
      <c r="M283" s="21">
        <f t="shared" si="60"/>
        <v>1</v>
      </c>
      <c r="N283" s="628"/>
      <c r="O283" s="21">
        <f t="shared" si="61"/>
        <v>1</v>
      </c>
      <c r="P283" s="628"/>
      <c r="Q283" s="21">
        <f t="shared" si="62"/>
        <v>1</v>
      </c>
      <c r="R283" s="21">
        <f t="shared" si="63"/>
        <v>0</v>
      </c>
      <c r="S283" s="302">
        <f t="shared" si="54"/>
        <v>0</v>
      </c>
    </row>
    <row r="284" spans="1:19">
      <c r="A284" s="136"/>
      <c r="B284" s="52"/>
      <c r="C284" s="21">
        <f t="shared" si="55"/>
        <v>1</v>
      </c>
      <c r="D284" s="628"/>
      <c r="E284" s="21">
        <f t="shared" si="56"/>
        <v>1</v>
      </c>
      <c r="F284" s="628"/>
      <c r="G284" s="21">
        <f t="shared" si="57"/>
        <v>1</v>
      </c>
      <c r="H284" s="628"/>
      <c r="I284" s="21">
        <f t="shared" si="58"/>
        <v>1</v>
      </c>
      <c r="J284" s="628"/>
      <c r="K284" s="21">
        <f t="shared" si="59"/>
        <v>1</v>
      </c>
      <c r="L284" s="628"/>
      <c r="M284" s="21">
        <f t="shared" si="60"/>
        <v>1</v>
      </c>
      <c r="N284" s="628"/>
      <c r="O284" s="21">
        <f t="shared" si="61"/>
        <v>1</v>
      </c>
      <c r="P284" s="628"/>
      <c r="Q284" s="21">
        <f t="shared" si="62"/>
        <v>1</v>
      </c>
      <c r="R284" s="21">
        <f t="shared" si="63"/>
        <v>0</v>
      </c>
      <c r="S284" s="302">
        <f t="shared" si="54"/>
        <v>0</v>
      </c>
    </row>
    <row r="285" spans="1:19">
      <c r="A285" s="136"/>
      <c r="B285" s="52"/>
      <c r="C285" s="21">
        <f t="shared" si="55"/>
        <v>1</v>
      </c>
      <c r="D285" s="628"/>
      <c r="E285" s="21">
        <f t="shared" si="56"/>
        <v>1</v>
      </c>
      <c r="F285" s="628"/>
      <c r="G285" s="21">
        <f t="shared" si="57"/>
        <v>1</v>
      </c>
      <c r="H285" s="628"/>
      <c r="I285" s="21">
        <f t="shared" si="58"/>
        <v>1</v>
      </c>
      <c r="J285" s="628"/>
      <c r="K285" s="21">
        <f t="shared" si="59"/>
        <v>1</v>
      </c>
      <c r="L285" s="628"/>
      <c r="M285" s="21">
        <f t="shared" si="60"/>
        <v>1</v>
      </c>
      <c r="N285" s="628"/>
      <c r="O285" s="21">
        <f t="shared" si="61"/>
        <v>1</v>
      </c>
      <c r="P285" s="628"/>
      <c r="Q285" s="21">
        <f t="shared" si="62"/>
        <v>1</v>
      </c>
      <c r="R285" s="21">
        <f t="shared" si="63"/>
        <v>0</v>
      </c>
      <c r="S285" s="302">
        <f t="shared" si="54"/>
        <v>0</v>
      </c>
    </row>
    <row r="286" spans="1:19">
      <c r="A286" s="136"/>
      <c r="B286" s="52"/>
      <c r="C286" s="21">
        <f t="shared" si="55"/>
        <v>1</v>
      </c>
      <c r="D286" s="628"/>
      <c r="E286" s="21">
        <f t="shared" si="56"/>
        <v>1</v>
      </c>
      <c r="F286" s="628"/>
      <c r="G286" s="21">
        <f t="shared" si="57"/>
        <v>1</v>
      </c>
      <c r="H286" s="628"/>
      <c r="I286" s="21">
        <f t="shared" si="58"/>
        <v>1</v>
      </c>
      <c r="J286" s="628"/>
      <c r="K286" s="21">
        <f t="shared" si="59"/>
        <v>1</v>
      </c>
      <c r="L286" s="628"/>
      <c r="M286" s="21">
        <f t="shared" si="60"/>
        <v>1</v>
      </c>
      <c r="N286" s="628"/>
      <c r="O286" s="21">
        <f t="shared" si="61"/>
        <v>1</v>
      </c>
      <c r="P286" s="628"/>
      <c r="Q286" s="21">
        <f t="shared" si="62"/>
        <v>1</v>
      </c>
      <c r="R286" s="21">
        <f t="shared" si="63"/>
        <v>0</v>
      </c>
      <c r="S286" s="302">
        <f t="shared" si="54"/>
        <v>0</v>
      </c>
    </row>
    <row r="287" spans="1:19">
      <c r="A287" s="136"/>
      <c r="B287" s="52"/>
      <c r="C287" s="21">
        <f t="shared" si="55"/>
        <v>1</v>
      </c>
      <c r="D287" s="628"/>
      <c r="E287" s="21">
        <f t="shared" si="56"/>
        <v>1</v>
      </c>
      <c r="F287" s="628"/>
      <c r="G287" s="21">
        <f t="shared" si="57"/>
        <v>1</v>
      </c>
      <c r="H287" s="628"/>
      <c r="I287" s="21">
        <f t="shared" si="58"/>
        <v>1</v>
      </c>
      <c r="J287" s="628"/>
      <c r="K287" s="21">
        <f t="shared" si="59"/>
        <v>1</v>
      </c>
      <c r="L287" s="628"/>
      <c r="M287" s="21">
        <f t="shared" si="60"/>
        <v>1</v>
      </c>
      <c r="N287" s="628"/>
      <c r="O287" s="21">
        <f t="shared" si="61"/>
        <v>1</v>
      </c>
      <c r="P287" s="628"/>
      <c r="Q287" s="21">
        <f t="shared" si="62"/>
        <v>1</v>
      </c>
      <c r="R287" s="21">
        <f t="shared" si="63"/>
        <v>0</v>
      </c>
      <c r="S287" s="302">
        <f t="shared" ref="S287:S320" si="64">ROUND(R287*B287/10000,0)</f>
        <v>0</v>
      </c>
    </row>
    <row r="288" spans="1:19">
      <c r="A288" s="136"/>
      <c r="B288" s="52"/>
      <c r="C288" s="21">
        <f t="shared" si="55"/>
        <v>1</v>
      </c>
      <c r="D288" s="628"/>
      <c r="E288" s="21">
        <f t="shared" si="56"/>
        <v>1</v>
      </c>
      <c r="F288" s="628"/>
      <c r="G288" s="21">
        <f t="shared" si="57"/>
        <v>1</v>
      </c>
      <c r="H288" s="628"/>
      <c r="I288" s="21">
        <f t="shared" si="58"/>
        <v>1</v>
      </c>
      <c r="J288" s="628"/>
      <c r="K288" s="21">
        <f t="shared" si="59"/>
        <v>1</v>
      </c>
      <c r="L288" s="628"/>
      <c r="M288" s="21">
        <f t="shared" si="60"/>
        <v>1</v>
      </c>
      <c r="N288" s="628"/>
      <c r="O288" s="21">
        <f t="shared" si="61"/>
        <v>1</v>
      </c>
      <c r="P288" s="628"/>
      <c r="Q288" s="21">
        <f t="shared" si="62"/>
        <v>1</v>
      </c>
      <c r="R288" s="21">
        <f t="shared" si="63"/>
        <v>0</v>
      </c>
      <c r="S288" s="302">
        <f t="shared" si="64"/>
        <v>0</v>
      </c>
    </row>
    <row r="289" spans="1:19">
      <c r="A289" s="136"/>
      <c r="B289" s="52"/>
      <c r="C289" s="21">
        <f t="shared" si="55"/>
        <v>1</v>
      </c>
      <c r="D289" s="628"/>
      <c r="E289" s="21">
        <f t="shared" si="56"/>
        <v>1</v>
      </c>
      <c r="F289" s="628"/>
      <c r="G289" s="21">
        <f t="shared" si="57"/>
        <v>1</v>
      </c>
      <c r="H289" s="628"/>
      <c r="I289" s="21">
        <f t="shared" si="58"/>
        <v>1</v>
      </c>
      <c r="J289" s="628"/>
      <c r="K289" s="21">
        <f t="shared" si="59"/>
        <v>1</v>
      </c>
      <c r="L289" s="628"/>
      <c r="M289" s="21">
        <f t="shared" si="60"/>
        <v>1</v>
      </c>
      <c r="N289" s="628"/>
      <c r="O289" s="21">
        <f t="shared" si="61"/>
        <v>1</v>
      </c>
      <c r="P289" s="628"/>
      <c r="Q289" s="21">
        <f t="shared" si="62"/>
        <v>1</v>
      </c>
      <c r="R289" s="21">
        <f t="shared" si="63"/>
        <v>0</v>
      </c>
      <c r="S289" s="302">
        <f t="shared" si="64"/>
        <v>0</v>
      </c>
    </row>
    <row r="290" spans="1:19">
      <c r="A290" s="136"/>
      <c r="B290" s="52"/>
      <c r="C290" s="21">
        <f t="shared" si="55"/>
        <v>1</v>
      </c>
      <c r="D290" s="628"/>
      <c r="E290" s="21">
        <f t="shared" si="56"/>
        <v>1</v>
      </c>
      <c r="F290" s="628"/>
      <c r="G290" s="21">
        <f t="shared" si="57"/>
        <v>1</v>
      </c>
      <c r="H290" s="628"/>
      <c r="I290" s="21">
        <f t="shared" si="58"/>
        <v>1</v>
      </c>
      <c r="J290" s="628"/>
      <c r="K290" s="21">
        <f t="shared" si="59"/>
        <v>1</v>
      </c>
      <c r="L290" s="628"/>
      <c r="M290" s="21">
        <f t="shared" si="60"/>
        <v>1</v>
      </c>
      <c r="N290" s="628"/>
      <c r="O290" s="21">
        <f t="shared" si="61"/>
        <v>1</v>
      </c>
      <c r="P290" s="628"/>
      <c r="Q290" s="21">
        <f t="shared" si="62"/>
        <v>1</v>
      </c>
      <c r="R290" s="21">
        <f t="shared" si="63"/>
        <v>0</v>
      </c>
      <c r="S290" s="302">
        <f t="shared" si="64"/>
        <v>0</v>
      </c>
    </row>
    <row r="291" spans="1:19">
      <c r="A291" s="136"/>
      <c r="B291" s="52"/>
      <c r="C291" s="21">
        <f t="shared" si="55"/>
        <v>1</v>
      </c>
      <c r="D291" s="628"/>
      <c r="E291" s="21">
        <f t="shared" si="56"/>
        <v>1</v>
      </c>
      <c r="F291" s="628"/>
      <c r="G291" s="21">
        <f t="shared" si="57"/>
        <v>1</v>
      </c>
      <c r="H291" s="628"/>
      <c r="I291" s="21">
        <f t="shared" si="58"/>
        <v>1</v>
      </c>
      <c r="J291" s="628"/>
      <c r="K291" s="21">
        <f t="shared" si="59"/>
        <v>1</v>
      </c>
      <c r="L291" s="628"/>
      <c r="M291" s="21">
        <f t="shared" si="60"/>
        <v>1</v>
      </c>
      <c r="N291" s="628"/>
      <c r="O291" s="21">
        <f t="shared" si="61"/>
        <v>1</v>
      </c>
      <c r="P291" s="628"/>
      <c r="Q291" s="21">
        <f t="shared" si="62"/>
        <v>1</v>
      </c>
      <c r="R291" s="21">
        <f t="shared" si="63"/>
        <v>0</v>
      </c>
      <c r="S291" s="302">
        <f t="shared" si="64"/>
        <v>0</v>
      </c>
    </row>
    <row r="292" spans="1:19">
      <c r="A292" s="136"/>
      <c r="B292" s="52"/>
      <c r="C292" s="21">
        <f t="shared" si="55"/>
        <v>1</v>
      </c>
      <c r="D292" s="628"/>
      <c r="E292" s="21">
        <f t="shared" si="56"/>
        <v>1</v>
      </c>
      <c r="F292" s="628"/>
      <c r="G292" s="21">
        <f t="shared" si="57"/>
        <v>1</v>
      </c>
      <c r="H292" s="628"/>
      <c r="I292" s="21">
        <f t="shared" si="58"/>
        <v>1</v>
      </c>
      <c r="J292" s="628"/>
      <c r="K292" s="21">
        <f t="shared" si="59"/>
        <v>1</v>
      </c>
      <c r="L292" s="628"/>
      <c r="M292" s="21">
        <f t="shared" si="60"/>
        <v>1</v>
      </c>
      <c r="N292" s="628"/>
      <c r="O292" s="21">
        <f t="shared" si="61"/>
        <v>1</v>
      </c>
      <c r="P292" s="628"/>
      <c r="Q292" s="21">
        <f t="shared" si="62"/>
        <v>1</v>
      </c>
      <c r="R292" s="21">
        <f t="shared" si="63"/>
        <v>0</v>
      </c>
      <c r="S292" s="302">
        <f t="shared" si="64"/>
        <v>0</v>
      </c>
    </row>
    <row r="293" spans="1:19">
      <c r="A293" s="136"/>
      <c r="B293" s="52"/>
      <c r="C293" s="21">
        <f t="shared" si="55"/>
        <v>1</v>
      </c>
      <c r="D293" s="628"/>
      <c r="E293" s="21">
        <f t="shared" si="56"/>
        <v>1</v>
      </c>
      <c r="F293" s="628"/>
      <c r="G293" s="21">
        <f t="shared" si="57"/>
        <v>1</v>
      </c>
      <c r="H293" s="628"/>
      <c r="I293" s="21">
        <f t="shared" si="58"/>
        <v>1</v>
      </c>
      <c r="J293" s="628"/>
      <c r="K293" s="21">
        <f t="shared" si="59"/>
        <v>1</v>
      </c>
      <c r="L293" s="628"/>
      <c r="M293" s="21">
        <f t="shared" si="60"/>
        <v>1</v>
      </c>
      <c r="N293" s="628"/>
      <c r="O293" s="21">
        <f t="shared" si="61"/>
        <v>1</v>
      </c>
      <c r="P293" s="628"/>
      <c r="Q293" s="21">
        <f t="shared" si="62"/>
        <v>1</v>
      </c>
      <c r="R293" s="21">
        <f t="shared" si="63"/>
        <v>0</v>
      </c>
      <c r="S293" s="302">
        <f t="shared" si="64"/>
        <v>0</v>
      </c>
    </row>
    <row r="294" spans="1:19">
      <c r="A294" s="136"/>
      <c r="B294" s="52"/>
      <c r="C294" s="21">
        <f t="shared" si="55"/>
        <v>1</v>
      </c>
      <c r="D294" s="628"/>
      <c r="E294" s="21">
        <f t="shared" si="56"/>
        <v>1</v>
      </c>
      <c r="F294" s="628"/>
      <c r="G294" s="21">
        <f t="shared" si="57"/>
        <v>1</v>
      </c>
      <c r="H294" s="628"/>
      <c r="I294" s="21">
        <f t="shared" si="58"/>
        <v>1</v>
      </c>
      <c r="J294" s="628"/>
      <c r="K294" s="21">
        <f t="shared" si="59"/>
        <v>1</v>
      </c>
      <c r="L294" s="628"/>
      <c r="M294" s="21">
        <f t="shared" si="60"/>
        <v>1</v>
      </c>
      <c r="N294" s="628"/>
      <c r="O294" s="21">
        <f t="shared" si="61"/>
        <v>1</v>
      </c>
      <c r="P294" s="628"/>
      <c r="Q294" s="21">
        <f t="shared" si="62"/>
        <v>1</v>
      </c>
      <c r="R294" s="21">
        <f t="shared" si="63"/>
        <v>0</v>
      </c>
      <c r="S294" s="302">
        <f t="shared" si="64"/>
        <v>0</v>
      </c>
    </row>
    <row r="295" spans="1:19">
      <c r="A295" s="136"/>
      <c r="B295" s="52"/>
      <c r="C295" s="21">
        <f t="shared" si="55"/>
        <v>1</v>
      </c>
      <c r="D295" s="628"/>
      <c r="E295" s="21">
        <f t="shared" si="56"/>
        <v>1</v>
      </c>
      <c r="F295" s="628"/>
      <c r="G295" s="21">
        <f t="shared" si="57"/>
        <v>1</v>
      </c>
      <c r="H295" s="628"/>
      <c r="I295" s="21">
        <f t="shared" si="58"/>
        <v>1</v>
      </c>
      <c r="J295" s="628"/>
      <c r="K295" s="21">
        <f t="shared" si="59"/>
        <v>1</v>
      </c>
      <c r="L295" s="628"/>
      <c r="M295" s="21">
        <f t="shared" si="60"/>
        <v>1</v>
      </c>
      <c r="N295" s="628"/>
      <c r="O295" s="21">
        <f t="shared" si="61"/>
        <v>1</v>
      </c>
      <c r="P295" s="628"/>
      <c r="Q295" s="21">
        <f t="shared" si="62"/>
        <v>1</v>
      </c>
      <c r="R295" s="21">
        <f t="shared" si="63"/>
        <v>0</v>
      </c>
      <c r="S295" s="302">
        <f t="shared" si="64"/>
        <v>0</v>
      </c>
    </row>
    <row r="296" spans="1:19">
      <c r="A296" s="136"/>
      <c r="B296" s="52"/>
      <c r="C296" s="21">
        <f t="shared" si="55"/>
        <v>1</v>
      </c>
      <c r="D296" s="628"/>
      <c r="E296" s="21">
        <f t="shared" si="56"/>
        <v>1</v>
      </c>
      <c r="F296" s="628"/>
      <c r="G296" s="21">
        <f t="shared" si="57"/>
        <v>1</v>
      </c>
      <c r="H296" s="628"/>
      <c r="I296" s="21">
        <f t="shared" si="58"/>
        <v>1</v>
      </c>
      <c r="J296" s="628"/>
      <c r="K296" s="21">
        <f t="shared" si="59"/>
        <v>1</v>
      </c>
      <c r="L296" s="628"/>
      <c r="M296" s="21">
        <f t="shared" si="60"/>
        <v>1</v>
      </c>
      <c r="N296" s="628"/>
      <c r="O296" s="21">
        <f t="shared" si="61"/>
        <v>1</v>
      </c>
      <c r="P296" s="628"/>
      <c r="Q296" s="21">
        <f t="shared" si="62"/>
        <v>1</v>
      </c>
      <c r="R296" s="21">
        <f t="shared" si="63"/>
        <v>0</v>
      </c>
      <c r="S296" s="302">
        <f t="shared" si="64"/>
        <v>0</v>
      </c>
    </row>
    <row r="297" spans="1:19">
      <c r="A297" s="136"/>
      <c r="B297" s="52"/>
      <c r="C297" s="21">
        <f t="shared" si="55"/>
        <v>1</v>
      </c>
      <c r="D297" s="628"/>
      <c r="E297" s="21">
        <f t="shared" si="56"/>
        <v>1</v>
      </c>
      <c r="F297" s="628"/>
      <c r="G297" s="21">
        <f t="shared" si="57"/>
        <v>1</v>
      </c>
      <c r="H297" s="628"/>
      <c r="I297" s="21">
        <f t="shared" si="58"/>
        <v>1</v>
      </c>
      <c r="J297" s="628"/>
      <c r="K297" s="21">
        <f t="shared" si="59"/>
        <v>1</v>
      </c>
      <c r="L297" s="628"/>
      <c r="M297" s="21">
        <f t="shared" si="60"/>
        <v>1</v>
      </c>
      <c r="N297" s="628"/>
      <c r="O297" s="21">
        <f t="shared" si="61"/>
        <v>1</v>
      </c>
      <c r="P297" s="628"/>
      <c r="Q297" s="21">
        <f t="shared" si="62"/>
        <v>1</v>
      </c>
      <c r="R297" s="21">
        <f t="shared" si="63"/>
        <v>0</v>
      </c>
      <c r="S297" s="302">
        <f t="shared" si="64"/>
        <v>0</v>
      </c>
    </row>
    <row r="298" spans="1:19">
      <c r="A298" s="136"/>
      <c r="B298" s="52"/>
      <c r="C298" s="21">
        <f t="shared" si="55"/>
        <v>1</v>
      </c>
      <c r="D298" s="628"/>
      <c r="E298" s="21">
        <f t="shared" si="56"/>
        <v>1</v>
      </c>
      <c r="F298" s="628"/>
      <c r="G298" s="21">
        <f t="shared" si="57"/>
        <v>1</v>
      </c>
      <c r="H298" s="628"/>
      <c r="I298" s="21">
        <f t="shared" si="58"/>
        <v>1</v>
      </c>
      <c r="J298" s="628"/>
      <c r="K298" s="21">
        <f t="shared" si="59"/>
        <v>1</v>
      </c>
      <c r="L298" s="628"/>
      <c r="M298" s="21">
        <f t="shared" si="60"/>
        <v>1</v>
      </c>
      <c r="N298" s="628"/>
      <c r="O298" s="21">
        <f t="shared" si="61"/>
        <v>1</v>
      </c>
      <c r="P298" s="628"/>
      <c r="Q298" s="21">
        <f t="shared" si="62"/>
        <v>1</v>
      </c>
      <c r="R298" s="21">
        <f t="shared" si="63"/>
        <v>0</v>
      </c>
      <c r="S298" s="302">
        <f t="shared" si="64"/>
        <v>0</v>
      </c>
    </row>
    <row r="299" spans="1:19">
      <c r="A299" s="136"/>
      <c r="B299" s="52"/>
      <c r="C299" s="21">
        <f t="shared" si="55"/>
        <v>1</v>
      </c>
      <c r="D299" s="628"/>
      <c r="E299" s="21">
        <f t="shared" si="56"/>
        <v>1</v>
      </c>
      <c r="F299" s="628"/>
      <c r="G299" s="21">
        <f t="shared" si="57"/>
        <v>1</v>
      </c>
      <c r="H299" s="628"/>
      <c r="I299" s="21">
        <f t="shared" si="58"/>
        <v>1</v>
      </c>
      <c r="J299" s="628"/>
      <c r="K299" s="21">
        <f t="shared" si="59"/>
        <v>1</v>
      </c>
      <c r="L299" s="628"/>
      <c r="M299" s="21">
        <f t="shared" si="60"/>
        <v>1</v>
      </c>
      <c r="N299" s="628"/>
      <c r="O299" s="21">
        <f t="shared" si="61"/>
        <v>1</v>
      </c>
      <c r="P299" s="628"/>
      <c r="Q299" s="21">
        <f t="shared" si="62"/>
        <v>1</v>
      </c>
      <c r="R299" s="21">
        <f t="shared" si="63"/>
        <v>0</v>
      </c>
      <c r="S299" s="302">
        <f t="shared" si="64"/>
        <v>0</v>
      </c>
    </row>
    <row r="300" spans="1:19">
      <c r="A300" s="136"/>
      <c r="B300" s="52"/>
      <c r="C300" s="21">
        <f t="shared" si="55"/>
        <v>1</v>
      </c>
      <c r="D300" s="628"/>
      <c r="E300" s="21">
        <f t="shared" si="56"/>
        <v>1</v>
      </c>
      <c r="F300" s="628"/>
      <c r="G300" s="21">
        <f t="shared" si="57"/>
        <v>1</v>
      </c>
      <c r="H300" s="628"/>
      <c r="I300" s="21">
        <f t="shared" si="58"/>
        <v>1</v>
      </c>
      <c r="J300" s="628"/>
      <c r="K300" s="21">
        <f t="shared" si="59"/>
        <v>1</v>
      </c>
      <c r="L300" s="628"/>
      <c r="M300" s="21">
        <f t="shared" si="60"/>
        <v>1</v>
      </c>
      <c r="N300" s="628"/>
      <c r="O300" s="21">
        <f t="shared" si="61"/>
        <v>1</v>
      </c>
      <c r="P300" s="628"/>
      <c r="Q300" s="21">
        <f t="shared" si="62"/>
        <v>1</v>
      </c>
      <c r="R300" s="21">
        <f t="shared" si="63"/>
        <v>0</v>
      </c>
      <c r="S300" s="302">
        <f t="shared" si="64"/>
        <v>0</v>
      </c>
    </row>
    <row r="301" spans="1:19">
      <c r="A301" s="136"/>
      <c r="B301" s="52"/>
      <c r="C301" s="21">
        <f t="shared" si="55"/>
        <v>1</v>
      </c>
      <c r="D301" s="628"/>
      <c r="E301" s="21">
        <f t="shared" si="56"/>
        <v>1</v>
      </c>
      <c r="F301" s="628"/>
      <c r="G301" s="21">
        <f t="shared" si="57"/>
        <v>1</v>
      </c>
      <c r="H301" s="628"/>
      <c r="I301" s="21">
        <f t="shared" si="58"/>
        <v>1</v>
      </c>
      <c r="J301" s="628"/>
      <c r="K301" s="21">
        <f t="shared" si="59"/>
        <v>1</v>
      </c>
      <c r="L301" s="628"/>
      <c r="M301" s="21">
        <f t="shared" si="60"/>
        <v>1</v>
      </c>
      <c r="N301" s="628"/>
      <c r="O301" s="21">
        <f t="shared" si="61"/>
        <v>1</v>
      </c>
      <c r="P301" s="628"/>
      <c r="Q301" s="21">
        <f t="shared" si="62"/>
        <v>1</v>
      </c>
      <c r="R301" s="21">
        <f t="shared" si="63"/>
        <v>0</v>
      </c>
      <c r="S301" s="302">
        <f t="shared" si="64"/>
        <v>0</v>
      </c>
    </row>
    <row r="302" spans="1:19">
      <c r="A302" s="136"/>
      <c r="B302" s="52"/>
      <c r="C302" s="21">
        <f t="shared" si="55"/>
        <v>1</v>
      </c>
      <c r="D302" s="628"/>
      <c r="E302" s="21">
        <f t="shared" si="56"/>
        <v>1</v>
      </c>
      <c r="F302" s="628"/>
      <c r="G302" s="21">
        <f t="shared" si="57"/>
        <v>1</v>
      </c>
      <c r="H302" s="628"/>
      <c r="I302" s="21">
        <f t="shared" si="58"/>
        <v>1</v>
      </c>
      <c r="J302" s="628"/>
      <c r="K302" s="21">
        <f t="shared" si="59"/>
        <v>1</v>
      </c>
      <c r="L302" s="628"/>
      <c r="M302" s="21">
        <f t="shared" si="60"/>
        <v>1</v>
      </c>
      <c r="N302" s="628"/>
      <c r="O302" s="21">
        <f t="shared" si="61"/>
        <v>1</v>
      </c>
      <c r="P302" s="628"/>
      <c r="Q302" s="21">
        <f t="shared" si="62"/>
        <v>1</v>
      </c>
      <c r="R302" s="21">
        <f t="shared" si="63"/>
        <v>0</v>
      </c>
      <c r="S302" s="302">
        <f t="shared" si="64"/>
        <v>0</v>
      </c>
    </row>
    <row r="303" spans="1:19">
      <c r="A303" s="136"/>
      <c r="B303" s="52"/>
      <c r="C303" s="21">
        <f t="shared" si="55"/>
        <v>1</v>
      </c>
      <c r="D303" s="628"/>
      <c r="E303" s="21">
        <f t="shared" si="56"/>
        <v>1</v>
      </c>
      <c r="F303" s="628"/>
      <c r="G303" s="21">
        <f t="shared" si="57"/>
        <v>1</v>
      </c>
      <c r="H303" s="628"/>
      <c r="I303" s="21">
        <f t="shared" si="58"/>
        <v>1</v>
      </c>
      <c r="J303" s="628"/>
      <c r="K303" s="21">
        <f t="shared" si="59"/>
        <v>1</v>
      </c>
      <c r="L303" s="628"/>
      <c r="M303" s="21">
        <f t="shared" si="60"/>
        <v>1</v>
      </c>
      <c r="N303" s="628"/>
      <c r="O303" s="21">
        <f t="shared" si="61"/>
        <v>1</v>
      </c>
      <c r="P303" s="628"/>
      <c r="Q303" s="21">
        <f t="shared" si="62"/>
        <v>1</v>
      </c>
      <c r="R303" s="21">
        <f t="shared" si="63"/>
        <v>0</v>
      </c>
      <c r="S303" s="302">
        <f t="shared" si="64"/>
        <v>0</v>
      </c>
    </row>
    <row r="304" spans="1:19">
      <c r="A304" s="136"/>
      <c r="B304" s="52"/>
      <c r="C304" s="21">
        <f t="shared" si="55"/>
        <v>1</v>
      </c>
      <c r="D304" s="628"/>
      <c r="E304" s="21">
        <f t="shared" si="56"/>
        <v>1</v>
      </c>
      <c r="F304" s="628"/>
      <c r="G304" s="21">
        <f t="shared" si="57"/>
        <v>1</v>
      </c>
      <c r="H304" s="628"/>
      <c r="I304" s="21">
        <f t="shared" si="58"/>
        <v>1</v>
      </c>
      <c r="J304" s="628"/>
      <c r="K304" s="21">
        <f t="shared" si="59"/>
        <v>1</v>
      </c>
      <c r="L304" s="628"/>
      <c r="M304" s="21">
        <f t="shared" si="60"/>
        <v>1</v>
      </c>
      <c r="N304" s="628"/>
      <c r="O304" s="21">
        <f t="shared" si="61"/>
        <v>1</v>
      </c>
      <c r="P304" s="628"/>
      <c r="Q304" s="21">
        <f t="shared" si="62"/>
        <v>1</v>
      </c>
      <c r="R304" s="21">
        <f t="shared" si="63"/>
        <v>0</v>
      </c>
      <c r="S304" s="302">
        <f t="shared" si="64"/>
        <v>0</v>
      </c>
    </row>
    <row r="305" spans="1:19">
      <c r="A305" s="136"/>
      <c r="B305" s="52"/>
      <c r="C305" s="21">
        <f t="shared" si="55"/>
        <v>1</v>
      </c>
      <c r="D305" s="628"/>
      <c r="E305" s="21">
        <f t="shared" si="56"/>
        <v>1</v>
      </c>
      <c r="F305" s="628"/>
      <c r="G305" s="21">
        <f t="shared" si="57"/>
        <v>1</v>
      </c>
      <c r="H305" s="628"/>
      <c r="I305" s="21">
        <f t="shared" si="58"/>
        <v>1</v>
      </c>
      <c r="J305" s="628"/>
      <c r="K305" s="21">
        <f t="shared" si="59"/>
        <v>1</v>
      </c>
      <c r="L305" s="628"/>
      <c r="M305" s="21">
        <f t="shared" si="60"/>
        <v>1</v>
      </c>
      <c r="N305" s="628"/>
      <c r="O305" s="21">
        <f t="shared" si="61"/>
        <v>1</v>
      </c>
      <c r="P305" s="628"/>
      <c r="Q305" s="21">
        <f t="shared" si="62"/>
        <v>1</v>
      </c>
      <c r="R305" s="21">
        <f t="shared" si="63"/>
        <v>0</v>
      </c>
      <c r="S305" s="302">
        <f t="shared" si="64"/>
        <v>0</v>
      </c>
    </row>
    <row r="306" spans="1:19">
      <c r="A306" s="136"/>
      <c r="B306" s="52"/>
      <c r="C306" s="21">
        <f t="shared" si="55"/>
        <v>1</v>
      </c>
      <c r="D306" s="628"/>
      <c r="E306" s="21">
        <f t="shared" si="56"/>
        <v>1</v>
      </c>
      <c r="F306" s="628"/>
      <c r="G306" s="21">
        <f t="shared" si="57"/>
        <v>1</v>
      </c>
      <c r="H306" s="628"/>
      <c r="I306" s="21">
        <f t="shared" si="58"/>
        <v>1</v>
      </c>
      <c r="J306" s="628"/>
      <c r="K306" s="21">
        <f t="shared" si="59"/>
        <v>1</v>
      </c>
      <c r="L306" s="628"/>
      <c r="M306" s="21">
        <f t="shared" si="60"/>
        <v>1</v>
      </c>
      <c r="N306" s="628"/>
      <c r="O306" s="21">
        <f t="shared" si="61"/>
        <v>1</v>
      </c>
      <c r="P306" s="628"/>
      <c r="Q306" s="21">
        <f t="shared" si="62"/>
        <v>1</v>
      </c>
      <c r="R306" s="21">
        <f t="shared" si="63"/>
        <v>0</v>
      </c>
      <c r="S306" s="302">
        <f t="shared" si="64"/>
        <v>0</v>
      </c>
    </row>
    <row r="307" spans="1:19">
      <c r="A307" s="136"/>
      <c r="B307" s="52"/>
      <c r="C307" s="21">
        <f t="shared" si="55"/>
        <v>1</v>
      </c>
      <c r="D307" s="628"/>
      <c r="E307" s="21">
        <f t="shared" si="56"/>
        <v>1</v>
      </c>
      <c r="F307" s="628"/>
      <c r="G307" s="21">
        <f t="shared" si="57"/>
        <v>1</v>
      </c>
      <c r="H307" s="628"/>
      <c r="I307" s="21">
        <f t="shared" si="58"/>
        <v>1</v>
      </c>
      <c r="J307" s="628"/>
      <c r="K307" s="21">
        <f t="shared" si="59"/>
        <v>1</v>
      </c>
      <c r="L307" s="628"/>
      <c r="M307" s="21">
        <f t="shared" si="60"/>
        <v>1</v>
      </c>
      <c r="N307" s="628"/>
      <c r="O307" s="21">
        <f t="shared" si="61"/>
        <v>1</v>
      </c>
      <c r="P307" s="628"/>
      <c r="Q307" s="21">
        <f t="shared" si="62"/>
        <v>1</v>
      </c>
      <c r="R307" s="21">
        <f t="shared" si="63"/>
        <v>0</v>
      </c>
      <c r="S307" s="302">
        <f t="shared" si="64"/>
        <v>0</v>
      </c>
    </row>
    <row r="308" spans="1:19">
      <c r="A308" s="136"/>
      <c r="B308" s="52"/>
      <c r="C308" s="21">
        <f t="shared" si="55"/>
        <v>1</v>
      </c>
      <c r="D308" s="628"/>
      <c r="E308" s="21">
        <f t="shared" si="56"/>
        <v>1</v>
      </c>
      <c r="F308" s="628"/>
      <c r="G308" s="21">
        <f t="shared" si="57"/>
        <v>1</v>
      </c>
      <c r="H308" s="628"/>
      <c r="I308" s="21">
        <f t="shared" si="58"/>
        <v>1</v>
      </c>
      <c r="J308" s="628"/>
      <c r="K308" s="21">
        <f t="shared" si="59"/>
        <v>1</v>
      </c>
      <c r="L308" s="628"/>
      <c r="M308" s="21">
        <f t="shared" si="60"/>
        <v>1</v>
      </c>
      <c r="N308" s="628"/>
      <c r="O308" s="21">
        <f t="shared" si="61"/>
        <v>1</v>
      </c>
      <c r="P308" s="628"/>
      <c r="Q308" s="21">
        <f t="shared" si="62"/>
        <v>1</v>
      </c>
      <c r="R308" s="21">
        <f t="shared" si="63"/>
        <v>0</v>
      </c>
      <c r="S308" s="302">
        <f t="shared" si="64"/>
        <v>0</v>
      </c>
    </row>
    <row r="309" spans="1:19">
      <c r="A309" s="136"/>
      <c r="B309" s="52"/>
      <c r="C309" s="21">
        <f t="shared" si="55"/>
        <v>1</v>
      </c>
      <c r="D309" s="628"/>
      <c r="E309" s="21">
        <f t="shared" si="56"/>
        <v>1</v>
      </c>
      <c r="F309" s="628"/>
      <c r="G309" s="21">
        <f t="shared" si="57"/>
        <v>1</v>
      </c>
      <c r="H309" s="628"/>
      <c r="I309" s="21">
        <f t="shared" si="58"/>
        <v>1</v>
      </c>
      <c r="J309" s="628"/>
      <c r="K309" s="21">
        <f t="shared" si="59"/>
        <v>1</v>
      </c>
      <c r="L309" s="628"/>
      <c r="M309" s="21">
        <f t="shared" si="60"/>
        <v>1</v>
      </c>
      <c r="N309" s="628"/>
      <c r="O309" s="21">
        <f t="shared" si="61"/>
        <v>1</v>
      </c>
      <c r="P309" s="628"/>
      <c r="Q309" s="21">
        <f t="shared" si="62"/>
        <v>1</v>
      </c>
      <c r="R309" s="21">
        <f t="shared" si="63"/>
        <v>0</v>
      </c>
      <c r="S309" s="302">
        <f t="shared" si="64"/>
        <v>0</v>
      </c>
    </row>
    <row r="310" spans="1:19">
      <c r="A310" s="136"/>
      <c r="B310" s="52"/>
      <c r="C310" s="21">
        <f t="shared" si="55"/>
        <v>1</v>
      </c>
      <c r="D310" s="628"/>
      <c r="E310" s="21">
        <f t="shared" si="56"/>
        <v>1</v>
      </c>
      <c r="F310" s="628"/>
      <c r="G310" s="21">
        <f t="shared" si="57"/>
        <v>1</v>
      </c>
      <c r="H310" s="628"/>
      <c r="I310" s="21">
        <f t="shared" si="58"/>
        <v>1</v>
      </c>
      <c r="J310" s="628"/>
      <c r="K310" s="21">
        <f t="shared" si="59"/>
        <v>1</v>
      </c>
      <c r="L310" s="628"/>
      <c r="M310" s="21">
        <f t="shared" si="60"/>
        <v>1</v>
      </c>
      <c r="N310" s="628"/>
      <c r="O310" s="21">
        <f t="shared" si="61"/>
        <v>1</v>
      </c>
      <c r="P310" s="628"/>
      <c r="Q310" s="21">
        <f t="shared" si="62"/>
        <v>1</v>
      </c>
      <c r="R310" s="21">
        <f t="shared" si="63"/>
        <v>0</v>
      </c>
      <c r="S310" s="302">
        <f t="shared" si="64"/>
        <v>0</v>
      </c>
    </row>
    <row r="311" spans="1:19">
      <c r="A311" s="136"/>
      <c r="B311" s="52"/>
      <c r="C311" s="21">
        <f t="shared" si="55"/>
        <v>1</v>
      </c>
      <c r="D311" s="628"/>
      <c r="E311" s="21">
        <f t="shared" si="56"/>
        <v>1</v>
      </c>
      <c r="F311" s="628"/>
      <c r="G311" s="21">
        <f t="shared" si="57"/>
        <v>1</v>
      </c>
      <c r="H311" s="628"/>
      <c r="I311" s="21">
        <f t="shared" si="58"/>
        <v>1</v>
      </c>
      <c r="J311" s="628"/>
      <c r="K311" s="21">
        <f t="shared" si="59"/>
        <v>1</v>
      </c>
      <c r="L311" s="628"/>
      <c r="M311" s="21">
        <f t="shared" si="60"/>
        <v>1</v>
      </c>
      <c r="N311" s="628"/>
      <c r="O311" s="21">
        <f t="shared" si="61"/>
        <v>1</v>
      </c>
      <c r="P311" s="628"/>
      <c r="Q311" s="21">
        <f t="shared" si="62"/>
        <v>1</v>
      </c>
      <c r="R311" s="21">
        <f t="shared" si="63"/>
        <v>0</v>
      </c>
      <c r="S311" s="302">
        <f t="shared" si="64"/>
        <v>0</v>
      </c>
    </row>
    <row r="312" spans="1:19">
      <c r="A312" s="136"/>
      <c r="B312" s="52"/>
      <c r="C312" s="21">
        <f t="shared" si="55"/>
        <v>1</v>
      </c>
      <c r="D312" s="628"/>
      <c r="E312" s="21">
        <f t="shared" si="56"/>
        <v>1</v>
      </c>
      <c r="F312" s="628"/>
      <c r="G312" s="21">
        <f t="shared" si="57"/>
        <v>1</v>
      </c>
      <c r="H312" s="628"/>
      <c r="I312" s="21">
        <f t="shared" si="58"/>
        <v>1</v>
      </c>
      <c r="J312" s="628"/>
      <c r="K312" s="21">
        <f t="shared" si="59"/>
        <v>1</v>
      </c>
      <c r="L312" s="628"/>
      <c r="M312" s="21">
        <f t="shared" si="60"/>
        <v>1</v>
      </c>
      <c r="N312" s="628"/>
      <c r="O312" s="21">
        <f t="shared" si="61"/>
        <v>1</v>
      </c>
      <c r="P312" s="628"/>
      <c r="Q312" s="21">
        <f t="shared" si="62"/>
        <v>1</v>
      </c>
      <c r="R312" s="21">
        <f t="shared" si="63"/>
        <v>0</v>
      </c>
      <c r="S312" s="302">
        <f t="shared" si="64"/>
        <v>0</v>
      </c>
    </row>
    <row r="313" spans="1:19">
      <c r="A313" s="136"/>
      <c r="B313" s="52"/>
      <c r="C313" s="21">
        <f t="shared" si="55"/>
        <v>1</v>
      </c>
      <c r="D313" s="628"/>
      <c r="E313" s="21">
        <f t="shared" si="56"/>
        <v>1</v>
      </c>
      <c r="F313" s="628"/>
      <c r="G313" s="21">
        <f t="shared" si="57"/>
        <v>1</v>
      </c>
      <c r="H313" s="628"/>
      <c r="I313" s="21">
        <f t="shared" si="58"/>
        <v>1</v>
      </c>
      <c r="J313" s="628"/>
      <c r="K313" s="21">
        <f t="shared" si="59"/>
        <v>1</v>
      </c>
      <c r="L313" s="628"/>
      <c r="M313" s="21">
        <f t="shared" si="60"/>
        <v>1</v>
      </c>
      <c r="N313" s="628"/>
      <c r="O313" s="21">
        <f t="shared" si="61"/>
        <v>1</v>
      </c>
      <c r="P313" s="628"/>
      <c r="Q313" s="21">
        <f t="shared" si="62"/>
        <v>1</v>
      </c>
      <c r="R313" s="21">
        <f t="shared" si="63"/>
        <v>0</v>
      </c>
      <c r="S313" s="302">
        <f t="shared" si="64"/>
        <v>0</v>
      </c>
    </row>
    <row r="314" spans="1:19">
      <c r="A314" s="136"/>
      <c r="B314" s="52"/>
      <c r="C314" s="21">
        <f t="shared" si="55"/>
        <v>1</v>
      </c>
      <c r="D314" s="628"/>
      <c r="E314" s="21">
        <f t="shared" si="56"/>
        <v>1</v>
      </c>
      <c r="F314" s="628"/>
      <c r="G314" s="21">
        <f t="shared" si="57"/>
        <v>1</v>
      </c>
      <c r="H314" s="628"/>
      <c r="I314" s="21">
        <f t="shared" si="58"/>
        <v>1</v>
      </c>
      <c r="J314" s="628"/>
      <c r="K314" s="21">
        <f t="shared" si="59"/>
        <v>1</v>
      </c>
      <c r="L314" s="628"/>
      <c r="M314" s="21">
        <f t="shared" si="60"/>
        <v>1</v>
      </c>
      <c r="N314" s="628"/>
      <c r="O314" s="21">
        <f t="shared" si="61"/>
        <v>1</v>
      </c>
      <c r="P314" s="628"/>
      <c r="Q314" s="21">
        <f t="shared" si="62"/>
        <v>1</v>
      </c>
      <c r="R314" s="21">
        <f t="shared" si="63"/>
        <v>0</v>
      </c>
      <c r="S314" s="302">
        <f t="shared" si="64"/>
        <v>0</v>
      </c>
    </row>
    <row r="315" spans="1:19">
      <c r="A315" s="136"/>
      <c r="B315" s="52"/>
      <c r="C315" s="21">
        <f t="shared" si="55"/>
        <v>1</v>
      </c>
      <c r="D315" s="628"/>
      <c r="E315" s="21">
        <f t="shared" si="56"/>
        <v>1</v>
      </c>
      <c r="F315" s="628"/>
      <c r="G315" s="21">
        <f t="shared" si="57"/>
        <v>1</v>
      </c>
      <c r="H315" s="628"/>
      <c r="I315" s="21">
        <f t="shared" si="58"/>
        <v>1</v>
      </c>
      <c r="J315" s="628"/>
      <c r="K315" s="21">
        <f t="shared" si="59"/>
        <v>1</v>
      </c>
      <c r="L315" s="628"/>
      <c r="M315" s="21">
        <f t="shared" si="60"/>
        <v>1</v>
      </c>
      <c r="N315" s="628"/>
      <c r="O315" s="21">
        <f t="shared" si="61"/>
        <v>1</v>
      </c>
      <c r="P315" s="628"/>
      <c r="Q315" s="21">
        <f t="shared" si="62"/>
        <v>1</v>
      </c>
      <c r="R315" s="21">
        <f t="shared" si="63"/>
        <v>0</v>
      </c>
      <c r="S315" s="302">
        <f t="shared" si="64"/>
        <v>0</v>
      </c>
    </row>
    <row r="316" spans="1:19">
      <c r="A316" s="136"/>
      <c r="B316" s="52"/>
      <c r="C316" s="21">
        <f t="shared" si="55"/>
        <v>1</v>
      </c>
      <c r="D316" s="628"/>
      <c r="E316" s="21">
        <f t="shared" si="56"/>
        <v>1</v>
      </c>
      <c r="F316" s="628"/>
      <c r="G316" s="21">
        <f t="shared" si="57"/>
        <v>1</v>
      </c>
      <c r="H316" s="628"/>
      <c r="I316" s="21">
        <f t="shared" si="58"/>
        <v>1</v>
      </c>
      <c r="J316" s="628"/>
      <c r="K316" s="21">
        <f t="shared" si="59"/>
        <v>1</v>
      </c>
      <c r="L316" s="628"/>
      <c r="M316" s="21">
        <f t="shared" si="60"/>
        <v>1</v>
      </c>
      <c r="N316" s="628"/>
      <c r="O316" s="21">
        <f t="shared" si="61"/>
        <v>1</v>
      </c>
      <c r="P316" s="628"/>
      <c r="Q316" s="21">
        <f t="shared" si="62"/>
        <v>1</v>
      </c>
      <c r="R316" s="21">
        <f t="shared" si="63"/>
        <v>0</v>
      </c>
      <c r="S316" s="302">
        <f t="shared" si="64"/>
        <v>0</v>
      </c>
    </row>
    <row r="317" spans="1:19">
      <c r="A317" s="136"/>
      <c r="B317" s="52"/>
      <c r="C317" s="21">
        <f t="shared" si="55"/>
        <v>1</v>
      </c>
      <c r="D317" s="628"/>
      <c r="E317" s="21">
        <f t="shared" si="56"/>
        <v>1</v>
      </c>
      <c r="F317" s="628"/>
      <c r="G317" s="21">
        <f t="shared" si="57"/>
        <v>1</v>
      </c>
      <c r="H317" s="628"/>
      <c r="I317" s="21">
        <f t="shared" si="58"/>
        <v>1</v>
      </c>
      <c r="J317" s="628"/>
      <c r="K317" s="21">
        <f t="shared" si="59"/>
        <v>1</v>
      </c>
      <c r="L317" s="628"/>
      <c r="M317" s="21">
        <f t="shared" si="60"/>
        <v>1</v>
      </c>
      <c r="N317" s="628"/>
      <c r="O317" s="21">
        <f t="shared" si="61"/>
        <v>1</v>
      </c>
      <c r="P317" s="628"/>
      <c r="Q317" s="21">
        <f t="shared" si="62"/>
        <v>1</v>
      </c>
      <c r="R317" s="21">
        <f t="shared" si="63"/>
        <v>0</v>
      </c>
      <c r="S317" s="302">
        <f t="shared" si="64"/>
        <v>0</v>
      </c>
    </row>
    <row r="318" spans="1:19">
      <c r="A318" s="136"/>
      <c r="B318" s="52"/>
      <c r="C318" s="21">
        <f t="shared" si="55"/>
        <v>1</v>
      </c>
      <c r="D318" s="628"/>
      <c r="E318" s="21">
        <f t="shared" si="56"/>
        <v>1</v>
      </c>
      <c r="F318" s="628"/>
      <c r="G318" s="21">
        <f t="shared" si="57"/>
        <v>1</v>
      </c>
      <c r="H318" s="628"/>
      <c r="I318" s="21">
        <f t="shared" si="58"/>
        <v>1</v>
      </c>
      <c r="J318" s="628"/>
      <c r="K318" s="21">
        <f t="shared" si="59"/>
        <v>1</v>
      </c>
      <c r="L318" s="628"/>
      <c r="M318" s="21">
        <f t="shared" si="60"/>
        <v>1</v>
      </c>
      <c r="N318" s="628"/>
      <c r="O318" s="21">
        <f t="shared" si="61"/>
        <v>1</v>
      </c>
      <c r="P318" s="628"/>
      <c r="Q318" s="21">
        <f t="shared" si="62"/>
        <v>1</v>
      </c>
      <c r="R318" s="21">
        <f t="shared" si="63"/>
        <v>0</v>
      </c>
      <c r="S318" s="302">
        <f t="shared" si="64"/>
        <v>0</v>
      </c>
    </row>
    <row r="319" spans="1:19">
      <c r="A319" s="136"/>
      <c r="B319" s="52"/>
      <c r="C319" s="21">
        <f t="shared" si="55"/>
        <v>1</v>
      </c>
      <c r="D319" s="628"/>
      <c r="E319" s="21">
        <f t="shared" si="56"/>
        <v>1</v>
      </c>
      <c r="F319" s="628"/>
      <c r="G319" s="21">
        <f t="shared" si="57"/>
        <v>1</v>
      </c>
      <c r="H319" s="628"/>
      <c r="I319" s="21">
        <f t="shared" si="58"/>
        <v>1</v>
      </c>
      <c r="J319" s="628"/>
      <c r="K319" s="21">
        <f t="shared" si="59"/>
        <v>1</v>
      </c>
      <c r="L319" s="628"/>
      <c r="M319" s="21">
        <f t="shared" si="60"/>
        <v>1</v>
      </c>
      <c r="N319" s="628"/>
      <c r="O319" s="21">
        <f t="shared" si="61"/>
        <v>1</v>
      </c>
      <c r="P319" s="628"/>
      <c r="Q319" s="21">
        <f t="shared" si="62"/>
        <v>1</v>
      </c>
      <c r="R319" s="21">
        <f t="shared" si="63"/>
        <v>0</v>
      </c>
      <c r="S319" s="302">
        <f t="shared" si="64"/>
        <v>0</v>
      </c>
    </row>
    <row r="320" spans="1:19">
      <c r="A320" s="136"/>
      <c r="B320" s="52"/>
      <c r="C320" s="21">
        <f t="shared" si="55"/>
        <v>1</v>
      </c>
      <c r="D320" s="628"/>
      <c r="E320" s="21">
        <f t="shared" si="56"/>
        <v>1</v>
      </c>
      <c r="F320" s="628"/>
      <c r="G320" s="21">
        <f t="shared" si="57"/>
        <v>1</v>
      </c>
      <c r="H320" s="628"/>
      <c r="I320" s="21">
        <f t="shared" si="58"/>
        <v>1</v>
      </c>
      <c r="J320" s="628"/>
      <c r="K320" s="21">
        <f t="shared" si="59"/>
        <v>1</v>
      </c>
      <c r="L320" s="628"/>
      <c r="M320" s="21">
        <f t="shared" si="60"/>
        <v>1</v>
      </c>
      <c r="N320" s="628"/>
      <c r="O320" s="21">
        <f t="shared" si="61"/>
        <v>1</v>
      </c>
      <c r="P320" s="628"/>
      <c r="Q320" s="21">
        <f t="shared" si="62"/>
        <v>1</v>
      </c>
      <c r="R320" s="21">
        <f t="shared" si="63"/>
        <v>0</v>
      </c>
      <c r="S320" s="302">
        <f t="shared" si="64"/>
        <v>0</v>
      </c>
    </row>
    <row r="321" spans="1:19">
      <c r="A321" s="136"/>
      <c r="B321" s="52"/>
      <c r="C321" s="21">
        <f t="shared" si="55"/>
        <v>1</v>
      </c>
      <c r="D321" s="628"/>
      <c r="E321" s="21">
        <f t="shared" si="56"/>
        <v>1</v>
      </c>
      <c r="F321" s="628"/>
      <c r="G321" s="21">
        <f t="shared" si="57"/>
        <v>1</v>
      </c>
      <c r="H321" s="628"/>
      <c r="I321" s="21">
        <f t="shared" si="58"/>
        <v>1</v>
      </c>
      <c r="J321" s="628"/>
      <c r="K321" s="21">
        <f t="shared" si="59"/>
        <v>1</v>
      </c>
      <c r="L321" s="628"/>
      <c r="M321" s="21">
        <f t="shared" si="60"/>
        <v>1</v>
      </c>
      <c r="N321" s="628"/>
      <c r="O321" s="21">
        <f t="shared" si="61"/>
        <v>1</v>
      </c>
      <c r="P321" s="628"/>
      <c r="Q321" s="21">
        <f t="shared" si="62"/>
        <v>1</v>
      </c>
      <c r="R321" s="21">
        <f t="shared" si="63"/>
        <v>0</v>
      </c>
      <c r="S321" s="302">
        <f t="shared" ref="S321:S384" si="65">ROUND(R321*B321/10000,0)</f>
        <v>0</v>
      </c>
    </row>
    <row r="322" spans="1:19">
      <c r="A322" s="136"/>
      <c r="B322" s="52"/>
      <c r="C322" s="21">
        <f t="shared" si="55"/>
        <v>1</v>
      </c>
      <c r="D322" s="628"/>
      <c r="E322" s="21">
        <f t="shared" si="56"/>
        <v>1</v>
      </c>
      <c r="F322" s="628"/>
      <c r="G322" s="21">
        <f t="shared" si="57"/>
        <v>1</v>
      </c>
      <c r="H322" s="628"/>
      <c r="I322" s="21">
        <f t="shared" si="58"/>
        <v>1</v>
      </c>
      <c r="J322" s="628"/>
      <c r="K322" s="21">
        <f t="shared" si="59"/>
        <v>1</v>
      </c>
      <c r="L322" s="628"/>
      <c r="M322" s="21">
        <f t="shared" si="60"/>
        <v>1</v>
      </c>
      <c r="N322" s="628"/>
      <c r="O322" s="21">
        <f t="shared" si="61"/>
        <v>1</v>
      </c>
      <c r="P322" s="628"/>
      <c r="Q322" s="21">
        <f t="shared" si="62"/>
        <v>1</v>
      </c>
      <c r="R322" s="21">
        <f t="shared" si="63"/>
        <v>0</v>
      </c>
      <c r="S322" s="302">
        <f t="shared" si="65"/>
        <v>0</v>
      </c>
    </row>
    <row r="323" spans="1:19">
      <c r="A323" s="136"/>
      <c r="B323" s="52"/>
      <c r="C323" s="21">
        <f t="shared" si="55"/>
        <v>1</v>
      </c>
      <c r="D323" s="628"/>
      <c r="E323" s="21">
        <f t="shared" si="56"/>
        <v>1</v>
      </c>
      <c r="F323" s="628"/>
      <c r="G323" s="21">
        <f t="shared" si="57"/>
        <v>1</v>
      </c>
      <c r="H323" s="628"/>
      <c r="I323" s="21">
        <f t="shared" si="58"/>
        <v>1</v>
      </c>
      <c r="J323" s="628"/>
      <c r="K323" s="21">
        <f t="shared" si="59"/>
        <v>1</v>
      </c>
      <c r="L323" s="628"/>
      <c r="M323" s="21">
        <f t="shared" si="60"/>
        <v>1</v>
      </c>
      <c r="N323" s="628"/>
      <c r="O323" s="21">
        <f t="shared" si="61"/>
        <v>1</v>
      </c>
      <c r="P323" s="628"/>
      <c r="Q323" s="21">
        <f t="shared" si="62"/>
        <v>1</v>
      </c>
      <c r="R323" s="21">
        <f t="shared" si="63"/>
        <v>0</v>
      </c>
      <c r="S323" s="302">
        <f t="shared" si="65"/>
        <v>0</v>
      </c>
    </row>
    <row r="324" spans="1:19">
      <c r="A324" s="136"/>
      <c r="B324" s="52"/>
      <c r="C324" s="21">
        <f t="shared" si="55"/>
        <v>1</v>
      </c>
      <c r="D324" s="628"/>
      <c r="E324" s="21">
        <f t="shared" si="56"/>
        <v>1</v>
      </c>
      <c r="F324" s="628"/>
      <c r="G324" s="21">
        <f t="shared" si="57"/>
        <v>1</v>
      </c>
      <c r="H324" s="628"/>
      <c r="I324" s="21">
        <f t="shared" si="58"/>
        <v>1</v>
      </c>
      <c r="J324" s="628"/>
      <c r="K324" s="21">
        <f t="shared" si="59"/>
        <v>1</v>
      </c>
      <c r="L324" s="628"/>
      <c r="M324" s="21">
        <f t="shared" si="60"/>
        <v>1</v>
      </c>
      <c r="N324" s="628"/>
      <c r="O324" s="21">
        <f t="shared" si="61"/>
        <v>1</v>
      </c>
      <c r="P324" s="628"/>
      <c r="Q324" s="21">
        <f t="shared" si="62"/>
        <v>1</v>
      </c>
      <c r="R324" s="21">
        <f t="shared" si="63"/>
        <v>0</v>
      </c>
      <c r="S324" s="302">
        <f t="shared" si="65"/>
        <v>0</v>
      </c>
    </row>
    <row r="325" spans="1:19">
      <c r="A325" s="136"/>
      <c r="B325" s="52"/>
      <c r="C325" s="21">
        <f t="shared" si="55"/>
        <v>1</v>
      </c>
      <c r="D325" s="628"/>
      <c r="E325" s="21">
        <f t="shared" si="56"/>
        <v>1</v>
      </c>
      <c r="F325" s="628"/>
      <c r="G325" s="21">
        <f t="shared" si="57"/>
        <v>1</v>
      </c>
      <c r="H325" s="628"/>
      <c r="I325" s="21">
        <f t="shared" si="58"/>
        <v>1</v>
      </c>
      <c r="J325" s="628"/>
      <c r="K325" s="21">
        <f t="shared" si="59"/>
        <v>1</v>
      </c>
      <c r="L325" s="628"/>
      <c r="M325" s="21">
        <f t="shared" si="60"/>
        <v>1</v>
      </c>
      <c r="N325" s="628"/>
      <c r="O325" s="21">
        <f t="shared" si="61"/>
        <v>1</v>
      </c>
      <c r="P325" s="628"/>
      <c r="Q325" s="21">
        <f t="shared" si="62"/>
        <v>1</v>
      </c>
      <c r="R325" s="21">
        <f t="shared" si="63"/>
        <v>0</v>
      </c>
      <c r="S325" s="302">
        <f t="shared" si="65"/>
        <v>0</v>
      </c>
    </row>
    <row r="326" spans="1:19">
      <c r="A326" s="136"/>
      <c r="B326" s="52"/>
      <c r="C326" s="21">
        <f t="shared" si="55"/>
        <v>1</v>
      </c>
      <c r="D326" s="628"/>
      <c r="E326" s="21">
        <f t="shared" si="56"/>
        <v>1</v>
      </c>
      <c r="F326" s="628"/>
      <c r="G326" s="21">
        <f t="shared" si="57"/>
        <v>1</v>
      </c>
      <c r="H326" s="628"/>
      <c r="I326" s="21">
        <f t="shared" si="58"/>
        <v>1</v>
      </c>
      <c r="J326" s="628"/>
      <c r="K326" s="21">
        <f t="shared" si="59"/>
        <v>1</v>
      </c>
      <c r="L326" s="628"/>
      <c r="M326" s="21">
        <f t="shared" si="60"/>
        <v>1</v>
      </c>
      <c r="N326" s="628"/>
      <c r="O326" s="21">
        <f t="shared" si="61"/>
        <v>1</v>
      </c>
      <c r="P326" s="628"/>
      <c r="Q326" s="21">
        <f t="shared" si="62"/>
        <v>1</v>
      </c>
      <c r="R326" s="21">
        <f t="shared" si="63"/>
        <v>0</v>
      </c>
      <c r="S326" s="302">
        <f t="shared" si="65"/>
        <v>0</v>
      </c>
    </row>
    <row r="327" spans="1:19">
      <c r="A327" s="136"/>
      <c r="B327" s="52"/>
      <c r="C327" s="21">
        <f t="shared" si="55"/>
        <v>1</v>
      </c>
      <c r="D327" s="628"/>
      <c r="E327" s="21">
        <f t="shared" si="56"/>
        <v>1</v>
      </c>
      <c r="F327" s="628"/>
      <c r="G327" s="21">
        <f t="shared" si="57"/>
        <v>1</v>
      </c>
      <c r="H327" s="628"/>
      <c r="I327" s="21">
        <f t="shared" si="58"/>
        <v>1</v>
      </c>
      <c r="J327" s="628"/>
      <c r="K327" s="21">
        <f t="shared" si="59"/>
        <v>1</v>
      </c>
      <c r="L327" s="628"/>
      <c r="M327" s="21">
        <f t="shared" si="60"/>
        <v>1</v>
      </c>
      <c r="N327" s="628"/>
      <c r="O327" s="21">
        <f t="shared" si="61"/>
        <v>1</v>
      </c>
      <c r="P327" s="628"/>
      <c r="Q327" s="21">
        <f t="shared" si="62"/>
        <v>1</v>
      </c>
      <c r="R327" s="21">
        <f t="shared" si="63"/>
        <v>0</v>
      </c>
      <c r="S327" s="302">
        <f t="shared" si="65"/>
        <v>0</v>
      </c>
    </row>
    <row r="328" spans="1:19">
      <c r="A328" s="136"/>
      <c r="B328" s="52"/>
      <c r="C328" s="21">
        <f t="shared" si="55"/>
        <v>1</v>
      </c>
      <c r="D328" s="628"/>
      <c r="E328" s="21">
        <f t="shared" si="56"/>
        <v>1</v>
      </c>
      <c r="F328" s="628"/>
      <c r="G328" s="21">
        <f t="shared" si="57"/>
        <v>1</v>
      </c>
      <c r="H328" s="628"/>
      <c r="I328" s="21">
        <f t="shared" si="58"/>
        <v>1</v>
      </c>
      <c r="J328" s="628"/>
      <c r="K328" s="21">
        <f t="shared" si="59"/>
        <v>1</v>
      </c>
      <c r="L328" s="628"/>
      <c r="M328" s="21">
        <f t="shared" si="60"/>
        <v>1</v>
      </c>
      <c r="N328" s="628"/>
      <c r="O328" s="21">
        <f t="shared" si="61"/>
        <v>1</v>
      </c>
      <c r="P328" s="628"/>
      <c r="Q328" s="21">
        <f t="shared" si="62"/>
        <v>1</v>
      </c>
      <c r="R328" s="21">
        <f t="shared" si="63"/>
        <v>0</v>
      </c>
      <c r="S328" s="302">
        <f t="shared" si="65"/>
        <v>0</v>
      </c>
    </row>
    <row r="329" spans="1:19">
      <c r="A329" s="136"/>
      <c r="B329" s="52"/>
      <c r="C329" s="21">
        <f t="shared" si="55"/>
        <v>1</v>
      </c>
      <c r="D329" s="628"/>
      <c r="E329" s="21">
        <f t="shared" si="56"/>
        <v>1</v>
      </c>
      <c r="F329" s="628"/>
      <c r="G329" s="21">
        <f t="shared" si="57"/>
        <v>1</v>
      </c>
      <c r="H329" s="628"/>
      <c r="I329" s="21">
        <f t="shared" si="58"/>
        <v>1</v>
      </c>
      <c r="J329" s="628"/>
      <c r="K329" s="21">
        <f t="shared" si="59"/>
        <v>1</v>
      </c>
      <c r="L329" s="628"/>
      <c r="M329" s="21">
        <f t="shared" si="60"/>
        <v>1</v>
      </c>
      <c r="N329" s="628"/>
      <c r="O329" s="21">
        <f t="shared" si="61"/>
        <v>1</v>
      </c>
      <c r="P329" s="628"/>
      <c r="Q329" s="21">
        <f t="shared" si="62"/>
        <v>1</v>
      </c>
      <c r="R329" s="21">
        <f t="shared" si="63"/>
        <v>0</v>
      </c>
      <c r="S329" s="302">
        <f t="shared" si="65"/>
        <v>0</v>
      </c>
    </row>
    <row r="330" spans="1:19">
      <c r="A330" s="136"/>
      <c r="B330" s="52"/>
      <c r="C330" s="21">
        <f t="shared" si="55"/>
        <v>1</v>
      </c>
      <c r="D330" s="628"/>
      <c r="E330" s="21">
        <f t="shared" si="56"/>
        <v>1</v>
      </c>
      <c r="F330" s="628"/>
      <c r="G330" s="21">
        <f t="shared" si="57"/>
        <v>1</v>
      </c>
      <c r="H330" s="628"/>
      <c r="I330" s="21">
        <f t="shared" si="58"/>
        <v>1</v>
      </c>
      <c r="J330" s="628"/>
      <c r="K330" s="21">
        <f t="shared" si="59"/>
        <v>1</v>
      </c>
      <c r="L330" s="628"/>
      <c r="M330" s="21">
        <f t="shared" si="60"/>
        <v>1</v>
      </c>
      <c r="N330" s="628"/>
      <c r="O330" s="21">
        <f t="shared" si="61"/>
        <v>1</v>
      </c>
      <c r="P330" s="628"/>
      <c r="Q330" s="21">
        <f t="shared" si="62"/>
        <v>1</v>
      </c>
      <c r="R330" s="21">
        <f t="shared" si="63"/>
        <v>0</v>
      </c>
      <c r="S330" s="302">
        <f t="shared" si="65"/>
        <v>0</v>
      </c>
    </row>
    <row r="331" spans="1:19">
      <c r="A331" s="136"/>
      <c r="B331" s="52"/>
      <c r="C331" s="21">
        <f t="shared" si="55"/>
        <v>1</v>
      </c>
      <c r="D331" s="628"/>
      <c r="E331" s="21">
        <f t="shared" si="56"/>
        <v>1</v>
      </c>
      <c r="F331" s="628"/>
      <c r="G331" s="21">
        <f t="shared" si="57"/>
        <v>1</v>
      </c>
      <c r="H331" s="628"/>
      <c r="I331" s="21">
        <f t="shared" si="58"/>
        <v>1</v>
      </c>
      <c r="J331" s="628"/>
      <c r="K331" s="21">
        <f t="shared" si="59"/>
        <v>1</v>
      </c>
      <c r="L331" s="628"/>
      <c r="M331" s="21">
        <f t="shared" si="60"/>
        <v>1</v>
      </c>
      <c r="N331" s="628"/>
      <c r="O331" s="21">
        <f t="shared" si="61"/>
        <v>1</v>
      </c>
      <c r="P331" s="628"/>
      <c r="Q331" s="21">
        <f t="shared" si="62"/>
        <v>1</v>
      </c>
      <c r="R331" s="21">
        <f t="shared" si="63"/>
        <v>0</v>
      </c>
      <c r="S331" s="302">
        <f t="shared" si="65"/>
        <v>0</v>
      </c>
    </row>
    <row r="332" spans="1:19">
      <c r="A332" s="136"/>
      <c r="B332" s="52"/>
      <c r="C332" s="21">
        <f t="shared" si="55"/>
        <v>1</v>
      </c>
      <c r="D332" s="628"/>
      <c r="E332" s="21">
        <f t="shared" si="56"/>
        <v>1</v>
      </c>
      <c r="F332" s="628"/>
      <c r="G332" s="21">
        <f t="shared" si="57"/>
        <v>1</v>
      </c>
      <c r="H332" s="628"/>
      <c r="I332" s="21">
        <f t="shared" si="58"/>
        <v>1</v>
      </c>
      <c r="J332" s="628"/>
      <c r="K332" s="21">
        <f t="shared" si="59"/>
        <v>1</v>
      </c>
      <c r="L332" s="628"/>
      <c r="M332" s="21">
        <f t="shared" si="60"/>
        <v>1</v>
      </c>
      <c r="N332" s="628"/>
      <c r="O332" s="21">
        <f t="shared" si="61"/>
        <v>1</v>
      </c>
      <c r="P332" s="628"/>
      <c r="Q332" s="21">
        <f t="shared" si="62"/>
        <v>1</v>
      </c>
      <c r="R332" s="21">
        <f t="shared" si="63"/>
        <v>0</v>
      </c>
      <c r="S332" s="302">
        <f t="shared" si="65"/>
        <v>0</v>
      </c>
    </row>
    <row r="333" spans="1:19">
      <c r="A333" s="136"/>
      <c r="B333" s="52"/>
      <c r="C333" s="21">
        <f t="shared" si="55"/>
        <v>1</v>
      </c>
      <c r="D333" s="628"/>
      <c r="E333" s="21">
        <f t="shared" si="56"/>
        <v>1</v>
      </c>
      <c r="F333" s="628"/>
      <c r="G333" s="21">
        <f t="shared" si="57"/>
        <v>1</v>
      </c>
      <c r="H333" s="628"/>
      <c r="I333" s="21">
        <f t="shared" si="58"/>
        <v>1</v>
      </c>
      <c r="J333" s="628"/>
      <c r="K333" s="21">
        <f t="shared" si="59"/>
        <v>1</v>
      </c>
      <c r="L333" s="628"/>
      <c r="M333" s="21">
        <f t="shared" si="60"/>
        <v>1</v>
      </c>
      <c r="N333" s="628"/>
      <c r="O333" s="21">
        <f t="shared" si="61"/>
        <v>1</v>
      </c>
      <c r="P333" s="628"/>
      <c r="Q333" s="21">
        <f t="shared" si="62"/>
        <v>1</v>
      </c>
      <c r="R333" s="21">
        <f t="shared" si="63"/>
        <v>0</v>
      </c>
      <c r="S333" s="302">
        <f t="shared" si="65"/>
        <v>0</v>
      </c>
    </row>
    <row r="334" spans="1:19">
      <c r="A334" s="136"/>
      <c r="B334" s="52"/>
      <c r="C334" s="21">
        <f t="shared" si="55"/>
        <v>1</v>
      </c>
      <c r="D334" s="628"/>
      <c r="E334" s="21">
        <f t="shared" si="56"/>
        <v>1</v>
      </c>
      <c r="F334" s="628"/>
      <c r="G334" s="21">
        <f t="shared" si="57"/>
        <v>1</v>
      </c>
      <c r="H334" s="628"/>
      <c r="I334" s="21">
        <f t="shared" si="58"/>
        <v>1</v>
      </c>
      <c r="J334" s="628"/>
      <c r="K334" s="21">
        <f t="shared" si="59"/>
        <v>1</v>
      </c>
      <c r="L334" s="628"/>
      <c r="M334" s="21">
        <f t="shared" si="60"/>
        <v>1</v>
      </c>
      <c r="N334" s="628"/>
      <c r="O334" s="21">
        <f t="shared" si="61"/>
        <v>1</v>
      </c>
      <c r="P334" s="628"/>
      <c r="Q334" s="21">
        <f t="shared" si="62"/>
        <v>1</v>
      </c>
      <c r="R334" s="21">
        <f t="shared" si="63"/>
        <v>0</v>
      </c>
      <c r="S334" s="302">
        <f t="shared" si="65"/>
        <v>0</v>
      </c>
    </row>
    <row r="335" spans="1:19">
      <c r="A335" s="136"/>
      <c r="B335" s="52"/>
      <c r="C335" s="21">
        <f t="shared" si="55"/>
        <v>1</v>
      </c>
      <c r="D335" s="628"/>
      <c r="E335" s="21">
        <f t="shared" si="56"/>
        <v>1</v>
      </c>
      <c r="F335" s="628"/>
      <c r="G335" s="21">
        <f t="shared" si="57"/>
        <v>1</v>
      </c>
      <c r="H335" s="628"/>
      <c r="I335" s="21">
        <f t="shared" si="58"/>
        <v>1</v>
      </c>
      <c r="J335" s="628"/>
      <c r="K335" s="21">
        <f t="shared" si="59"/>
        <v>1</v>
      </c>
      <c r="L335" s="628"/>
      <c r="M335" s="21">
        <f t="shared" si="60"/>
        <v>1</v>
      </c>
      <c r="N335" s="628"/>
      <c r="O335" s="21">
        <f t="shared" si="61"/>
        <v>1</v>
      </c>
      <c r="P335" s="628"/>
      <c r="Q335" s="21">
        <f t="shared" si="62"/>
        <v>1</v>
      </c>
      <c r="R335" s="21">
        <f t="shared" si="63"/>
        <v>0</v>
      </c>
      <c r="S335" s="302">
        <f t="shared" si="65"/>
        <v>0</v>
      </c>
    </row>
    <row r="336" spans="1:19">
      <c r="A336" s="136"/>
      <c r="B336" s="52"/>
      <c r="C336" s="21">
        <f t="shared" si="55"/>
        <v>1</v>
      </c>
      <c r="D336" s="628"/>
      <c r="E336" s="21">
        <f t="shared" si="56"/>
        <v>1</v>
      </c>
      <c r="F336" s="628"/>
      <c r="G336" s="21">
        <f t="shared" si="57"/>
        <v>1</v>
      </c>
      <c r="H336" s="628"/>
      <c r="I336" s="21">
        <f t="shared" si="58"/>
        <v>1</v>
      </c>
      <c r="J336" s="628"/>
      <c r="K336" s="21">
        <f t="shared" si="59"/>
        <v>1</v>
      </c>
      <c r="L336" s="628"/>
      <c r="M336" s="21">
        <f t="shared" si="60"/>
        <v>1</v>
      </c>
      <c r="N336" s="628"/>
      <c r="O336" s="21">
        <f t="shared" si="61"/>
        <v>1</v>
      </c>
      <c r="P336" s="628"/>
      <c r="Q336" s="21">
        <f t="shared" si="62"/>
        <v>1</v>
      </c>
      <c r="R336" s="21">
        <f t="shared" si="63"/>
        <v>0</v>
      </c>
      <c r="S336" s="302">
        <f t="shared" si="65"/>
        <v>0</v>
      </c>
    </row>
    <row r="337" spans="1:19">
      <c r="A337" s="136"/>
      <c r="B337" s="52"/>
      <c r="C337" s="21">
        <f t="shared" si="55"/>
        <v>1</v>
      </c>
      <c r="D337" s="628"/>
      <c r="E337" s="21">
        <f t="shared" si="56"/>
        <v>1</v>
      </c>
      <c r="F337" s="628"/>
      <c r="G337" s="21">
        <f t="shared" si="57"/>
        <v>1</v>
      </c>
      <c r="H337" s="628"/>
      <c r="I337" s="21">
        <f t="shared" si="58"/>
        <v>1</v>
      </c>
      <c r="J337" s="628"/>
      <c r="K337" s="21">
        <f t="shared" si="59"/>
        <v>1</v>
      </c>
      <c r="L337" s="628"/>
      <c r="M337" s="21">
        <f t="shared" si="60"/>
        <v>1</v>
      </c>
      <c r="N337" s="628"/>
      <c r="O337" s="21">
        <f t="shared" si="61"/>
        <v>1</v>
      </c>
      <c r="P337" s="628"/>
      <c r="Q337" s="21">
        <f t="shared" si="62"/>
        <v>1</v>
      </c>
      <c r="R337" s="21">
        <f t="shared" si="63"/>
        <v>0</v>
      </c>
      <c r="S337" s="302">
        <f t="shared" si="65"/>
        <v>0</v>
      </c>
    </row>
    <row r="338" spans="1:19">
      <c r="A338" s="136"/>
      <c r="B338" s="52"/>
      <c r="C338" s="21">
        <f t="shared" si="55"/>
        <v>1</v>
      </c>
      <c r="D338" s="628"/>
      <c r="E338" s="21">
        <f t="shared" si="56"/>
        <v>1</v>
      </c>
      <c r="F338" s="628"/>
      <c r="G338" s="21">
        <f t="shared" si="57"/>
        <v>1</v>
      </c>
      <c r="H338" s="628"/>
      <c r="I338" s="21">
        <f t="shared" si="58"/>
        <v>1</v>
      </c>
      <c r="J338" s="628"/>
      <c r="K338" s="21">
        <f t="shared" si="59"/>
        <v>1</v>
      </c>
      <c r="L338" s="628"/>
      <c r="M338" s="21">
        <f t="shared" si="60"/>
        <v>1</v>
      </c>
      <c r="N338" s="628"/>
      <c r="O338" s="21">
        <f t="shared" si="61"/>
        <v>1</v>
      </c>
      <c r="P338" s="628"/>
      <c r="Q338" s="21">
        <f t="shared" si="62"/>
        <v>1</v>
      </c>
      <c r="R338" s="21">
        <f t="shared" si="63"/>
        <v>0</v>
      </c>
      <c r="S338" s="302">
        <f t="shared" si="65"/>
        <v>0</v>
      </c>
    </row>
    <row r="339" spans="1:19">
      <c r="A339" s="136"/>
      <c r="B339" s="52"/>
      <c r="C339" s="21">
        <f t="shared" si="55"/>
        <v>1</v>
      </c>
      <c r="D339" s="628"/>
      <c r="E339" s="21">
        <f t="shared" si="56"/>
        <v>1</v>
      </c>
      <c r="F339" s="628"/>
      <c r="G339" s="21">
        <f t="shared" si="57"/>
        <v>1</v>
      </c>
      <c r="H339" s="628"/>
      <c r="I339" s="21">
        <f t="shared" si="58"/>
        <v>1</v>
      </c>
      <c r="J339" s="628"/>
      <c r="K339" s="21">
        <f t="shared" si="59"/>
        <v>1</v>
      </c>
      <c r="L339" s="628"/>
      <c r="M339" s="21">
        <f t="shared" si="60"/>
        <v>1</v>
      </c>
      <c r="N339" s="628"/>
      <c r="O339" s="21">
        <f t="shared" si="61"/>
        <v>1</v>
      </c>
      <c r="P339" s="628"/>
      <c r="Q339" s="21">
        <f t="shared" si="62"/>
        <v>1</v>
      </c>
      <c r="R339" s="21">
        <f t="shared" si="63"/>
        <v>0</v>
      </c>
      <c r="S339" s="302">
        <f t="shared" si="65"/>
        <v>0</v>
      </c>
    </row>
    <row r="340" spans="1:19">
      <c r="A340" s="136"/>
      <c r="B340" s="52"/>
      <c r="C340" s="21">
        <f t="shared" si="55"/>
        <v>1</v>
      </c>
      <c r="D340" s="628"/>
      <c r="E340" s="21">
        <f t="shared" si="56"/>
        <v>1</v>
      </c>
      <c r="F340" s="628"/>
      <c r="G340" s="21">
        <f t="shared" si="57"/>
        <v>1</v>
      </c>
      <c r="H340" s="628"/>
      <c r="I340" s="21">
        <f t="shared" si="58"/>
        <v>1</v>
      </c>
      <c r="J340" s="628"/>
      <c r="K340" s="21">
        <f t="shared" si="59"/>
        <v>1</v>
      </c>
      <c r="L340" s="628"/>
      <c r="M340" s="21">
        <f t="shared" si="60"/>
        <v>1</v>
      </c>
      <c r="N340" s="628"/>
      <c r="O340" s="21">
        <f t="shared" si="61"/>
        <v>1</v>
      </c>
      <c r="P340" s="628"/>
      <c r="Q340" s="21">
        <f t="shared" si="62"/>
        <v>1</v>
      </c>
      <c r="R340" s="21">
        <f t="shared" si="63"/>
        <v>0</v>
      </c>
      <c r="S340" s="302">
        <f t="shared" si="65"/>
        <v>0</v>
      </c>
    </row>
    <row r="341" spans="1:19">
      <c r="A341" s="136"/>
      <c r="B341" s="52"/>
      <c r="C341" s="21">
        <f t="shared" si="55"/>
        <v>1</v>
      </c>
      <c r="D341" s="628"/>
      <c r="E341" s="21">
        <f t="shared" si="56"/>
        <v>1</v>
      </c>
      <c r="F341" s="628"/>
      <c r="G341" s="21">
        <f t="shared" si="57"/>
        <v>1</v>
      </c>
      <c r="H341" s="628"/>
      <c r="I341" s="21">
        <f t="shared" si="58"/>
        <v>1</v>
      </c>
      <c r="J341" s="628"/>
      <c r="K341" s="21">
        <f t="shared" si="59"/>
        <v>1</v>
      </c>
      <c r="L341" s="628"/>
      <c r="M341" s="21">
        <f t="shared" si="60"/>
        <v>1</v>
      </c>
      <c r="N341" s="628"/>
      <c r="O341" s="21">
        <f t="shared" si="61"/>
        <v>1</v>
      </c>
      <c r="P341" s="628"/>
      <c r="Q341" s="21">
        <f t="shared" si="62"/>
        <v>1</v>
      </c>
      <c r="R341" s="21">
        <f t="shared" si="63"/>
        <v>0</v>
      </c>
      <c r="S341" s="302">
        <f t="shared" si="65"/>
        <v>0</v>
      </c>
    </row>
    <row r="342" spans="1:19">
      <c r="A342" s="136"/>
      <c r="B342" s="52"/>
      <c r="C342" s="21">
        <f t="shared" si="55"/>
        <v>1</v>
      </c>
      <c r="D342" s="628"/>
      <c r="E342" s="21">
        <f t="shared" si="56"/>
        <v>1</v>
      </c>
      <c r="F342" s="628"/>
      <c r="G342" s="21">
        <f t="shared" si="57"/>
        <v>1</v>
      </c>
      <c r="H342" s="628"/>
      <c r="I342" s="21">
        <f t="shared" si="58"/>
        <v>1</v>
      </c>
      <c r="J342" s="628"/>
      <c r="K342" s="21">
        <f t="shared" si="59"/>
        <v>1</v>
      </c>
      <c r="L342" s="628"/>
      <c r="M342" s="21">
        <f t="shared" si="60"/>
        <v>1</v>
      </c>
      <c r="N342" s="628"/>
      <c r="O342" s="21">
        <f t="shared" si="61"/>
        <v>1</v>
      </c>
      <c r="P342" s="628"/>
      <c r="Q342" s="21">
        <f t="shared" si="62"/>
        <v>1</v>
      </c>
      <c r="R342" s="21">
        <f t="shared" si="63"/>
        <v>0</v>
      </c>
      <c r="S342" s="302">
        <f t="shared" si="65"/>
        <v>0</v>
      </c>
    </row>
    <row r="343" spans="1:19">
      <c r="A343" s="136"/>
      <c r="B343" s="52"/>
      <c r="C343" s="21">
        <f t="shared" si="55"/>
        <v>1</v>
      </c>
      <c r="D343" s="628"/>
      <c r="E343" s="21">
        <f t="shared" si="56"/>
        <v>1</v>
      </c>
      <c r="F343" s="628"/>
      <c r="G343" s="21">
        <f t="shared" si="57"/>
        <v>1</v>
      </c>
      <c r="H343" s="628"/>
      <c r="I343" s="21">
        <f t="shared" si="58"/>
        <v>1</v>
      </c>
      <c r="J343" s="628"/>
      <c r="K343" s="21">
        <f t="shared" si="59"/>
        <v>1</v>
      </c>
      <c r="L343" s="628"/>
      <c r="M343" s="21">
        <f t="shared" si="60"/>
        <v>1</v>
      </c>
      <c r="N343" s="628"/>
      <c r="O343" s="21">
        <f t="shared" si="61"/>
        <v>1</v>
      </c>
      <c r="P343" s="628"/>
      <c r="Q343" s="21">
        <f t="shared" si="62"/>
        <v>1</v>
      </c>
      <c r="R343" s="21">
        <f t="shared" si="63"/>
        <v>0</v>
      </c>
      <c r="S343" s="302">
        <f t="shared" si="65"/>
        <v>0</v>
      </c>
    </row>
    <row r="344" spans="1:19">
      <c r="A344" s="136"/>
      <c r="B344" s="52"/>
      <c r="C344" s="21">
        <f t="shared" si="55"/>
        <v>1</v>
      </c>
      <c r="D344" s="628"/>
      <c r="E344" s="21">
        <f t="shared" si="56"/>
        <v>1</v>
      </c>
      <c r="F344" s="628"/>
      <c r="G344" s="21">
        <f t="shared" si="57"/>
        <v>1</v>
      </c>
      <c r="H344" s="628"/>
      <c r="I344" s="21">
        <f t="shared" si="58"/>
        <v>1</v>
      </c>
      <c r="J344" s="628"/>
      <c r="K344" s="21">
        <f t="shared" si="59"/>
        <v>1</v>
      </c>
      <c r="L344" s="628"/>
      <c r="M344" s="21">
        <f t="shared" si="60"/>
        <v>1</v>
      </c>
      <c r="N344" s="628"/>
      <c r="O344" s="21">
        <f t="shared" si="61"/>
        <v>1</v>
      </c>
      <c r="P344" s="628"/>
      <c r="Q344" s="21">
        <f t="shared" si="62"/>
        <v>1</v>
      </c>
      <c r="R344" s="21">
        <f t="shared" si="63"/>
        <v>0</v>
      </c>
      <c r="S344" s="302">
        <f t="shared" si="65"/>
        <v>0</v>
      </c>
    </row>
    <row r="345" spans="1:19">
      <c r="A345" s="136"/>
      <c r="B345" s="52"/>
      <c r="C345" s="21">
        <f t="shared" si="55"/>
        <v>1</v>
      </c>
      <c r="D345" s="628"/>
      <c r="E345" s="21">
        <f t="shared" si="56"/>
        <v>1</v>
      </c>
      <c r="F345" s="628"/>
      <c r="G345" s="21">
        <f t="shared" si="57"/>
        <v>1</v>
      </c>
      <c r="H345" s="628"/>
      <c r="I345" s="21">
        <f t="shared" si="58"/>
        <v>1</v>
      </c>
      <c r="J345" s="628"/>
      <c r="K345" s="21">
        <f t="shared" si="59"/>
        <v>1</v>
      </c>
      <c r="L345" s="628"/>
      <c r="M345" s="21">
        <f t="shared" si="60"/>
        <v>1</v>
      </c>
      <c r="N345" s="628"/>
      <c r="O345" s="21">
        <f t="shared" si="61"/>
        <v>1</v>
      </c>
      <c r="P345" s="628"/>
      <c r="Q345" s="21">
        <f t="shared" si="62"/>
        <v>1</v>
      </c>
      <c r="R345" s="21">
        <f t="shared" si="63"/>
        <v>0</v>
      </c>
      <c r="S345" s="302">
        <f t="shared" si="65"/>
        <v>0</v>
      </c>
    </row>
    <row r="346" spans="1:19">
      <c r="A346" s="136"/>
      <c r="B346" s="52"/>
      <c r="C346" s="21">
        <f t="shared" ref="C346:C409" si="66">IF(B346="",1,(LOOKUP(B346,$3:$3,$4:$4)-LOOKUP($B$24,$3:$3,$4:$4)+100)/100)</f>
        <v>1</v>
      </c>
      <c r="D346" s="628"/>
      <c r="E346" s="21">
        <f t="shared" ref="E346:E409" si="67">(SUMIF($5:$5,D346,$6:$6)-SUMIF($5:$5,$D$24,$6:$6)+100)/100</f>
        <v>1</v>
      </c>
      <c r="F346" s="628"/>
      <c r="G346" s="21">
        <f t="shared" ref="G346:G409" si="68">(SUMIF($7:$7,F346,$8:$8)-SUMIF($7:$7,$F$24,$8:$8)+100)/100</f>
        <v>1</v>
      </c>
      <c r="H346" s="628"/>
      <c r="I346" s="21">
        <f t="shared" ref="I346:I409" si="69">(SUMIF($9:$9,H346,$10:$10)-SUMIF($9:$9,$H$24,$10:$10)+100)/100</f>
        <v>1</v>
      </c>
      <c r="J346" s="628"/>
      <c r="K346" s="21">
        <f t="shared" ref="K346:K409" si="70">(SUMIF($11:$11,J346,$12:$12)-SUMIF($11:$11,$J$24,$12:$12)+100)/100</f>
        <v>1</v>
      </c>
      <c r="L346" s="628"/>
      <c r="M346" s="21">
        <f t="shared" ref="M346:M409" si="71">(SUMIF($13:$13,L346,$14:$14)-SUMIF($13:$13,$L$24,$14:$14)+100)/100</f>
        <v>1</v>
      </c>
      <c r="N346" s="628"/>
      <c r="O346" s="21">
        <f t="shared" ref="O346:O409" si="72">(SUMIF($15:$15,N346,$16:$16)-SUMIF($15:$15,$N$24,$16:$16)+100)/100</f>
        <v>1</v>
      </c>
      <c r="P346" s="628"/>
      <c r="Q346" s="21">
        <f t="shared" ref="Q346:Q409" si="73">(SUMIF($17:$17,P346,$18:$18)-SUMIF($17:$17,$P$24,$18:$18)+100)/100</f>
        <v>1</v>
      </c>
      <c r="R346" s="21">
        <f t="shared" ref="R346:R409" si="74">IF(B346="",0,ROUND($R$24*C346*E346*G346*I346*K346*M346*O346*Q346,0))</f>
        <v>0</v>
      </c>
      <c r="S346" s="302">
        <f t="shared" si="65"/>
        <v>0</v>
      </c>
    </row>
    <row r="347" spans="1:19">
      <c r="A347" s="136"/>
      <c r="B347" s="52"/>
      <c r="C347" s="21">
        <f t="shared" si="66"/>
        <v>1</v>
      </c>
      <c r="D347" s="628"/>
      <c r="E347" s="21">
        <f t="shared" si="67"/>
        <v>1</v>
      </c>
      <c r="F347" s="628"/>
      <c r="G347" s="21">
        <f t="shared" si="68"/>
        <v>1</v>
      </c>
      <c r="H347" s="628"/>
      <c r="I347" s="21">
        <f t="shared" si="69"/>
        <v>1</v>
      </c>
      <c r="J347" s="628"/>
      <c r="K347" s="21">
        <f t="shared" si="70"/>
        <v>1</v>
      </c>
      <c r="L347" s="628"/>
      <c r="M347" s="21">
        <f t="shared" si="71"/>
        <v>1</v>
      </c>
      <c r="N347" s="628"/>
      <c r="O347" s="21">
        <f t="shared" si="72"/>
        <v>1</v>
      </c>
      <c r="P347" s="628"/>
      <c r="Q347" s="21">
        <f t="shared" si="73"/>
        <v>1</v>
      </c>
      <c r="R347" s="21">
        <f t="shared" si="74"/>
        <v>0</v>
      </c>
      <c r="S347" s="302">
        <f t="shared" si="65"/>
        <v>0</v>
      </c>
    </row>
    <row r="348" spans="1:19">
      <c r="A348" s="136"/>
      <c r="B348" s="52"/>
      <c r="C348" s="21">
        <f t="shared" si="66"/>
        <v>1</v>
      </c>
      <c r="D348" s="628"/>
      <c r="E348" s="21">
        <f t="shared" si="67"/>
        <v>1</v>
      </c>
      <c r="F348" s="628"/>
      <c r="G348" s="21">
        <f t="shared" si="68"/>
        <v>1</v>
      </c>
      <c r="H348" s="628"/>
      <c r="I348" s="21">
        <f t="shared" si="69"/>
        <v>1</v>
      </c>
      <c r="J348" s="628"/>
      <c r="K348" s="21">
        <f t="shared" si="70"/>
        <v>1</v>
      </c>
      <c r="L348" s="628"/>
      <c r="M348" s="21">
        <f t="shared" si="71"/>
        <v>1</v>
      </c>
      <c r="N348" s="628"/>
      <c r="O348" s="21">
        <f t="shared" si="72"/>
        <v>1</v>
      </c>
      <c r="P348" s="628"/>
      <c r="Q348" s="21">
        <f t="shared" si="73"/>
        <v>1</v>
      </c>
      <c r="R348" s="21">
        <f t="shared" si="74"/>
        <v>0</v>
      </c>
      <c r="S348" s="302">
        <f t="shared" si="65"/>
        <v>0</v>
      </c>
    </row>
    <row r="349" spans="1:19">
      <c r="A349" s="136"/>
      <c r="B349" s="52"/>
      <c r="C349" s="21">
        <f t="shared" si="66"/>
        <v>1</v>
      </c>
      <c r="D349" s="628"/>
      <c r="E349" s="21">
        <f t="shared" si="67"/>
        <v>1</v>
      </c>
      <c r="F349" s="628"/>
      <c r="G349" s="21">
        <f t="shared" si="68"/>
        <v>1</v>
      </c>
      <c r="H349" s="628"/>
      <c r="I349" s="21">
        <f t="shared" si="69"/>
        <v>1</v>
      </c>
      <c r="J349" s="628"/>
      <c r="K349" s="21">
        <f t="shared" si="70"/>
        <v>1</v>
      </c>
      <c r="L349" s="628"/>
      <c r="M349" s="21">
        <f t="shared" si="71"/>
        <v>1</v>
      </c>
      <c r="N349" s="628"/>
      <c r="O349" s="21">
        <f t="shared" si="72"/>
        <v>1</v>
      </c>
      <c r="P349" s="628"/>
      <c r="Q349" s="21">
        <f t="shared" si="73"/>
        <v>1</v>
      </c>
      <c r="R349" s="21">
        <f t="shared" si="74"/>
        <v>0</v>
      </c>
      <c r="S349" s="302">
        <f t="shared" si="65"/>
        <v>0</v>
      </c>
    </row>
    <row r="350" spans="1:19">
      <c r="A350" s="136"/>
      <c r="B350" s="52"/>
      <c r="C350" s="21">
        <f t="shared" si="66"/>
        <v>1</v>
      </c>
      <c r="D350" s="628"/>
      <c r="E350" s="21">
        <f t="shared" si="67"/>
        <v>1</v>
      </c>
      <c r="F350" s="628"/>
      <c r="G350" s="21">
        <f t="shared" si="68"/>
        <v>1</v>
      </c>
      <c r="H350" s="628"/>
      <c r="I350" s="21">
        <f t="shared" si="69"/>
        <v>1</v>
      </c>
      <c r="J350" s="628"/>
      <c r="K350" s="21">
        <f t="shared" si="70"/>
        <v>1</v>
      </c>
      <c r="L350" s="628"/>
      <c r="M350" s="21">
        <f t="shared" si="71"/>
        <v>1</v>
      </c>
      <c r="N350" s="628"/>
      <c r="O350" s="21">
        <f t="shared" si="72"/>
        <v>1</v>
      </c>
      <c r="P350" s="628"/>
      <c r="Q350" s="21">
        <f t="shared" si="73"/>
        <v>1</v>
      </c>
      <c r="R350" s="21">
        <f t="shared" si="74"/>
        <v>0</v>
      </c>
      <c r="S350" s="302">
        <f t="shared" si="65"/>
        <v>0</v>
      </c>
    </row>
    <row r="351" spans="1:19">
      <c r="A351" s="136"/>
      <c r="B351" s="52"/>
      <c r="C351" s="21">
        <f t="shared" si="66"/>
        <v>1</v>
      </c>
      <c r="D351" s="628"/>
      <c r="E351" s="21">
        <f t="shared" si="67"/>
        <v>1</v>
      </c>
      <c r="F351" s="628"/>
      <c r="G351" s="21">
        <f t="shared" si="68"/>
        <v>1</v>
      </c>
      <c r="H351" s="628"/>
      <c r="I351" s="21">
        <f t="shared" si="69"/>
        <v>1</v>
      </c>
      <c r="J351" s="628"/>
      <c r="K351" s="21">
        <f t="shared" si="70"/>
        <v>1</v>
      </c>
      <c r="L351" s="628"/>
      <c r="M351" s="21">
        <f t="shared" si="71"/>
        <v>1</v>
      </c>
      <c r="N351" s="628"/>
      <c r="O351" s="21">
        <f t="shared" si="72"/>
        <v>1</v>
      </c>
      <c r="P351" s="628"/>
      <c r="Q351" s="21">
        <f t="shared" si="73"/>
        <v>1</v>
      </c>
      <c r="R351" s="21">
        <f t="shared" si="74"/>
        <v>0</v>
      </c>
      <c r="S351" s="302">
        <f t="shared" si="65"/>
        <v>0</v>
      </c>
    </row>
    <row r="352" spans="1:19">
      <c r="A352" s="136"/>
      <c r="B352" s="52"/>
      <c r="C352" s="21">
        <f t="shared" si="66"/>
        <v>1</v>
      </c>
      <c r="D352" s="628"/>
      <c r="E352" s="21">
        <f t="shared" si="67"/>
        <v>1</v>
      </c>
      <c r="F352" s="628"/>
      <c r="G352" s="21">
        <f t="shared" si="68"/>
        <v>1</v>
      </c>
      <c r="H352" s="628"/>
      <c r="I352" s="21">
        <f t="shared" si="69"/>
        <v>1</v>
      </c>
      <c r="J352" s="628"/>
      <c r="K352" s="21">
        <f t="shared" si="70"/>
        <v>1</v>
      </c>
      <c r="L352" s="628"/>
      <c r="M352" s="21">
        <f t="shared" si="71"/>
        <v>1</v>
      </c>
      <c r="N352" s="628"/>
      <c r="O352" s="21">
        <f t="shared" si="72"/>
        <v>1</v>
      </c>
      <c r="P352" s="628"/>
      <c r="Q352" s="21">
        <f t="shared" si="73"/>
        <v>1</v>
      </c>
      <c r="R352" s="21">
        <f t="shared" si="74"/>
        <v>0</v>
      </c>
      <c r="S352" s="302">
        <f t="shared" si="65"/>
        <v>0</v>
      </c>
    </row>
    <row r="353" spans="1:19">
      <c r="A353" s="136"/>
      <c r="B353" s="52"/>
      <c r="C353" s="21">
        <f t="shared" si="66"/>
        <v>1</v>
      </c>
      <c r="D353" s="628"/>
      <c r="E353" s="21">
        <f t="shared" si="67"/>
        <v>1</v>
      </c>
      <c r="F353" s="628"/>
      <c r="G353" s="21">
        <f t="shared" si="68"/>
        <v>1</v>
      </c>
      <c r="H353" s="628"/>
      <c r="I353" s="21">
        <f t="shared" si="69"/>
        <v>1</v>
      </c>
      <c r="J353" s="628"/>
      <c r="K353" s="21">
        <f t="shared" si="70"/>
        <v>1</v>
      </c>
      <c r="L353" s="628"/>
      <c r="M353" s="21">
        <f t="shared" si="71"/>
        <v>1</v>
      </c>
      <c r="N353" s="628"/>
      <c r="O353" s="21">
        <f t="shared" si="72"/>
        <v>1</v>
      </c>
      <c r="P353" s="628"/>
      <c r="Q353" s="21">
        <f t="shared" si="73"/>
        <v>1</v>
      </c>
      <c r="R353" s="21">
        <f t="shared" si="74"/>
        <v>0</v>
      </c>
      <c r="S353" s="302">
        <f t="shared" si="65"/>
        <v>0</v>
      </c>
    </row>
    <row r="354" spans="1:19">
      <c r="A354" s="136"/>
      <c r="B354" s="52"/>
      <c r="C354" s="21">
        <f t="shared" si="66"/>
        <v>1</v>
      </c>
      <c r="D354" s="628"/>
      <c r="E354" s="21">
        <f t="shared" si="67"/>
        <v>1</v>
      </c>
      <c r="F354" s="628"/>
      <c r="G354" s="21">
        <f t="shared" si="68"/>
        <v>1</v>
      </c>
      <c r="H354" s="628"/>
      <c r="I354" s="21">
        <f t="shared" si="69"/>
        <v>1</v>
      </c>
      <c r="J354" s="628"/>
      <c r="K354" s="21">
        <f t="shared" si="70"/>
        <v>1</v>
      </c>
      <c r="L354" s="628"/>
      <c r="M354" s="21">
        <f t="shared" si="71"/>
        <v>1</v>
      </c>
      <c r="N354" s="628"/>
      <c r="O354" s="21">
        <f t="shared" si="72"/>
        <v>1</v>
      </c>
      <c r="P354" s="628"/>
      <c r="Q354" s="21">
        <f t="shared" si="73"/>
        <v>1</v>
      </c>
      <c r="R354" s="21">
        <f t="shared" si="74"/>
        <v>0</v>
      </c>
      <c r="S354" s="302">
        <f t="shared" si="65"/>
        <v>0</v>
      </c>
    </row>
    <row r="355" spans="1:19">
      <c r="A355" s="136"/>
      <c r="B355" s="52"/>
      <c r="C355" s="21">
        <f t="shared" si="66"/>
        <v>1</v>
      </c>
      <c r="D355" s="628"/>
      <c r="E355" s="21">
        <f t="shared" si="67"/>
        <v>1</v>
      </c>
      <c r="F355" s="628"/>
      <c r="G355" s="21">
        <f t="shared" si="68"/>
        <v>1</v>
      </c>
      <c r="H355" s="628"/>
      <c r="I355" s="21">
        <f t="shared" si="69"/>
        <v>1</v>
      </c>
      <c r="J355" s="628"/>
      <c r="K355" s="21">
        <f t="shared" si="70"/>
        <v>1</v>
      </c>
      <c r="L355" s="628"/>
      <c r="M355" s="21">
        <f t="shared" si="71"/>
        <v>1</v>
      </c>
      <c r="N355" s="628"/>
      <c r="O355" s="21">
        <f t="shared" si="72"/>
        <v>1</v>
      </c>
      <c r="P355" s="628"/>
      <c r="Q355" s="21">
        <f t="shared" si="73"/>
        <v>1</v>
      </c>
      <c r="R355" s="21">
        <f t="shared" si="74"/>
        <v>0</v>
      </c>
      <c r="S355" s="302">
        <f t="shared" si="65"/>
        <v>0</v>
      </c>
    </row>
    <row r="356" spans="1:19">
      <c r="A356" s="136"/>
      <c r="B356" s="52"/>
      <c r="C356" s="21">
        <f t="shared" si="66"/>
        <v>1</v>
      </c>
      <c r="D356" s="628"/>
      <c r="E356" s="21">
        <f t="shared" si="67"/>
        <v>1</v>
      </c>
      <c r="F356" s="628"/>
      <c r="G356" s="21">
        <f t="shared" si="68"/>
        <v>1</v>
      </c>
      <c r="H356" s="628"/>
      <c r="I356" s="21">
        <f t="shared" si="69"/>
        <v>1</v>
      </c>
      <c r="J356" s="628"/>
      <c r="K356" s="21">
        <f t="shared" si="70"/>
        <v>1</v>
      </c>
      <c r="L356" s="628"/>
      <c r="M356" s="21">
        <f t="shared" si="71"/>
        <v>1</v>
      </c>
      <c r="N356" s="628"/>
      <c r="O356" s="21">
        <f t="shared" si="72"/>
        <v>1</v>
      </c>
      <c r="P356" s="628"/>
      <c r="Q356" s="21">
        <f t="shared" si="73"/>
        <v>1</v>
      </c>
      <c r="R356" s="21">
        <f t="shared" si="74"/>
        <v>0</v>
      </c>
      <c r="S356" s="302">
        <f t="shared" si="65"/>
        <v>0</v>
      </c>
    </row>
    <row r="357" spans="1:19">
      <c r="A357" s="136"/>
      <c r="B357" s="52"/>
      <c r="C357" s="21">
        <f t="shared" si="66"/>
        <v>1</v>
      </c>
      <c r="D357" s="628"/>
      <c r="E357" s="21">
        <f t="shared" si="67"/>
        <v>1</v>
      </c>
      <c r="F357" s="628"/>
      <c r="G357" s="21">
        <f t="shared" si="68"/>
        <v>1</v>
      </c>
      <c r="H357" s="628"/>
      <c r="I357" s="21">
        <f t="shared" si="69"/>
        <v>1</v>
      </c>
      <c r="J357" s="628"/>
      <c r="K357" s="21">
        <f t="shared" si="70"/>
        <v>1</v>
      </c>
      <c r="L357" s="628"/>
      <c r="M357" s="21">
        <f t="shared" si="71"/>
        <v>1</v>
      </c>
      <c r="N357" s="628"/>
      <c r="O357" s="21">
        <f t="shared" si="72"/>
        <v>1</v>
      </c>
      <c r="P357" s="628"/>
      <c r="Q357" s="21">
        <f t="shared" si="73"/>
        <v>1</v>
      </c>
      <c r="R357" s="21">
        <f t="shared" si="74"/>
        <v>0</v>
      </c>
      <c r="S357" s="302">
        <f t="shared" si="65"/>
        <v>0</v>
      </c>
    </row>
    <row r="358" spans="1:19">
      <c r="A358" s="136"/>
      <c r="B358" s="52"/>
      <c r="C358" s="21">
        <f t="shared" si="66"/>
        <v>1</v>
      </c>
      <c r="D358" s="628"/>
      <c r="E358" s="21">
        <f t="shared" si="67"/>
        <v>1</v>
      </c>
      <c r="F358" s="628"/>
      <c r="G358" s="21">
        <f t="shared" si="68"/>
        <v>1</v>
      </c>
      <c r="H358" s="628"/>
      <c r="I358" s="21">
        <f t="shared" si="69"/>
        <v>1</v>
      </c>
      <c r="J358" s="628"/>
      <c r="K358" s="21">
        <f t="shared" si="70"/>
        <v>1</v>
      </c>
      <c r="L358" s="628"/>
      <c r="M358" s="21">
        <f t="shared" si="71"/>
        <v>1</v>
      </c>
      <c r="N358" s="628"/>
      <c r="O358" s="21">
        <f t="shared" si="72"/>
        <v>1</v>
      </c>
      <c r="P358" s="628"/>
      <c r="Q358" s="21">
        <f t="shared" si="73"/>
        <v>1</v>
      </c>
      <c r="R358" s="21">
        <f t="shared" si="74"/>
        <v>0</v>
      </c>
      <c r="S358" s="302">
        <f t="shared" si="65"/>
        <v>0</v>
      </c>
    </row>
    <row r="359" spans="1:19">
      <c r="A359" s="136"/>
      <c r="B359" s="52"/>
      <c r="C359" s="21">
        <f t="shared" si="66"/>
        <v>1</v>
      </c>
      <c r="D359" s="628"/>
      <c r="E359" s="21">
        <f t="shared" si="67"/>
        <v>1</v>
      </c>
      <c r="F359" s="628"/>
      <c r="G359" s="21">
        <f t="shared" si="68"/>
        <v>1</v>
      </c>
      <c r="H359" s="628"/>
      <c r="I359" s="21">
        <f t="shared" si="69"/>
        <v>1</v>
      </c>
      <c r="J359" s="628"/>
      <c r="K359" s="21">
        <f t="shared" si="70"/>
        <v>1</v>
      </c>
      <c r="L359" s="628"/>
      <c r="M359" s="21">
        <f t="shared" si="71"/>
        <v>1</v>
      </c>
      <c r="N359" s="628"/>
      <c r="O359" s="21">
        <f t="shared" si="72"/>
        <v>1</v>
      </c>
      <c r="P359" s="628"/>
      <c r="Q359" s="21">
        <f t="shared" si="73"/>
        <v>1</v>
      </c>
      <c r="R359" s="21">
        <f t="shared" si="74"/>
        <v>0</v>
      </c>
      <c r="S359" s="302">
        <f t="shared" si="65"/>
        <v>0</v>
      </c>
    </row>
    <row r="360" spans="1:19">
      <c r="A360" s="136"/>
      <c r="B360" s="52"/>
      <c r="C360" s="21">
        <f t="shared" si="66"/>
        <v>1</v>
      </c>
      <c r="D360" s="628"/>
      <c r="E360" s="21">
        <f t="shared" si="67"/>
        <v>1</v>
      </c>
      <c r="F360" s="628"/>
      <c r="G360" s="21">
        <f t="shared" si="68"/>
        <v>1</v>
      </c>
      <c r="H360" s="628"/>
      <c r="I360" s="21">
        <f t="shared" si="69"/>
        <v>1</v>
      </c>
      <c r="J360" s="628"/>
      <c r="K360" s="21">
        <f t="shared" si="70"/>
        <v>1</v>
      </c>
      <c r="L360" s="628"/>
      <c r="M360" s="21">
        <f t="shared" si="71"/>
        <v>1</v>
      </c>
      <c r="N360" s="628"/>
      <c r="O360" s="21">
        <f t="shared" si="72"/>
        <v>1</v>
      </c>
      <c r="P360" s="628"/>
      <c r="Q360" s="21">
        <f t="shared" si="73"/>
        <v>1</v>
      </c>
      <c r="R360" s="21">
        <f t="shared" si="74"/>
        <v>0</v>
      </c>
      <c r="S360" s="302">
        <f t="shared" si="65"/>
        <v>0</v>
      </c>
    </row>
    <row r="361" spans="1:19">
      <c r="A361" s="136"/>
      <c r="B361" s="52"/>
      <c r="C361" s="21">
        <f t="shared" si="66"/>
        <v>1</v>
      </c>
      <c r="D361" s="628"/>
      <c r="E361" s="21">
        <f t="shared" si="67"/>
        <v>1</v>
      </c>
      <c r="F361" s="628"/>
      <c r="G361" s="21">
        <f t="shared" si="68"/>
        <v>1</v>
      </c>
      <c r="H361" s="628"/>
      <c r="I361" s="21">
        <f t="shared" si="69"/>
        <v>1</v>
      </c>
      <c r="J361" s="628"/>
      <c r="K361" s="21">
        <f t="shared" si="70"/>
        <v>1</v>
      </c>
      <c r="L361" s="628"/>
      <c r="M361" s="21">
        <f t="shared" si="71"/>
        <v>1</v>
      </c>
      <c r="N361" s="628"/>
      <c r="O361" s="21">
        <f t="shared" si="72"/>
        <v>1</v>
      </c>
      <c r="P361" s="628"/>
      <c r="Q361" s="21">
        <f t="shared" si="73"/>
        <v>1</v>
      </c>
      <c r="R361" s="21">
        <f t="shared" si="74"/>
        <v>0</v>
      </c>
      <c r="S361" s="302">
        <f t="shared" si="65"/>
        <v>0</v>
      </c>
    </row>
    <row r="362" spans="1:19">
      <c r="A362" s="136"/>
      <c r="B362" s="52"/>
      <c r="C362" s="21">
        <f t="shared" si="66"/>
        <v>1</v>
      </c>
      <c r="D362" s="628"/>
      <c r="E362" s="21">
        <f t="shared" si="67"/>
        <v>1</v>
      </c>
      <c r="F362" s="628"/>
      <c r="G362" s="21">
        <f t="shared" si="68"/>
        <v>1</v>
      </c>
      <c r="H362" s="628"/>
      <c r="I362" s="21">
        <f t="shared" si="69"/>
        <v>1</v>
      </c>
      <c r="J362" s="628"/>
      <c r="K362" s="21">
        <f t="shared" si="70"/>
        <v>1</v>
      </c>
      <c r="L362" s="628"/>
      <c r="M362" s="21">
        <f t="shared" si="71"/>
        <v>1</v>
      </c>
      <c r="N362" s="628"/>
      <c r="O362" s="21">
        <f t="shared" si="72"/>
        <v>1</v>
      </c>
      <c r="P362" s="628"/>
      <c r="Q362" s="21">
        <f t="shared" si="73"/>
        <v>1</v>
      </c>
      <c r="R362" s="21">
        <f t="shared" si="74"/>
        <v>0</v>
      </c>
      <c r="S362" s="302">
        <f t="shared" si="65"/>
        <v>0</v>
      </c>
    </row>
    <row r="363" spans="1:19">
      <c r="A363" s="136"/>
      <c r="B363" s="52"/>
      <c r="C363" s="21">
        <f t="shared" si="66"/>
        <v>1</v>
      </c>
      <c r="D363" s="628"/>
      <c r="E363" s="21">
        <f t="shared" si="67"/>
        <v>1</v>
      </c>
      <c r="F363" s="628"/>
      <c r="G363" s="21">
        <f t="shared" si="68"/>
        <v>1</v>
      </c>
      <c r="H363" s="628"/>
      <c r="I363" s="21">
        <f t="shared" si="69"/>
        <v>1</v>
      </c>
      <c r="J363" s="628"/>
      <c r="K363" s="21">
        <f t="shared" si="70"/>
        <v>1</v>
      </c>
      <c r="L363" s="628"/>
      <c r="M363" s="21">
        <f t="shared" si="71"/>
        <v>1</v>
      </c>
      <c r="N363" s="628"/>
      <c r="O363" s="21">
        <f t="shared" si="72"/>
        <v>1</v>
      </c>
      <c r="P363" s="628"/>
      <c r="Q363" s="21">
        <f t="shared" si="73"/>
        <v>1</v>
      </c>
      <c r="R363" s="21">
        <f t="shared" si="74"/>
        <v>0</v>
      </c>
      <c r="S363" s="302">
        <f t="shared" si="65"/>
        <v>0</v>
      </c>
    </row>
    <row r="364" spans="1:19">
      <c r="A364" s="136"/>
      <c r="B364" s="52"/>
      <c r="C364" s="21">
        <f t="shared" si="66"/>
        <v>1</v>
      </c>
      <c r="D364" s="628"/>
      <c r="E364" s="21">
        <f t="shared" si="67"/>
        <v>1</v>
      </c>
      <c r="F364" s="628"/>
      <c r="G364" s="21">
        <f t="shared" si="68"/>
        <v>1</v>
      </c>
      <c r="H364" s="628"/>
      <c r="I364" s="21">
        <f t="shared" si="69"/>
        <v>1</v>
      </c>
      <c r="J364" s="628"/>
      <c r="K364" s="21">
        <f t="shared" si="70"/>
        <v>1</v>
      </c>
      <c r="L364" s="628"/>
      <c r="M364" s="21">
        <f t="shared" si="71"/>
        <v>1</v>
      </c>
      <c r="N364" s="628"/>
      <c r="O364" s="21">
        <f t="shared" si="72"/>
        <v>1</v>
      </c>
      <c r="P364" s="628"/>
      <c r="Q364" s="21">
        <f t="shared" si="73"/>
        <v>1</v>
      </c>
      <c r="R364" s="21">
        <f t="shared" si="74"/>
        <v>0</v>
      </c>
      <c r="S364" s="302">
        <f t="shared" si="65"/>
        <v>0</v>
      </c>
    </row>
    <row r="365" spans="1:19">
      <c r="A365" s="136"/>
      <c r="B365" s="52"/>
      <c r="C365" s="21">
        <f t="shared" si="66"/>
        <v>1</v>
      </c>
      <c r="D365" s="628"/>
      <c r="E365" s="21">
        <f t="shared" si="67"/>
        <v>1</v>
      </c>
      <c r="F365" s="628"/>
      <c r="G365" s="21">
        <f t="shared" si="68"/>
        <v>1</v>
      </c>
      <c r="H365" s="628"/>
      <c r="I365" s="21">
        <f t="shared" si="69"/>
        <v>1</v>
      </c>
      <c r="J365" s="628"/>
      <c r="K365" s="21">
        <f t="shared" si="70"/>
        <v>1</v>
      </c>
      <c r="L365" s="628"/>
      <c r="M365" s="21">
        <f t="shared" si="71"/>
        <v>1</v>
      </c>
      <c r="N365" s="628"/>
      <c r="O365" s="21">
        <f t="shared" si="72"/>
        <v>1</v>
      </c>
      <c r="P365" s="628"/>
      <c r="Q365" s="21">
        <f t="shared" si="73"/>
        <v>1</v>
      </c>
      <c r="R365" s="21">
        <f t="shared" si="74"/>
        <v>0</v>
      </c>
      <c r="S365" s="302">
        <f t="shared" si="65"/>
        <v>0</v>
      </c>
    </row>
    <row r="366" spans="1:19">
      <c r="A366" s="136"/>
      <c r="B366" s="52"/>
      <c r="C366" s="21">
        <f t="shared" si="66"/>
        <v>1</v>
      </c>
      <c r="D366" s="628"/>
      <c r="E366" s="21">
        <f t="shared" si="67"/>
        <v>1</v>
      </c>
      <c r="F366" s="628"/>
      <c r="G366" s="21">
        <f t="shared" si="68"/>
        <v>1</v>
      </c>
      <c r="H366" s="628"/>
      <c r="I366" s="21">
        <f t="shared" si="69"/>
        <v>1</v>
      </c>
      <c r="J366" s="628"/>
      <c r="K366" s="21">
        <f t="shared" si="70"/>
        <v>1</v>
      </c>
      <c r="L366" s="628"/>
      <c r="M366" s="21">
        <f t="shared" si="71"/>
        <v>1</v>
      </c>
      <c r="N366" s="628"/>
      <c r="O366" s="21">
        <f t="shared" si="72"/>
        <v>1</v>
      </c>
      <c r="P366" s="628"/>
      <c r="Q366" s="21">
        <f t="shared" si="73"/>
        <v>1</v>
      </c>
      <c r="R366" s="21">
        <f t="shared" si="74"/>
        <v>0</v>
      </c>
      <c r="S366" s="302">
        <f t="shared" si="65"/>
        <v>0</v>
      </c>
    </row>
    <row r="367" spans="1:19">
      <c r="A367" s="136"/>
      <c r="B367" s="52"/>
      <c r="C367" s="21">
        <f t="shared" si="66"/>
        <v>1</v>
      </c>
      <c r="D367" s="628"/>
      <c r="E367" s="21">
        <f t="shared" si="67"/>
        <v>1</v>
      </c>
      <c r="F367" s="628"/>
      <c r="G367" s="21">
        <f t="shared" si="68"/>
        <v>1</v>
      </c>
      <c r="H367" s="628"/>
      <c r="I367" s="21">
        <f t="shared" si="69"/>
        <v>1</v>
      </c>
      <c r="J367" s="628"/>
      <c r="K367" s="21">
        <f t="shared" si="70"/>
        <v>1</v>
      </c>
      <c r="L367" s="628"/>
      <c r="M367" s="21">
        <f t="shared" si="71"/>
        <v>1</v>
      </c>
      <c r="N367" s="628"/>
      <c r="O367" s="21">
        <f t="shared" si="72"/>
        <v>1</v>
      </c>
      <c r="P367" s="628"/>
      <c r="Q367" s="21">
        <f t="shared" si="73"/>
        <v>1</v>
      </c>
      <c r="R367" s="21">
        <f t="shared" si="74"/>
        <v>0</v>
      </c>
      <c r="S367" s="302">
        <f t="shared" si="65"/>
        <v>0</v>
      </c>
    </row>
    <row r="368" spans="1:19">
      <c r="A368" s="136"/>
      <c r="B368" s="52"/>
      <c r="C368" s="21">
        <f t="shared" si="66"/>
        <v>1</v>
      </c>
      <c r="D368" s="628"/>
      <c r="E368" s="21">
        <f t="shared" si="67"/>
        <v>1</v>
      </c>
      <c r="F368" s="628"/>
      <c r="G368" s="21">
        <f t="shared" si="68"/>
        <v>1</v>
      </c>
      <c r="H368" s="628"/>
      <c r="I368" s="21">
        <f t="shared" si="69"/>
        <v>1</v>
      </c>
      <c r="J368" s="628"/>
      <c r="K368" s="21">
        <f t="shared" si="70"/>
        <v>1</v>
      </c>
      <c r="L368" s="628"/>
      <c r="M368" s="21">
        <f t="shared" si="71"/>
        <v>1</v>
      </c>
      <c r="N368" s="628"/>
      <c r="O368" s="21">
        <f t="shared" si="72"/>
        <v>1</v>
      </c>
      <c r="P368" s="628"/>
      <c r="Q368" s="21">
        <f t="shared" si="73"/>
        <v>1</v>
      </c>
      <c r="R368" s="21">
        <f t="shared" si="74"/>
        <v>0</v>
      </c>
      <c r="S368" s="302">
        <f t="shared" si="65"/>
        <v>0</v>
      </c>
    </row>
    <row r="369" spans="1:19">
      <c r="A369" s="136"/>
      <c r="B369" s="52"/>
      <c r="C369" s="21">
        <f t="shared" si="66"/>
        <v>1</v>
      </c>
      <c r="D369" s="628"/>
      <c r="E369" s="21">
        <f t="shared" si="67"/>
        <v>1</v>
      </c>
      <c r="F369" s="628"/>
      <c r="G369" s="21">
        <f t="shared" si="68"/>
        <v>1</v>
      </c>
      <c r="H369" s="628"/>
      <c r="I369" s="21">
        <f t="shared" si="69"/>
        <v>1</v>
      </c>
      <c r="J369" s="628"/>
      <c r="K369" s="21">
        <f t="shared" si="70"/>
        <v>1</v>
      </c>
      <c r="L369" s="628"/>
      <c r="M369" s="21">
        <f t="shared" si="71"/>
        <v>1</v>
      </c>
      <c r="N369" s="628"/>
      <c r="O369" s="21">
        <f t="shared" si="72"/>
        <v>1</v>
      </c>
      <c r="P369" s="628"/>
      <c r="Q369" s="21">
        <f t="shared" si="73"/>
        <v>1</v>
      </c>
      <c r="R369" s="21">
        <f t="shared" si="74"/>
        <v>0</v>
      </c>
      <c r="S369" s="302">
        <f t="shared" si="65"/>
        <v>0</v>
      </c>
    </row>
    <row r="370" spans="1:19">
      <c r="A370" s="136"/>
      <c r="B370" s="52"/>
      <c r="C370" s="21">
        <f t="shared" si="66"/>
        <v>1</v>
      </c>
      <c r="D370" s="628"/>
      <c r="E370" s="21">
        <f t="shared" si="67"/>
        <v>1</v>
      </c>
      <c r="F370" s="628"/>
      <c r="G370" s="21">
        <f t="shared" si="68"/>
        <v>1</v>
      </c>
      <c r="H370" s="628"/>
      <c r="I370" s="21">
        <f t="shared" si="69"/>
        <v>1</v>
      </c>
      <c r="J370" s="628"/>
      <c r="K370" s="21">
        <f t="shared" si="70"/>
        <v>1</v>
      </c>
      <c r="L370" s="628"/>
      <c r="M370" s="21">
        <f t="shared" si="71"/>
        <v>1</v>
      </c>
      <c r="N370" s="628"/>
      <c r="O370" s="21">
        <f t="shared" si="72"/>
        <v>1</v>
      </c>
      <c r="P370" s="628"/>
      <c r="Q370" s="21">
        <f t="shared" si="73"/>
        <v>1</v>
      </c>
      <c r="R370" s="21">
        <f t="shared" si="74"/>
        <v>0</v>
      </c>
      <c r="S370" s="302">
        <f t="shared" si="65"/>
        <v>0</v>
      </c>
    </row>
    <row r="371" spans="1:19">
      <c r="A371" s="136"/>
      <c r="B371" s="52"/>
      <c r="C371" s="21">
        <f t="shared" si="66"/>
        <v>1</v>
      </c>
      <c r="D371" s="628"/>
      <c r="E371" s="21">
        <f t="shared" si="67"/>
        <v>1</v>
      </c>
      <c r="F371" s="628"/>
      <c r="G371" s="21">
        <f t="shared" si="68"/>
        <v>1</v>
      </c>
      <c r="H371" s="628"/>
      <c r="I371" s="21">
        <f t="shared" si="69"/>
        <v>1</v>
      </c>
      <c r="J371" s="628"/>
      <c r="K371" s="21">
        <f t="shared" si="70"/>
        <v>1</v>
      </c>
      <c r="L371" s="628"/>
      <c r="M371" s="21">
        <f t="shared" si="71"/>
        <v>1</v>
      </c>
      <c r="N371" s="628"/>
      <c r="O371" s="21">
        <f t="shared" si="72"/>
        <v>1</v>
      </c>
      <c r="P371" s="628"/>
      <c r="Q371" s="21">
        <f t="shared" si="73"/>
        <v>1</v>
      </c>
      <c r="R371" s="21">
        <f t="shared" si="74"/>
        <v>0</v>
      </c>
      <c r="S371" s="302">
        <f t="shared" si="65"/>
        <v>0</v>
      </c>
    </row>
    <row r="372" spans="1:19">
      <c r="A372" s="136"/>
      <c r="B372" s="52"/>
      <c r="C372" s="21">
        <f t="shared" si="66"/>
        <v>1</v>
      </c>
      <c r="D372" s="628"/>
      <c r="E372" s="21">
        <f t="shared" si="67"/>
        <v>1</v>
      </c>
      <c r="F372" s="628"/>
      <c r="G372" s="21">
        <f t="shared" si="68"/>
        <v>1</v>
      </c>
      <c r="H372" s="628"/>
      <c r="I372" s="21">
        <f t="shared" si="69"/>
        <v>1</v>
      </c>
      <c r="J372" s="628"/>
      <c r="K372" s="21">
        <f t="shared" si="70"/>
        <v>1</v>
      </c>
      <c r="L372" s="628"/>
      <c r="M372" s="21">
        <f t="shared" si="71"/>
        <v>1</v>
      </c>
      <c r="N372" s="628"/>
      <c r="O372" s="21">
        <f t="shared" si="72"/>
        <v>1</v>
      </c>
      <c r="P372" s="628"/>
      <c r="Q372" s="21">
        <f t="shared" si="73"/>
        <v>1</v>
      </c>
      <c r="R372" s="21">
        <f t="shared" si="74"/>
        <v>0</v>
      </c>
      <c r="S372" s="302">
        <f t="shared" si="65"/>
        <v>0</v>
      </c>
    </row>
    <row r="373" spans="1:19">
      <c r="A373" s="136"/>
      <c r="B373" s="52"/>
      <c r="C373" s="21">
        <f t="shared" si="66"/>
        <v>1</v>
      </c>
      <c r="D373" s="628"/>
      <c r="E373" s="21">
        <f t="shared" si="67"/>
        <v>1</v>
      </c>
      <c r="F373" s="628"/>
      <c r="G373" s="21">
        <f t="shared" si="68"/>
        <v>1</v>
      </c>
      <c r="H373" s="628"/>
      <c r="I373" s="21">
        <f t="shared" si="69"/>
        <v>1</v>
      </c>
      <c r="J373" s="628"/>
      <c r="K373" s="21">
        <f t="shared" si="70"/>
        <v>1</v>
      </c>
      <c r="L373" s="628"/>
      <c r="M373" s="21">
        <f t="shared" si="71"/>
        <v>1</v>
      </c>
      <c r="N373" s="628"/>
      <c r="O373" s="21">
        <f t="shared" si="72"/>
        <v>1</v>
      </c>
      <c r="P373" s="628"/>
      <c r="Q373" s="21">
        <f t="shared" si="73"/>
        <v>1</v>
      </c>
      <c r="R373" s="21">
        <f t="shared" si="74"/>
        <v>0</v>
      </c>
      <c r="S373" s="302">
        <f t="shared" si="65"/>
        <v>0</v>
      </c>
    </row>
    <row r="374" spans="1:19">
      <c r="A374" s="136"/>
      <c r="B374" s="52"/>
      <c r="C374" s="21">
        <f t="shared" si="66"/>
        <v>1</v>
      </c>
      <c r="D374" s="628"/>
      <c r="E374" s="21">
        <f t="shared" si="67"/>
        <v>1</v>
      </c>
      <c r="F374" s="628"/>
      <c r="G374" s="21">
        <f t="shared" si="68"/>
        <v>1</v>
      </c>
      <c r="H374" s="628"/>
      <c r="I374" s="21">
        <f t="shared" si="69"/>
        <v>1</v>
      </c>
      <c r="J374" s="628"/>
      <c r="K374" s="21">
        <f t="shared" si="70"/>
        <v>1</v>
      </c>
      <c r="L374" s="628"/>
      <c r="M374" s="21">
        <f t="shared" si="71"/>
        <v>1</v>
      </c>
      <c r="N374" s="628"/>
      <c r="O374" s="21">
        <f t="shared" si="72"/>
        <v>1</v>
      </c>
      <c r="P374" s="628"/>
      <c r="Q374" s="21">
        <f t="shared" si="73"/>
        <v>1</v>
      </c>
      <c r="R374" s="21">
        <f t="shared" si="74"/>
        <v>0</v>
      </c>
      <c r="S374" s="302">
        <f t="shared" si="65"/>
        <v>0</v>
      </c>
    </row>
    <row r="375" spans="1:19">
      <c r="A375" s="136"/>
      <c r="B375" s="52"/>
      <c r="C375" s="21">
        <f t="shared" si="66"/>
        <v>1</v>
      </c>
      <c r="D375" s="628"/>
      <c r="E375" s="21">
        <f t="shared" si="67"/>
        <v>1</v>
      </c>
      <c r="F375" s="628"/>
      <c r="G375" s="21">
        <f t="shared" si="68"/>
        <v>1</v>
      </c>
      <c r="H375" s="628"/>
      <c r="I375" s="21">
        <f t="shared" si="69"/>
        <v>1</v>
      </c>
      <c r="J375" s="628"/>
      <c r="K375" s="21">
        <f t="shared" si="70"/>
        <v>1</v>
      </c>
      <c r="L375" s="628"/>
      <c r="M375" s="21">
        <f t="shared" si="71"/>
        <v>1</v>
      </c>
      <c r="N375" s="628"/>
      <c r="O375" s="21">
        <f t="shared" si="72"/>
        <v>1</v>
      </c>
      <c r="P375" s="628"/>
      <c r="Q375" s="21">
        <f t="shared" si="73"/>
        <v>1</v>
      </c>
      <c r="R375" s="21">
        <f t="shared" si="74"/>
        <v>0</v>
      </c>
      <c r="S375" s="302">
        <f t="shared" si="65"/>
        <v>0</v>
      </c>
    </row>
    <row r="376" spans="1:19">
      <c r="A376" s="136"/>
      <c r="B376" s="52"/>
      <c r="C376" s="21">
        <f t="shared" si="66"/>
        <v>1</v>
      </c>
      <c r="D376" s="628"/>
      <c r="E376" s="21">
        <f t="shared" si="67"/>
        <v>1</v>
      </c>
      <c r="F376" s="628"/>
      <c r="G376" s="21">
        <f t="shared" si="68"/>
        <v>1</v>
      </c>
      <c r="H376" s="628"/>
      <c r="I376" s="21">
        <f t="shared" si="69"/>
        <v>1</v>
      </c>
      <c r="J376" s="628"/>
      <c r="K376" s="21">
        <f t="shared" si="70"/>
        <v>1</v>
      </c>
      <c r="L376" s="628"/>
      <c r="M376" s="21">
        <f t="shared" si="71"/>
        <v>1</v>
      </c>
      <c r="N376" s="628"/>
      <c r="O376" s="21">
        <f t="shared" si="72"/>
        <v>1</v>
      </c>
      <c r="P376" s="628"/>
      <c r="Q376" s="21">
        <f t="shared" si="73"/>
        <v>1</v>
      </c>
      <c r="R376" s="21">
        <f t="shared" si="74"/>
        <v>0</v>
      </c>
      <c r="S376" s="302">
        <f t="shared" si="65"/>
        <v>0</v>
      </c>
    </row>
    <row r="377" spans="1:19">
      <c r="A377" s="136"/>
      <c r="B377" s="52"/>
      <c r="C377" s="21">
        <f t="shared" si="66"/>
        <v>1</v>
      </c>
      <c r="D377" s="628"/>
      <c r="E377" s="21">
        <f t="shared" si="67"/>
        <v>1</v>
      </c>
      <c r="F377" s="628"/>
      <c r="G377" s="21">
        <f t="shared" si="68"/>
        <v>1</v>
      </c>
      <c r="H377" s="628"/>
      <c r="I377" s="21">
        <f t="shared" si="69"/>
        <v>1</v>
      </c>
      <c r="J377" s="628"/>
      <c r="K377" s="21">
        <f t="shared" si="70"/>
        <v>1</v>
      </c>
      <c r="L377" s="628"/>
      <c r="M377" s="21">
        <f t="shared" si="71"/>
        <v>1</v>
      </c>
      <c r="N377" s="628"/>
      <c r="O377" s="21">
        <f t="shared" si="72"/>
        <v>1</v>
      </c>
      <c r="P377" s="628"/>
      <c r="Q377" s="21">
        <f t="shared" si="73"/>
        <v>1</v>
      </c>
      <c r="R377" s="21">
        <f t="shared" si="74"/>
        <v>0</v>
      </c>
      <c r="S377" s="302">
        <f t="shared" si="65"/>
        <v>0</v>
      </c>
    </row>
    <row r="378" spans="1:19">
      <c r="A378" s="136"/>
      <c r="B378" s="52"/>
      <c r="C378" s="21">
        <f t="shared" si="66"/>
        <v>1</v>
      </c>
      <c r="D378" s="628"/>
      <c r="E378" s="21">
        <f t="shared" si="67"/>
        <v>1</v>
      </c>
      <c r="F378" s="628"/>
      <c r="G378" s="21">
        <f t="shared" si="68"/>
        <v>1</v>
      </c>
      <c r="H378" s="628"/>
      <c r="I378" s="21">
        <f t="shared" si="69"/>
        <v>1</v>
      </c>
      <c r="J378" s="628"/>
      <c r="K378" s="21">
        <f t="shared" si="70"/>
        <v>1</v>
      </c>
      <c r="L378" s="628"/>
      <c r="M378" s="21">
        <f t="shared" si="71"/>
        <v>1</v>
      </c>
      <c r="N378" s="628"/>
      <c r="O378" s="21">
        <f t="shared" si="72"/>
        <v>1</v>
      </c>
      <c r="P378" s="628"/>
      <c r="Q378" s="21">
        <f t="shared" si="73"/>
        <v>1</v>
      </c>
      <c r="R378" s="21">
        <f t="shared" si="74"/>
        <v>0</v>
      </c>
      <c r="S378" s="302">
        <f t="shared" si="65"/>
        <v>0</v>
      </c>
    </row>
    <row r="379" spans="1:19">
      <c r="A379" s="136"/>
      <c r="B379" s="52"/>
      <c r="C379" s="21">
        <f t="shared" si="66"/>
        <v>1</v>
      </c>
      <c r="D379" s="628"/>
      <c r="E379" s="21">
        <f t="shared" si="67"/>
        <v>1</v>
      </c>
      <c r="F379" s="628"/>
      <c r="G379" s="21">
        <f t="shared" si="68"/>
        <v>1</v>
      </c>
      <c r="H379" s="628"/>
      <c r="I379" s="21">
        <f t="shared" si="69"/>
        <v>1</v>
      </c>
      <c r="J379" s="628"/>
      <c r="K379" s="21">
        <f t="shared" si="70"/>
        <v>1</v>
      </c>
      <c r="L379" s="628"/>
      <c r="M379" s="21">
        <f t="shared" si="71"/>
        <v>1</v>
      </c>
      <c r="N379" s="628"/>
      <c r="O379" s="21">
        <f t="shared" si="72"/>
        <v>1</v>
      </c>
      <c r="P379" s="628"/>
      <c r="Q379" s="21">
        <f t="shared" si="73"/>
        <v>1</v>
      </c>
      <c r="R379" s="21">
        <f t="shared" si="74"/>
        <v>0</v>
      </c>
      <c r="S379" s="302">
        <f t="shared" si="65"/>
        <v>0</v>
      </c>
    </row>
    <row r="380" spans="1:19">
      <c r="A380" s="136"/>
      <c r="B380" s="52"/>
      <c r="C380" s="21">
        <f t="shared" si="66"/>
        <v>1</v>
      </c>
      <c r="D380" s="628"/>
      <c r="E380" s="21">
        <f t="shared" si="67"/>
        <v>1</v>
      </c>
      <c r="F380" s="628"/>
      <c r="G380" s="21">
        <f t="shared" si="68"/>
        <v>1</v>
      </c>
      <c r="H380" s="628"/>
      <c r="I380" s="21">
        <f t="shared" si="69"/>
        <v>1</v>
      </c>
      <c r="J380" s="628"/>
      <c r="K380" s="21">
        <f t="shared" si="70"/>
        <v>1</v>
      </c>
      <c r="L380" s="628"/>
      <c r="M380" s="21">
        <f t="shared" si="71"/>
        <v>1</v>
      </c>
      <c r="N380" s="628"/>
      <c r="O380" s="21">
        <f t="shared" si="72"/>
        <v>1</v>
      </c>
      <c r="P380" s="628"/>
      <c r="Q380" s="21">
        <f t="shared" si="73"/>
        <v>1</v>
      </c>
      <c r="R380" s="21">
        <f t="shared" si="74"/>
        <v>0</v>
      </c>
      <c r="S380" s="302">
        <f t="shared" si="65"/>
        <v>0</v>
      </c>
    </row>
    <row r="381" spans="1:19">
      <c r="A381" s="136"/>
      <c r="B381" s="52"/>
      <c r="C381" s="21">
        <f t="shared" si="66"/>
        <v>1</v>
      </c>
      <c r="D381" s="628"/>
      <c r="E381" s="21">
        <f t="shared" si="67"/>
        <v>1</v>
      </c>
      <c r="F381" s="628"/>
      <c r="G381" s="21">
        <f t="shared" si="68"/>
        <v>1</v>
      </c>
      <c r="H381" s="628"/>
      <c r="I381" s="21">
        <f t="shared" si="69"/>
        <v>1</v>
      </c>
      <c r="J381" s="628"/>
      <c r="K381" s="21">
        <f t="shared" si="70"/>
        <v>1</v>
      </c>
      <c r="L381" s="628"/>
      <c r="M381" s="21">
        <f t="shared" si="71"/>
        <v>1</v>
      </c>
      <c r="N381" s="628"/>
      <c r="O381" s="21">
        <f t="shared" si="72"/>
        <v>1</v>
      </c>
      <c r="P381" s="628"/>
      <c r="Q381" s="21">
        <f t="shared" si="73"/>
        <v>1</v>
      </c>
      <c r="R381" s="21">
        <f t="shared" si="74"/>
        <v>0</v>
      </c>
      <c r="S381" s="302">
        <f t="shared" si="65"/>
        <v>0</v>
      </c>
    </row>
    <row r="382" spans="1:19">
      <c r="A382" s="136"/>
      <c r="B382" s="52"/>
      <c r="C382" s="21">
        <f t="shared" si="66"/>
        <v>1</v>
      </c>
      <c r="D382" s="628"/>
      <c r="E382" s="21">
        <f t="shared" si="67"/>
        <v>1</v>
      </c>
      <c r="F382" s="628"/>
      <c r="G382" s="21">
        <f t="shared" si="68"/>
        <v>1</v>
      </c>
      <c r="H382" s="628"/>
      <c r="I382" s="21">
        <f t="shared" si="69"/>
        <v>1</v>
      </c>
      <c r="J382" s="628"/>
      <c r="K382" s="21">
        <f t="shared" si="70"/>
        <v>1</v>
      </c>
      <c r="L382" s="628"/>
      <c r="M382" s="21">
        <f t="shared" si="71"/>
        <v>1</v>
      </c>
      <c r="N382" s="628"/>
      <c r="O382" s="21">
        <f t="shared" si="72"/>
        <v>1</v>
      </c>
      <c r="P382" s="628"/>
      <c r="Q382" s="21">
        <f t="shared" si="73"/>
        <v>1</v>
      </c>
      <c r="R382" s="21">
        <f t="shared" si="74"/>
        <v>0</v>
      </c>
      <c r="S382" s="302">
        <f t="shared" si="65"/>
        <v>0</v>
      </c>
    </row>
    <row r="383" spans="1:19">
      <c r="A383" s="136"/>
      <c r="B383" s="52"/>
      <c r="C383" s="21">
        <f t="shared" si="66"/>
        <v>1</v>
      </c>
      <c r="D383" s="628"/>
      <c r="E383" s="21">
        <f t="shared" si="67"/>
        <v>1</v>
      </c>
      <c r="F383" s="628"/>
      <c r="G383" s="21">
        <f t="shared" si="68"/>
        <v>1</v>
      </c>
      <c r="H383" s="628"/>
      <c r="I383" s="21">
        <f t="shared" si="69"/>
        <v>1</v>
      </c>
      <c r="J383" s="628"/>
      <c r="K383" s="21">
        <f t="shared" si="70"/>
        <v>1</v>
      </c>
      <c r="L383" s="628"/>
      <c r="M383" s="21">
        <f t="shared" si="71"/>
        <v>1</v>
      </c>
      <c r="N383" s="628"/>
      <c r="O383" s="21">
        <f t="shared" si="72"/>
        <v>1</v>
      </c>
      <c r="P383" s="628"/>
      <c r="Q383" s="21">
        <f t="shared" si="73"/>
        <v>1</v>
      </c>
      <c r="R383" s="21">
        <f t="shared" si="74"/>
        <v>0</v>
      </c>
      <c r="S383" s="302">
        <f t="shared" si="65"/>
        <v>0</v>
      </c>
    </row>
    <row r="384" spans="1:19">
      <c r="A384" s="136"/>
      <c r="B384" s="52"/>
      <c r="C384" s="21">
        <f t="shared" si="66"/>
        <v>1</v>
      </c>
      <c r="D384" s="628"/>
      <c r="E384" s="21">
        <f t="shared" si="67"/>
        <v>1</v>
      </c>
      <c r="F384" s="628"/>
      <c r="G384" s="21">
        <f t="shared" si="68"/>
        <v>1</v>
      </c>
      <c r="H384" s="628"/>
      <c r="I384" s="21">
        <f t="shared" si="69"/>
        <v>1</v>
      </c>
      <c r="J384" s="628"/>
      <c r="K384" s="21">
        <f t="shared" si="70"/>
        <v>1</v>
      </c>
      <c r="L384" s="628"/>
      <c r="M384" s="21">
        <f t="shared" si="71"/>
        <v>1</v>
      </c>
      <c r="N384" s="628"/>
      <c r="O384" s="21">
        <f t="shared" si="72"/>
        <v>1</v>
      </c>
      <c r="P384" s="628"/>
      <c r="Q384" s="21">
        <f t="shared" si="73"/>
        <v>1</v>
      </c>
      <c r="R384" s="21">
        <f t="shared" si="74"/>
        <v>0</v>
      </c>
      <c r="S384" s="302">
        <f t="shared" si="65"/>
        <v>0</v>
      </c>
    </row>
    <row r="385" spans="1:19">
      <c r="A385" s="136"/>
      <c r="B385" s="52"/>
      <c r="C385" s="21">
        <f t="shared" si="66"/>
        <v>1</v>
      </c>
      <c r="D385" s="628"/>
      <c r="E385" s="21">
        <f t="shared" si="67"/>
        <v>1</v>
      </c>
      <c r="F385" s="628"/>
      <c r="G385" s="21">
        <f t="shared" si="68"/>
        <v>1</v>
      </c>
      <c r="H385" s="628"/>
      <c r="I385" s="21">
        <f t="shared" si="69"/>
        <v>1</v>
      </c>
      <c r="J385" s="628"/>
      <c r="K385" s="21">
        <f t="shared" si="70"/>
        <v>1</v>
      </c>
      <c r="L385" s="628"/>
      <c r="M385" s="21">
        <f t="shared" si="71"/>
        <v>1</v>
      </c>
      <c r="N385" s="628"/>
      <c r="O385" s="21">
        <f t="shared" si="72"/>
        <v>1</v>
      </c>
      <c r="P385" s="628"/>
      <c r="Q385" s="21">
        <f t="shared" si="73"/>
        <v>1</v>
      </c>
      <c r="R385" s="21">
        <f t="shared" si="74"/>
        <v>0</v>
      </c>
      <c r="S385" s="302">
        <f t="shared" ref="S385:S422" si="75">ROUND(R385*B385/10000,0)</f>
        <v>0</v>
      </c>
    </row>
    <row r="386" spans="1:19">
      <c r="A386" s="136"/>
      <c r="B386" s="52"/>
      <c r="C386" s="21">
        <f t="shared" si="66"/>
        <v>1</v>
      </c>
      <c r="D386" s="628"/>
      <c r="E386" s="21">
        <f t="shared" si="67"/>
        <v>1</v>
      </c>
      <c r="F386" s="628"/>
      <c r="G386" s="21">
        <f t="shared" si="68"/>
        <v>1</v>
      </c>
      <c r="H386" s="628"/>
      <c r="I386" s="21">
        <f t="shared" si="69"/>
        <v>1</v>
      </c>
      <c r="J386" s="628"/>
      <c r="K386" s="21">
        <f t="shared" si="70"/>
        <v>1</v>
      </c>
      <c r="L386" s="628"/>
      <c r="M386" s="21">
        <f t="shared" si="71"/>
        <v>1</v>
      </c>
      <c r="N386" s="628"/>
      <c r="O386" s="21">
        <f t="shared" si="72"/>
        <v>1</v>
      </c>
      <c r="P386" s="628"/>
      <c r="Q386" s="21">
        <f t="shared" si="73"/>
        <v>1</v>
      </c>
      <c r="R386" s="21">
        <f t="shared" si="74"/>
        <v>0</v>
      </c>
      <c r="S386" s="302">
        <f t="shared" si="75"/>
        <v>0</v>
      </c>
    </row>
    <row r="387" spans="1:19">
      <c r="A387" s="136"/>
      <c r="B387" s="52"/>
      <c r="C387" s="21">
        <f t="shared" si="66"/>
        <v>1</v>
      </c>
      <c r="D387" s="628"/>
      <c r="E387" s="21">
        <f t="shared" si="67"/>
        <v>1</v>
      </c>
      <c r="F387" s="628"/>
      <c r="G387" s="21">
        <f t="shared" si="68"/>
        <v>1</v>
      </c>
      <c r="H387" s="628"/>
      <c r="I387" s="21">
        <f t="shared" si="69"/>
        <v>1</v>
      </c>
      <c r="J387" s="628"/>
      <c r="K387" s="21">
        <f t="shared" si="70"/>
        <v>1</v>
      </c>
      <c r="L387" s="628"/>
      <c r="M387" s="21">
        <f t="shared" si="71"/>
        <v>1</v>
      </c>
      <c r="N387" s="628"/>
      <c r="O387" s="21">
        <f t="shared" si="72"/>
        <v>1</v>
      </c>
      <c r="P387" s="628"/>
      <c r="Q387" s="21">
        <f t="shared" si="73"/>
        <v>1</v>
      </c>
      <c r="R387" s="21">
        <f t="shared" si="74"/>
        <v>0</v>
      </c>
      <c r="S387" s="302">
        <f t="shared" si="75"/>
        <v>0</v>
      </c>
    </row>
    <row r="388" spans="1:19">
      <c r="A388" s="136"/>
      <c r="B388" s="52"/>
      <c r="C388" s="21">
        <f t="shared" si="66"/>
        <v>1</v>
      </c>
      <c r="D388" s="628"/>
      <c r="E388" s="21">
        <f t="shared" si="67"/>
        <v>1</v>
      </c>
      <c r="F388" s="628"/>
      <c r="G388" s="21">
        <f t="shared" si="68"/>
        <v>1</v>
      </c>
      <c r="H388" s="628"/>
      <c r="I388" s="21">
        <f t="shared" si="69"/>
        <v>1</v>
      </c>
      <c r="J388" s="628"/>
      <c r="K388" s="21">
        <f t="shared" si="70"/>
        <v>1</v>
      </c>
      <c r="L388" s="628"/>
      <c r="M388" s="21">
        <f t="shared" si="71"/>
        <v>1</v>
      </c>
      <c r="N388" s="628"/>
      <c r="O388" s="21">
        <f t="shared" si="72"/>
        <v>1</v>
      </c>
      <c r="P388" s="628"/>
      <c r="Q388" s="21">
        <f t="shared" si="73"/>
        <v>1</v>
      </c>
      <c r="R388" s="21">
        <f t="shared" si="74"/>
        <v>0</v>
      </c>
      <c r="S388" s="302">
        <f t="shared" si="75"/>
        <v>0</v>
      </c>
    </row>
    <row r="389" spans="1:19">
      <c r="A389" s="136"/>
      <c r="B389" s="52"/>
      <c r="C389" s="21">
        <f t="shared" si="66"/>
        <v>1</v>
      </c>
      <c r="D389" s="628"/>
      <c r="E389" s="21">
        <f t="shared" si="67"/>
        <v>1</v>
      </c>
      <c r="F389" s="628"/>
      <c r="G389" s="21">
        <f t="shared" si="68"/>
        <v>1</v>
      </c>
      <c r="H389" s="628"/>
      <c r="I389" s="21">
        <f t="shared" si="69"/>
        <v>1</v>
      </c>
      <c r="J389" s="628"/>
      <c r="K389" s="21">
        <f t="shared" si="70"/>
        <v>1</v>
      </c>
      <c r="L389" s="628"/>
      <c r="M389" s="21">
        <f t="shared" si="71"/>
        <v>1</v>
      </c>
      <c r="N389" s="628"/>
      <c r="O389" s="21">
        <f t="shared" si="72"/>
        <v>1</v>
      </c>
      <c r="P389" s="628"/>
      <c r="Q389" s="21">
        <f t="shared" si="73"/>
        <v>1</v>
      </c>
      <c r="R389" s="21">
        <f t="shared" si="74"/>
        <v>0</v>
      </c>
      <c r="S389" s="302">
        <f t="shared" si="75"/>
        <v>0</v>
      </c>
    </row>
    <row r="390" spans="1:19">
      <c r="A390" s="136"/>
      <c r="B390" s="52"/>
      <c r="C390" s="21">
        <f t="shared" si="66"/>
        <v>1</v>
      </c>
      <c r="D390" s="628"/>
      <c r="E390" s="21">
        <f t="shared" si="67"/>
        <v>1</v>
      </c>
      <c r="F390" s="628"/>
      <c r="G390" s="21">
        <f t="shared" si="68"/>
        <v>1</v>
      </c>
      <c r="H390" s="628"/>
      <c r="I390" s="21">
        <f t="shared" si="69"/>
        <v>1</v>
      </c>
      <c r="J390" s="628"/>
      <c r="K390" s="21">
        <f t="shared" si="70"/>
        <v>1</v>
      </c>
      <c r="L390" s="628"/>
      <c r="M390" s="21">
        <f t="shared" si="71"/>
        <v>1</v>
      </c>
      <c r="N390" s="628"/>
      <c r="O390" s="21">
        <f t="shared" si="72"/>
        <v>1</v>
      </c>
      <c r="P390" s="628"/>
      <c r="Q390" s="21">
        <f t="shared" si="73"/>
        <v>1</v>
      </c>
      <c r="R390" s="21">
        <f t="shared" si="74"/>
        <v>0</v>
      </c>
      <c r="S390" s="302">
        <f t="shared" si="75"/>
        <v>0</v>
      </c>
    </row>
    <row r="391" spans="1:19">
      <c r="A391" s="136"/>
      <c r="B391" s="52"/>
      <c r="C391" s="21">
        <f t="shared" si="66"/>
        <v>1</v>
      </c>
      <c r="D391" s="628"/>
      <c r="E391" s="21">
        <f t="shared" si="67"/>
        <v>1</v>
      </c>
      <c r="F391" s="628"/>
      <c r="G391" s="21">
        <f t="shared" si="68"/>
        <v>1</v>
      </c>
      <c r="H391" s="628"/>
      <c r="I391" s="21">
        <f t="shared" si="69"/>
        <v>1</v>
      </c>
      <c r="J391" s="628"/>
      <c r="K391" s="21">
        <f t="shared" si="70"/>
        <v>1</v>
      </c>
      <c r="L391" s="628"/>
      <c r="M391" s="21">
        <f t="shared" si="71"/>
        <v>1</v>
      </c>
      <c r="N391" s="628"/>
      <c r="O391" s="21">
        <f t="shared" si="72"/>
        <v>1</v>
      </c>
      <c r="P391" s="628"/>
      <c r="Q391" s="21">
        <f t="shared" si="73"/>
        <v>1</v>
      </c>
      <c r="R391" s="21">
        <f t="shared" si="74"/>
        <v>0</v>
      </c>
      <c r="S391" s="302">
        <f t="shared" si="75"/>
        <v>0</v>
      </c>
    </row>
    <row r="392" spans="1:19">
      <c r="A392" s="136"/>
      <c r="B392" s="52"/>
      <c r="C392" s="21">
        <f t="shared" si="66"/>
        <v>1</v>
      </c>
      <c r="D392" s="628"/>
      <c r="E392" s="21">
        <f t="shared" si="67"/>
        <v>1</v>
      </c>
      <c r="F392" s="628"/>
      <c r="G392" s="21">
        <f t="shared" si="68"/>
        <v>1</v>
      </c>
      <c r="H392" s="628"/>
      <c r="I392" s="21">
        <f t="shared" si="69"/>
        <v>1</v>
      </c>
      <c r="J392" s="628"/>
      <c r="K392" s="21">
        <f t="shared" si="70"/>
        <v>1</v>
      </c>
      <c r="L392" s="628"/>
      <c r="M392" s="21">
        <f t="shared" si="71"/>
        <v>1</v>
      </c>
      <c r="N392" s="628"/>
      <c r="O392" s="21">
        <f t="shared" si="72"/>
        <v>1</v>
      </c>
      <c r="P392" s="628"/>
      <c r="Q392" s="21">
        <f t="shared" si="73"/>
        <v>1</v>
      </c>
      <c r="R392" s="21">
        <f t="shared" si="74"/>
        <v>0</v>
      </c>
      <c r="S392" s="302">
        <f t="shared" si="75"/>
        <v>0</v>
      </c>
    </row>
    <row r="393" spans="1:19">
      <c r="A393" s="136"/>
      <c r="B393" s="52"/>
      <c r="C393" s="21">
        <f t="shared" si="66"/>
        <v>1</v>
      </c>
      <c r="D393" s="628"/>
      <c r="E393" s="21">
        <f t="shared" si="67"/>
        <v>1</v>
      </c>
      <c r="F393" s="628"/>
      <c r="G393" s="21">
        <f t="shared" si="68"/>
        <v>1</v>
      </c>
      <c r="H393" s="628"/>
      <c r="I393" s="21">
        <f t="shared" si="69"/>
        <v>1</v>
      </c>
      <c r="J393" s="628"/>
      <c r="K393" s="21">
        <f t="shared" si="70"/>
        <v>1</v>
      </c>
      <c r="L393" s="628"/>
      <c r="M393" s="21">
        <f t="shared" si="71"/>
        <v>1</v>
      </c>
      <c r="N393" s="628"/>
      <c r="O393" s="21">
        <f t="shared" si="72"/>
        <v>1</v>
      </c>
      <c r="P393" s="628"/>
      <c r="Q393" s="21">
        <f t="shared" si="73"/>
        <v>1</v>
      </c>
      <c r="R393" s="21">
        <f t="shared" si="74"/>
        <v>0</v>
      </c>
      <c r="S393" s="302">
        <f t="shared" si="75"/>
        <v>0</v>
      </c>
    </row>
    <row r="394" spans="1:19">
      <c r="A394" s="136"/>
      <c r="B394" s="52"/>
      <c r="C394" s="21">
        <f t="shared" si="66"/>
        <v>1</v>
      </c>
      <c r="D394" s="628"/>
      <c r="E394" s="21">
        <f t="shared" si="67"/>
        <v>1</v>
      </c>
      <c r="F394" s="628"/>
      <c r="G394" s="21">
        <f t="shared" si="68"/>
        <v>1</v>
      </c>
      <c r="H394" s="628"/>
      <c r="I394" s="21">
        <f t="shared" si="69"/>
        <v>1</v>
      </c>
      <c r="J394" s="628"/>
      <c r="K394" s="21">
        <f t="shared" si="70"/>
        <v>1</v>
      </c>
      <c r="L394" s="628"/>
      <c r="M394" s="21">
        <f t="shared" si="71"/>
        <v>1</v>
      </c>
      <c r="N394" s="628"/>
      <c r="O394" s="21">
        <f t="shared" si="72"/>
        <v>1</v>
      </c>
      <c r="P394" s="628"/>
      <c r="Q394" s="21">
        <f t="shared" si="73"/>
        <v>1</v>
      </c>
      <c r="R394" s="21">
        <f t="shared" si="74"/>
        <v>0</v>
      </c>
      <c r="S394" s="302">
        <f t="shared" si="75"/>
        <v>0</v>
      </c>
    </row>
    <row r="395" spans="1:19">
      <c r="A395" s="136"/>
      <c r="B395" s="52"/>
      <c r="C395" s="21">
        <f t="shared" si="66"/>
        <v>1</v>
      </c>
      <c r="D395" s="628"/>
      <c r="E395" s="21">
        <f t="shared" si="67"/>
        <v>1</v>
      </c>
      <c r="F395" s="628"/>
      <c r="G395" s="21">
        <f t="shared" si="68"/>
        <v>1</v>
      </c>
      <c r="H395" s="628"/>
      <c r="I395" s="21">
        <f t="shared" si="69"/>
        <v>1</v>
      </c>
      <c r="J395" s="628"/>
      <c r="K395" s="21">
        <f t="shared" si="70"/>
        <v>1</v>
      </c>
      <c r="L395" s="628"/>
      <c r="M395" s="21">
        <f t="shared" si="71"/>
        <v>1</v>
      </c>
      <c r="N395" s="628"/>
      <c r="O395" s="21">
        <f t="shared" si="72"/>
        <v>1</v>
      </c>
      <c r="P395" s="628"/>
      <c r="Q395" s="21">
        <f t="shared" si="73"/>
        <v>1</v>
      </c>
      <c r="R395" s="21">
        <f t="shared" si="74"/>
        <v>0</v>
      </c>
      <c r="S395" s="302">
        <f t="shared" si="75"/>
        <v>0</v>
      </c>
    </row>
    <row r="396" spans="1:19">
      <c r="A396" s="136"/>
      <c r="B396" s="52"/>
      <c r="C396" s="21">
        <f t="shared" si="66"/>
        <v>1</v>
      </c>
      <c r="D396" s="628"/>
      <c r="E396" s="21">
        <f t="shared" si="67"/>
        <v>1</v>
      </c>
      <c r="F396" s="628"/>
      <c r="G396" s="21">
        <f t="shared" si="68"/>
        <v>1</v>
      </c>
      <c r="H396" s="628"/>
      <c r="I396" s="21">
        <f t="shared" si="69"/>
        <v>1</v>
      </c>
      <c r="J396" s="628"/>
      <c r="K396" s="21">
        <f t="shared" si="70"/>
        <v>1</v>
      </c>
      <c r="L396" s="628"/>
      <c r="M396" s="21">
        <f t="shared" si="71"/>
        <v>1</v>
      </c>
      <c r="N396" s="628"/>
      <c r="O396" s="21">
        <f t="shared" si="72"/>
        <v>1</v>
      </c>
      <c r="P396" s="628"/>
      <c r="Q396" s="21">
        <f t="shared" si="73"/>
        <v>1</v>
      </c>
      <c r="R396" s="21">
        <f t="shared" si="74"/>
        <v>0</v>
      </c>
      <c r="S396" s="302">
        <f t="shared" si="75"/>
        <v>0</v>
      </c>
    </row>
    <row r="397" spans="1:19">
      <c r="A397" s="136"/>
      <c r="B397" s="52"/>
      <c r="C397" s="21">
        <f t="shared" si="66"/>
        <v>1</v>
      </c>
      <c r="D397" s="628"/>
      <c r="E397" s="21">
        <f t="shared" si="67"/>
        <v>1</v>
      </c>
      <c r="F397" s="628"/>
      <c r="G397" s="21">
        <f t="shared" si="68"/>
        <v>1</v>
      </c>
      <c r="H397" s="628"/>
      <c r="I397" s="21">
        <f t="shared" si="69"/>
        <v>1</v>
      </c>
      <c r="J397" s="628"/>
      <c r="K397" s="21">
        <f t="shared" si="70"/>
        <v>1</v>
      </c>
      <c r="L397" s="628"/>
      <c r="M397" s="21">
        <f t="shared" si="71"/>
        <v>1</v>
      </c>
      <c r="N397" s="628"/>
      <c r="O397" s="21">
        <f t="shared" si="72"/>
        <v>1</v>
      </c>
      <c r="P397" s="628"/>
      <c r="Q397" s="21">
        <f t="shared" si="73"/>
        <v>1</v>
      </c>
      <c r="R397" s="21">
        <f t="shared" si="74"/>
        <v>0</v>
      </c>
      <c r="S397" s="302">
        <f t="shared" si="75"/>
        <v>0</v>
      </c>
    </row>
    <row r="398" spans="1:19">
      <c r="A398" s="136"/>
      <c r="B398" s="52"/>
      <c r="C398" s="21">
        <f t="shared" si="66"/>
        <v>1</v>
      </c>
      <c r="D398" s="628"/>
      <c r="E398" s="21">
        <f t="shared" si="67"/>
        <v>1</v>
      </c>
      <c r="F398" s="628"/>
      <c r="G398" s="21">
        <f t="shared" si="68"/>
        <v>1</v>
      </c>
      <c r="H398" s="628"/>
      <c r="I398" s="21">
        <f t="shared" si="69"/>
        <v>1</v>
      </c>
      <c r="J398" s="628"/>
      <c r="K398" s="21">
        <f t="shared" si="70"/>
        <v>1</v>
      </c>
      <c r="L398" s="628"/>
      <c r="M398" s="21">
        <f t="shared" si="71"/>
        <v>1</v>
      </c>
      <c r="N398" s="628"/>
      <c r="O398" s="21">
        <f t="shared" si="72"/>
        <v>1</v>
      </c>
      <c r="P398" s="628"/>
      <c r="Q398" s="21">
        <f t="shared" si="73"/>
        <v>1</v>
      </c>
      <c r="R398" s="21">
        <f t="shared" si="74"/>
        <v>0</v>
      </c>
      <c r="S398" s="302">
        <f t="shared" si="75"/>
        <v>0</v>
      </c>
    </row>
    <row r="399" spans="1:19">
      <c r="A399" s="136"/>
      <c r="B399" s="52"/>
      <c r="C399" s="21">
        <f t="shared" si="66"/>
        <v>1</v>
      </c>
      <c r="D399" s="628"/>
      <c r="E399" s="21">
        <f t="shared" si="67"/>
        <v>1</v>
      </c>
      <c r="F399" s="628"/>
      <c r="G399" s="21">
        <f t="shared" si="68"/>
        <v>1</v>
      </c>
      <c r="H399" s="628"/>
      <c r="I399" s="21">
        <f t="shared" si="69"/>
        <v>1</v>
      </c>
      <c r="J399" s="628"/>
      <c r="K399" s="21">
        <f t="shared" si="70"/>
        <v>1</v>
      </c>
      <c r="L399" s="628"/>
      <c r="M399" s="21">
        <f t="shared" si="71"/>
        <v>1</v>
      </c>
      <c r="N399" s="628"/>
      <c r="O399" s="21">
        <f t="shared" si="72"/>
        <v>1</v>
      </c>
      <c r="P399" s="628"/>
      <c r="Q399" s="21">
        <f t="shared" si="73"/>
        <v>1</v>
      </c>
      <c r="R399" s="21">
        <f t="shared" si="74"/>
        <v>0</v>
      </c>
      <c r="S399" s="302">
        <f t="shared" si="75"/>
        <v>0</v>
      </c>
    </row>
    <row r="400" spans="1:19">
      <c r="A400" s="136"/>
      <c r="B400" s="52"/>
      <c r="C400" s="21">
        <f t="shared" si="66"/>
        <v>1</v>
      </c>
      <c r="D400" s="628"/>
      <c r="E400" s="21">
        <f t="shared" si="67"/>
        <v>1</v>
      </c>
      <c r="F400" s="628"/>
      <c r="G400" s="21">
        <f t="shared" si="68"/>
        <v>1</v>
      </c>
      <c r="H400" s="628"/>
      <c r="I400" s="21">
        <f t="shared" si="69"/>
        <v>1</v>
      </c>
      <c r="J400" s="628"/>
      <c r="K400" s="21">
        <f t="shared" si="70"/>
        <v>1</v>
      </c>
      <c r="L400" s="628"/>
      <c r="M400" s="21">
        <f t="shared" si="71"/>
        <v>1</v>
      </c>
      <c r="N400" s="628"/>
      <c r="O400" s="21">
        <f t="shared" si="72"/>
        <v>1</v>
      </c>
      <c r="P400" s="628"/>
      <c r="Q400" s="21">
        <f t="shared" si="73"/>
        <v>1</v>
      </c>
      <c r="R400" s="21">
        <f t="shared" si="74"/>
        <v>0</v>
      </c>
      <c r="S400" s="302">
        <f t="shared" si="75"/>
        <v>0</v>
      </c>
    </row>
    <row r="401" spans="1:19">
      <c r="A401" s="136"/>
      <c r="B401" s="52"/>
      <c r="C401" s="21">
        <f t="shared" si="66"/>
        <v>1</v>
      </c>
      <c r="D401" s="628"/>
      <c r="E401" s="21">
        <f t="shared" si="67"/>
        <v>1</v>
      </c>
      <c r="F401" s="628"/>
      <c r="G401" s="21">
        <f t="shared" si="68"/>
        <v>1</v>
      </c>
      <c r="H401" s="628"/>
      <c r="I401" s="21">
        <f t="shared" si="69"/>
        <v>1</v>
      </c>
      <c r="J401" s="628"/>
      <c r="K401" s="21">
        <f t="shared" si="70"/>
        <v>1</v>
      </c>
      <c r="L401" s="628"/>
      <c r="M401" s="21">
        <f t="shared" si="71"/>
        <v>1</v>
      </c>
      <c r="N401" s="628"/>
      <c r="O401" s="21">
        <f t="shared" si="72"/>
        <v>1</v>
      </c>
      <c r="P401" s="628"/>
      <c r="Q401" s="21">
        <f t="shared" si="73"/>
        <v>1</v>
      </c>
      <c r="R401" s="21">
        <f t="shared" si="74"/>
        <v>0</v>
      </c>
      <c r="S401" s="302">
        <f t="shared" si="75"/>
        <v>0</v>
      </c>
    </row>
    <row r="402" spans="1:19">
      <c r="A402" s="136"/>
      <c r="B402" s="52"/>
      <c r="C402" s="21">
        <f t="shared" si="66"/>
        <v>1</v>
      </c>
      <c r="D402" s="628"/>
      <c r="E402" s="21">
        <f t="shared" si="67"/>
        <v>1</v>
      </c>
      <c r="F402" s="628"/>
      <c r="G402" s="21">
        <f t="shared" si="68"/>
        <v>1</v>
      </c>
      <c r="H402" s="628"/>
      <c r="I402" s="21">
        <f t="shared" si="69"/>
        <v>1</v>
      </c>
      <c r="J402" s="628"/>
      <c r="K402" s="21">
        <f t="shared" si="70"/>
        <v>1</v>
      </c>
      <c r="L402" s="628"/>
      <c r="M402" s="21">
        <f t="shared" si="71"/>
        <v>1</v>
      </c>
      <c r="N402" s="628"/>
      <c r="O402" s="21">
        <f t="shared" si="72"/>
        <v>1</v>
      </c>
      <c r="P402" s="628"/>
      <c r="Q402" s="21">
        <f t="shared" si="73"/>
        <v>1</v>
      </c>
      <c r="R402" s="21">
        <f t="shared" si="74"/>
        <v>0</v>
      </c>
      <c r="S402" s="302">
        <f t="shared" si="75"/>
        <v>0</v>
      </c>
    </row>
    <row r="403" spans="1:19">
      <c r="A403" s="136"/>
      <c r="B403" s="52"/>
      <c r="C403" s="21">
        <f t="shared" si="66"/>
        <v>1</v>
      </c>
      <c r="D403" s="628"/>
      <c r="E403" s="21">
        <f t="shared" si="67"/>
        <v>1</v>
      </c>
      <c r="F403" s="628"/>
      <c r="G403" s="21">
        <f t="shared" si="68"/>
        <v>1</v>
      </c>
      <c r="H403" s="628"/>
      <c r="I403" s="21">
        <f t="shared" si="69"/>
        <v>1</v>
      </c>
      <c r="J403" s="628"/>
      <c r="K403" s="21">
        <f t="shared" si="70"/>
        <v>1</v>
      </c>
      <c r="L403" s="628"/>
      <c r="M403" s="21">
        <f t="shared" si="71"/>
        <v>1</v>
      </c>
      <c r="N403" s="628"/>
      <c r="O403" s="21">
        <f t="shared" si="72"/>
        <v>1</v>
      </c>
      <c r="P403" s="628"/>
      <c r="Q403" s="21">
        <f t="shared" si="73"/>
        <v>1</v>
      </c>
      <c r="R403" s="21">
        <f t="shared" si="74"/>
        <v>0</v>
      </c>
      <c r="S403" s="302">
        <f t="shared" si="75"/>
        <v>0</v>
      </c>
    </row>
    <row r="404" spans="1:19">
      <c r="A404" s="136"/>
      <c r="B404" s="52"/>
      <c r="C404" s="21">
        <f t="shared" si="66"/>
        <v>1</v>
      </c>
      <c r="D404" s="628"/>
      <c r="E404" s="21">
        <f t="shared" si="67"/>
        <v>1</v>
      </c>
      <c r="F404" s="628"/>
      <c r="G404" s="21">
        <f t="shared" si="68"/>
        <v>1</v>
      </c>
      <c r="H404" s="628"/>
      <c r="I404" s="21">
        <f t="shared" si="69"/>
        <v>1</v>
      </c>
      <c r="J404" s="628"/>
      <c r="K404" s="21">
        <f t="shared" si="70"/>
        <v>1</v>
      </c>
      <c r="L404" s="628"/>
      <c r="M404" s="21">
        <f t="shared" si="71"/>
        <v>1</v>
      </c>
      <c r="N404" s="628"/>
      <c r="O404" s="21">
        <f t="shared" si="72"/>
        <v>1</v>
      </c>
      <c r="P404" s="628"/>
      <c r="Q404" s="21">
        <f t="shared" si="73"/>
        <v>1</v>
      </c>
      <c r="R404" s="21">
        <f t="shared" si="74"/>
        <v>0</v>
      </c>
      <c r="S404" s="302">
        <f t="shared" si="75"/>
        <v>0</v>
      </c>
    </row>
    <row r="405" spans="1:19">
      <c r="A405" s="136"/>
      <c r="B405" s="52"/>
      <c r="C405" s="21">
        <f t="shared" si="66"/>
        <v>1</v>
      </c>
      <c r="D405" s="628"/>
      <c r="E405" s="21">
        <f t="shared" si="67"/>
        <v>1</v>
      </c>
      <c r="F405" s="628"/>
      <c r="G405" s="21">
        <f t="shared" si="68"/>
        <v>1</v>
      </c>
      <c r="H405" s="628"/>
      <c r="I405" s="21">
        <f t="shared" si="69"/>
        <v>1</v>
      </c>
      <c r="J405" s="628"/>
      <c r="K405" s="21">
        <f t="shared" si="70"/>
        <v>1</v>
      </c>
      <c r="L405" s="628"/>
      <c r="M405" s="21">
        <f t="shared" si="71"/>
        <v>1</v>
      </c>
      <c r="N405" s="628"/>
      <c r="O405" s="21">
        <f t="shared" si="72"/>
        <v>1</v>
      </c>
      <c r="P405" s="628"/>
      <c r="Q405" s="21">
        <f t="shared" si="73"/>
        <v>1</v>
      </c>
      <c r="R405" s="21">
        <f t="shared" si="74"/>
        <v>0</v>
      </c>
      <c r="S405" s="302">
        <f t="shared" si="75"/>
        <v>0</v>
      </c>
    </row>
    <row r="406" spans="1:19">
      <c r="A406" s="136"/>
      <c r="B406" s="52"/>
      <c r="C406" s="21">
        <f t="shared" si="66"/>
        <v>1</v>
      </c>
      <c r="D406" s="628"/>
      <c r="E406" s="21">
        <f t="shared" si="67"/>
        <v>1</v>
      </c>
      <c r="F406" s="628"/>
      <c r="G406" s="21">
        <f t="shared" si="68"/>
        <v>1</v>
      </c>
      <c r="H406" s="628"/>
      <c r="I406" s="21">
        <f t="shared" si="69"/>
        <v>1</v>
      </c>
      <c r="J406" s="628"/>
      <c r="K406" s="21">
        <f t="shared" si="70"/>
        <v>1</v>
      </c>
      <c r="L406" s="628"/>
      <c r="M406" s="21">
        <f t="shared" si="71"/>
        <v>1</v>
      </c>
      <c r="N406" s="628"/>
      <c r="O406" s="21">
        <f t="shared" si="72"/>
        <v>1</v>
      </c>
      <c r="P406" s="628"/>
      <c r="Q406" s="21">
        <f t="shared" si="73"/>
        <v>1</v>
      </c>
      <c r="R406" s="21">
        <f t="shared" si="74"/>
        <v>0</v>
      </c>
      <c r="S406" s="302">
        <f t="shared" si="75"/>
        <v>0</v>
      </c>
    </row>
    <row r="407" spans="1:19">
      <c r="A407" s="136"/>
      <c r="B407" s="52"/>
      <c r="C407" s="21">
        <f t="shared" si="66"/>
        <v>1</v>
      </c>
      <c r="D407" s="628"/>
      <c r="E407" s="21">
        <f t="shared" si="67"/>
        <v>1</v>
      </c>
      <c r="F407" s="628"/>
      <c r="G407" s="21">
        <f t="shared" si="68"/>
        <v>1</v>
      </c>
      <c r="H407" s="628"/>
      <c r="I407" s="21">
        <f t="shared" si="69"/>
        <v>1</v>
      </c>
      <c r="J407" s="628"/>
      <c r="K407" s="21">
        <f t="shared" si="70"/>
        <v>1</v>
      </c>
      <c r="L407" s="628"/>
      <c r="M407" s="21">
        <f t="shared" si="71"/>
        <v>1</v>
      </c>
      <c r="N407" s="628"/>
      <c r="O407" s="21">
        <f t="shared" si="72"/>
        <v>1</v>
      </c>
      <c r="P407" s="628"/>
      <c r="Q407" s="21">
        <f t="shared" si="73"/>
        <v>1</v>
      </c>
      <c r="R407" s="21">
        <f t="shared" si="74"/>
        <v>0</v>
      </c>
      <c r="S407" s="302">
        <f t="shared" si="75"/>
        <v>0</v>
      </c>
    </row>
    <row r="408" spans="1:19">
      <c r="A408" s="136"/>
      <c r="B408" s="52"/>
      <c r="C408" s="21">
        <f t="shared" si="66"/>
        <v>1</v>
      </c>
      <c r="D408" s="628"/>
      <c r="E408" s="21">
        <f t="shared" si="67"/>
        <v>1</v>
      </c>
      <c r="F408" s="628"/>
      <c r="G408" s="21">
        <f t="shared" si="68"/>
        <v>1</v>
      </c>
      <c r="H408" s="628"/>
      <c r="I408" s="21">
        <f t="shared" si="69"/>
        <v>1</v>
      </c>
      <c r="J408" s="628"/>
      <c r="K408" s="21">
        <f t="shared" si="70"/>
        <v>1</v>
      </c>
      <c r="L408" s="628"/>
      <c r="M408" s="21">
        <f t="shared" si="71"/>
        <v>1</v>
      </c>
      <c r="N408" s="628"/>
      <c r="O408" s="21">
        <f t="shared" si="72"/>
        <v>1</v>
      </c>
      <c r="P408" s="628"/>
      <c r="Q408" s="21">
        <f t="shared" si="73"/>
        <v>1</v>
      </c>
      <c r="R408" s="21">
        <f t="shared" si="74"/>
        <v>0</v>
      </c>
      <c r="S408" s="302">
        <f t="shared" si="75"/>
        <v>0</v>
      </c>
    </row>
    <row r="409" spans="1:19">
      <c r="A409" s="136"/>
      <c r="B409" s="52"/>
      <c r="C409" s="21">
        <f t="shared" si="66"/>
        <v>1</v>
      </c>
      <c r="D409" s="628"/>
      <c r="E409" s="21">
        <f t="shared" si="67"/>
        <v>1</v>
      </c>
      <c r="F409" s="628"/>
      <c r="G409" s="21">
        <f t="shared" si="68"/>
        <v>1</v>
      </c>
      <c r="H409" s="628"/>
      <c r="I409" s="21">
        <f t="shared" si="69"/>
        <v>1</v>
      </c>
      <c r="J409" s="628"/>
      <c r="K409" s="21">
        <f t="shared" si="70"/>
        <v>1</v>
      </c>
      <c r="L409" s="628"/>
      <c r="M409" s="21">
        <f t="shared" si="71"/>
        <v>1</v>
      </c>
      <c r="N409" s="628"/>
      <c r="O409" s="21">
        <f t="shared" si="72"/>
        <v>1</v>
      </c>
      <c r="P409" s="628"/>
      <c r="Q409" s="21">
        <f t="shared" si="73"/>
        <v>1</v>
      </c>
      <c r="R409" s="21">
        <f t="shared" si="74"/>
        <v>0</v>
      </c>
      <c r="S409" s="302">
        <f t="shared" si="75"/>
        <v>0</v>
      </c>
    </row>
    <row r="410" spans="1:19">
      <c r="A410" s="136"/>
      <c r="B410" s="52"/>
      <c r="C410" s="21">
        <f t="shared" ref="C410:C473" si="76">IF(B410="",1,(LOOKUP(B410,$3:$3,$4:$4)-LOOKUP($B$24,$3:$3,$4:$4)+100)/100)</f>
        <v>1</v>
      </c>
      <c r="D410" s="628"/>
      <c r="E410" s="21">
        <f t="shared" ref="E410:E473" si="77">(SUMIF($5:$5,D410,$6:$6)-SUMIF($5:$5,$D$24,$6:$6)+100)/100</f>
        <v>1</v>
      </c>
      <c r="F410" s="628"/>
      <c r="G410" s="21">
        <f t="shared" ref="G410:G473" si="78">(SUMIF($7:$7,F410,$8:$8)-SUMIF($7:$7,$F$24,$8:$8)+100)/100</f>
        <v>1</v>
      </c>
      <c r="H410" s="628"/>
      <c r="I410" s="21">
        <f t="shared" ref="I410:I473" si="79">(SUMIF($9:$9,H410,$10:$10)-SUMIF($9:$9,$H$24,$10:$10)+100)/100</f>
        <v>1</v>
      </c>
      <c r="J410" s="628"/>
      <c r="K410" s="21">
        <f t="shared" ref="K410:K473" si="80">(SUMIF($11:$11,J410,$12:$12)-SUMIF($11:$11,$J$24,$12:$12)+100)/100</f>
        <v>1</v>
      </c>
      <c r="L410" s="628"/>
      <c r="M410" s="21">
        <f t="shared" ref="M410:M473" si="81">(SUMIF($13:$13,L410,$14:$14)-SUMIF($13:$13,$L$24,$14:$14)+100)/100</f>
        <v>1</v>
      </c>
      <c r="N410" s="628"/>
      <c r="O410" s="21">
        <f t="shared" ref="O410:O473" si="82">(SUMIF($15:$15,N410,$16:$16)-SUMIF($15:$15,$N$24,$16:$16)+100)/100</f>
        <v>1</v>
      </c>
      <c r="P410" s="628"/>
      <c r="Q410" s="21">
        <f t="shared" ref="Q410:Q473" si="83">(SUMIF($17:$17,P410,$18:$18)-SUMIF($17:$17,$P$24,$18:$18)+100)/100</f>
        <v>1</v>
      </c>
      <c r="R410" s="21">
        <f t="shared" ref="R410:R473" si="84">IF(B410="",0,ROUND($R$24*C410*E410*G410*I410*K410*M410*O410*Q410,0))</f>
        <v>0</v>
      </c>
      <c r="S410" s="302">
        <f t="shared" si="75"/>
        <v>0</v>
      </c>
    </row>
    <row r="411" spans="1:19">
      <c r="A411" s="136"/>
      <c r="B411" s="52"/>
      <c r="C411" s="21">
        <f t="shared" si="76"/>
        <v>1</v>
      </c>
      <c r="D411" s="628"/>
      <c r="E411" s="21">
        <f t="shared" si="77"/>
        <v>1</v>
      </c>
      <c r="F411" s="628"/>
      <c r="G411" s="21">
        <f t="shared" si="78"/>
        <v>1</v>
      </c>
      <c r="H411" s="628"/>
      <c r="I411" s="21">
        <f t="shared" si="79"/>
        <v>1</v>
      </c>
      <c r="J411" s="628"/>
      <c r="K411" s="21">
        <f t="shared" si="80"/>
        <v>1</v>
      </c>
      <c r="L411" s="628"/>
      <c r="M411" s="21">
        <f t="shared" si="81"/>
        <v>1</v>
      </c>
      <c r="N411" s="628"/>
      <c r="O411" s="21">
        <f t="shared" si="82"/>
        <v>1</v>
      </c>
      <c r="P411" s="628"/>
      <c r="Q411" s="21">
        <f t="shared" si="83"/>
        <v>1</v>
      </c>
      <c r="R411" s="21">
        <f t="shared" si="84"/>
        <v>0</v>
      </c>
      <c r="S411" s="302">
        <f t="shared" si="75"/>
        <v>0</v>
      </c>
    </row>
    <row r="412" spans="1:19">
      <c r="A412" s="136"/>
      <c r="B412" s="52"/>
      <c r="C412" s="21">
        <f t="shared" si="76"/>
        <v>1</v>
      </c>
      <c r="D412" s="628"/>
      <c r="E412" s="21">
        <f t="shared" si="77"/>
        <v>1</v>
      </c>
      <c r="F412" s="628"/>
      <c r="G412" s="21">
        <f t="shared" si="78"/>
        <v>1</v>
      </c>
      <c r="H412" s="628"/>
      <c r="I412" s="21">
        <f t="shared" si="79"/>
        <v>1</v>
      </c>
      <c r="J412" s="628"/>
      <c r="K412" s="21">
        <f t="shared" si="80"/>
        <v>1</v>
      </c>
      <c r="L412" s="628"/>
      <c r="M412" s="21">
        <f t="shared" si="81"/>
        <v>1</v>
      </c>
      <c r="N412" s="628"/>
      <c r="O412" s="21">
        <f t="shared" si="82"/>
        <v>1</v>
      </c>
      <c r="P412" s="628"/>
      <c r="Q412" s="21">
        <f t="shared" si="83"/>
        <v>1</v>
      </c>
      <c r="R412" s="21">
        <f t="shared" si="84"/>
        <v>0</v>
      </c>
      <c r="S412" s="302">
        <f t="shared" si="75"/>
        <v>0</v>
      </c>
    </row>
    <row r="413" spans="1:19">
      <c r="A413" s="136"/>
      <c r="B413" s="52"/>
      <c r="C413" s="21">
        <f t="shared" si="76"/>
        <v>1</v>
      </c>
      <c r="D413" s="628"/>
      <c r="E413" s="21">
        <f t="shared" si="77"/>
        <v>1</v>
      </c>
      <c r="F413" s="628"/>
      <c r="G413" s="21">
        <f t="shared" si="78"/>
        <v>1</v>
      </c>
      <c r="H413" s="628"/>
      <c r="I413" s="21">
        <f t="shared" si="79"/>
        <v>1</v>
      </c>
      <c r="J413" s="628"/>
      <c r="K413" s="21">
        <f t="shared" si="80"/>
        <v>1</v>
      </c>
      <c r="L413" s="628"/>
      <c r="M413" s="21">
        <f t="shared" si="81"/>
        <v>1</v>
      </c>
      <c r="N413" s="628"/>
      <c r="O413" s="21">
        <f t="shared" si="82"/>
        <v>1</v>
      </c>
      <c r="P413" s="628"/>
      <c r="Q413" s="21">
        <f t="shared" si="83"/>
        <v>1</v>
      </c>
      <c r="R413" s="21">
        <f t="shared" si="84"/>
        <v>0</v>
      </c>
      <c r="S413" s="302">
        <f t="shared" si="75"/>
        <v>0</v>
      </c>
    </row>
    <row r="414" spans="1:19">
      <c r="A414" s="136"/>
      <c r="B414" s="52"/>
      <c r="C414" s="21">
        <f t="shared" si="76"/>
        <v>1</v>
      </c>
      <c r="D414" s="628"/>
      <c r="E414" s="21">
        <f t="shared" si="77"/>
        <v>1</v>
      </c>
      <c r="F414" s="628"/>
      <c r="G414" s="21">
        <f t="shared" si="78"/>
        <v>1</v>
      </c>
      <c r="H414" s="628"/>
      <c r="I414" s="21">
        <f t="shared" si="79"/>
        <v>1</v>
      </c>
      <c r="J414" s="628"/>
      <c r="K414" s="21">
        <f t="shared" si="80"/>
        <v>1</v>
      </c>
      <c r="L414" s="628"/>
      <c r="M414" s="21">
        <f t="shared" si="81"/>
        <v>1</v>
      </c>
      <c r="N414" s="628"/>
      <c r="O414" s="21">
        <f t="shared" si="82"/>
        <v>1</v>
      </c>
      <c r="P414" s="628"/>
      <c r="Q414" s="21">
        <f t="shared" si="83"/>
        <v>1</v>
      </c>
      <c r="R414" s="21">
        <f t="shared" si="84"/>
        <v>0</v>
      </c>
      <c r="S414" s="302">
        <f t="shared" si="75"/>
        <v>0</v>
      </c>
    </row>
    <row r="415" spans="1:19">
      <c r="A415" s="136"/>
      <c r="B415" s="52"/>
      <c r="C415" s="21">
        <f t="shared" si="76"/>
        <v>1</v>
      </c>
      <c r="D415" s="628"/>
      <c r="E415" s="21">
        <f t="shared" si="77"/>
        <v>1</v>
      </c>
      <c r="F415" s="628"/>
      <c r="G415" s="21">
        <f t="shared" si="78"/>
        <v>1</v>
      </c>
      <c r="H415" s="628"/>
      <c r="I415" s="21">
        <f t="shared" si="79"/>
        <v>1</v>
      </c>
      <c r="J415" s="628"/>
      <c r="K415" s="21">
        <f t="shared" si="80"/>
        <v>1</v>
      </c>
      <c r="L415" s="628"/>
      <c r="M415" s="21">
        <f t="shared" si="81"/>
        <v>1</v>
      </c>
      <c r="N415" s="628"/>
      <c r="O415" s="21">
        <f t="shared" si="82"/>
        <v>1</v>
      </c>
      <c r="P415" s="628"/>
      <c r="Q415" s="21">
        <f t="shared" si="83"/>
        <v>1</v>
      </c>
      <c r="R415" s="21">
        <f t="shared" si="84"/>
        <v>0</v>
      </c>
      <c r="S415" s="302">
        <f t="shared" si="75"/>
        <v>0</v>
      </c>
    </row>
    <row r="416" spans="1:19">
      <c r="A416" s="136"/>
      <c r="B416" s="52"/>
      <c r="C416" s="21">
        <f t="shared" si="76"/>
        <v>1</v>
      </c>
      <c r="D416" s="628"/>
      <c r="E416" s="21">
        <f t="shared" si="77"/>
        <v>1</v>
      </c>
      <c r="F416" s="628"/>
      <c r="G416" s="21">
        <f t="shared" si="78"/>
        <v>1</v>
      </c>
      <c r="H416" s="628"/>
      <c r="I416" s="21">
        <f t="shared" si="79"/>
        <v>1</v>
      </c>
      <c r="J416" s="628"/>
      <c r="K416" s="21">
        <f t="shared" si="80"/>
        <v>1</v>
      </c>
      <c r="L416" s="628"/>
      <c r="M416" s="21">
        <f t="shared" si="81"/>
        <v>1</v>
      </c>
      <c r="N416" s="628"/>
      <c r="O416" s="21">
        <f t="shared" si="82"/>
        <v>1</v>
      </c>
      <c r="P416" s="628"/>
      <c r="Q416" s="21">
        <f t="shared" si="83"/>
        <v>1</v>
      </c>
      <c r="R416" s="21">
        <f t="shared" si="84"/>
        <v>0</v>
      </c>
      <c r="S416" s="302">
        <f t="shared" si="75"/>
        <v>0</v>
      </c>
    </row>
    <row r="417" spans="1:19">
      <c r="A417" s="136"/>
      <c r="B417" s="52"/>
      <c r="C417" s="21">
        <f t="shared" si="76"/>
        <v>1</v>
      </c>
      <c r="D417" s="628"/>
      <c r="E417" s="21">
        <f t="shared" si="77"/>
        <v>1</v>
      </c>
      <c r="F417" s="628"/>
      <c r="G417" s="21">
        <f t="shared" si="78"/>
        <v>1</v>
      </c>
      <c r="H417" s="628"/>
      <c r="I417" s="21">
        <f t="shared" si="79"/>
        <v>1</v>
      </c>
      <c r="J417" s="628"/>
      <c r="K417" s="21">
        <f t="shared" si="80"/>
        <v>1</v>
      </c>
      <c r="L417" s="628"/>
      <c r="M417" s="21">
        <f t="shared" si="81"/>
        <v>1</v>
      </c>
      <c r="N417" s="628"/>
      <c r="O417" s="21">
        <f t="shared" si="82"/>
        <v>1</v>
      </c>
      <c r="P417" s="628"/>
      <c r="Q417" s="21">
        <f t="shared" si="83"/>
        <v>1</v>
      </c>
      <c r="R417" s="21">
        <f t="shared" si="84"/>
        <v>0</v>
      </c>
      <c r="S417" s="302">
        <f t="shared" si="75"/>
        <v>0</v>
      </c>
    </row>
    <row r="418" spans="1:19">
      <c r="A418" s="136"/>
      <c r="B418" s="52"/>
      <c r="C418" s="21">
        <f t="shared" si="76"/>
        <v>1</v>
      </c>
      <c r="D418" s="628"/>
      <c r="E418" s="21">
        <f t="shared" si="77"/>
        <v>1</v>
      </c>
      <c r="F418" s="628"/>
      <c r="G418" s="21">
        <f t="shared" si="78"/>
        <v>1</v>
      </c>
      <c r="H418" s="628"/>
      <c r="I418" s="21">
        <f t="shared" si="79"/>
        <v>1</v>
      </c>
      <c r="J418" s="628"/>
      <c r="K418" s="21">
        <f t="shared" si="80"/>
        <v>1</v>
      </c>
      <c r="L418" s="628"/>
      <c r="M418" s="21">
        <f t="shared" si="81"/>
        <v>1</v>
      </c>
      <c r="N418" s="628"/>
      <c r="O418" s="21">
        <f t="shared" si="82"/>
        <v>1</v>
      </c>
      <c r="P418" s="628"/>
      <c r="Q418" s="21">
        <f t="shared" si="83"/>
        <v>1</v>
      </c>
      <c r="R418" s="21">
        <f t="shared" si="84"/>
        <v>0</v>
      </c>
      <c r="S418" s="302">
        <f t="shared" si="75"/>
        <v>0</v>
      </c>
    </row>
    <row r="419" spans="1:19">
      <c r="A419" s="136"/>
      <c r="B419" s="52"/>
      <c r="C419" s="21">
        <f t="shared" si="76"/>
        <v>1</v>
      </c>
      <c r="D419" s="628"/>
      <c r="E419" s="21">
        <f t="shared" si="77"/>
        <v>1</v>
      </c>
      <c r="F419" s="628"/>
      <c r="G419" s="21">
        <f t="shared" si="78"/>
        <v>1</v>
      </c>
      <c r="H419" s="628"/>
      <c r="I419" s="21">
        <f t="shared" si="79"/>
        <v>1</v>
      </c>
      <c r="J419" s="628"/>
      <c r="K419" s="21">
        <f t="shared" si="80"/>
        <v>1</v>
      </c>
      <c r="L419" s="628"/>
      <c r="M419" s="21">
        <f t="shared" si="81"/>
        <v>1</v>
      </c>
      <c r="N419" s="628"/>
      <c r="O419" s="21">
        <f t="shared" si="82"/>
        <v>1</v>
      </c>
      <c r="P419" s="628"/>
      <c r="Q419" s="21">
        <f t="shared" si="83"/>
        <v>1</v>
      </c>
      <c r="R419" s="21">
        <f t="shared" si="84"/>
        <v>0</v>
      </c>
      <c r="S419" s="302">
        <f t="shared" si="75"/>
        <v>0</v>
      </c>
    </row>
    <row r="420" spans="1:19">
      <c r="A420" s="136"/>
      <c r="B420" s="52"/>
      <c r="C420" s="21">
        <f t="shared" si="76"/>
        <v>1</v>
      </c>
      <c r="D420" s="628"/>
      <c r="E420" s="21">
        <f t="shared" si="77"/>
        <v>1</v>
      </c>
      <c r="F420" s="628"/>
      <c r="G420" s="21">
        <f t="shared" si="78"/>
        <v>1</v>
      </c>
      <c r="H420" s="628"/>
      <c r="I420" s="21">
        <f t="shared" si="79"/>
        <v>1</v>
      </c>
      <c r="J420" s="628"/>
      <c r="K420" s="21">
        <f t="shared" si="80"/>
        <v>1</v>
      </c>
      <c r="L420" s="628"/>
      <c r="M420" s="21">
        <f t="shared" si="81"/>
        <v>1</v>
      </c>
      <c r="N420" s="628"/>
      <c r="O420" s="21">
        <f t="shared" si="82"/>
        <v>1</v>
      </c>
      <c r="P420" s="628"/>
      <c r="Q420" s="21">
        <f t="shared" si="83"/>
        <v>1</v>
      </c>
      <c r="R420" s="21">
        <f t="shared" si="84"/>
        <v>0</v>
      </c>
      <c r="S420" s="302">
        <f t="shared" si="75"/>
        <v>0</v>
      </c>
    </row>
    <row r="421" spans="1:19">
      <c r="A421" s="136"/>
      <c r="B421" s="52"/>
      <c r="C421" s="21">
        <f t="shared" si="76"/>
        <v>1</v>
      </c>
      <c r="D421" s="628"/>
      <c r="E421" s="21">
        <f t="shared" si="77"/>
        <v>1</v>
      </c>
      <c r="F421" s="628"/>
      <c r="G421" s="21">
        <f t="shared" si="78"/>
        <v>1</v>
      </c>
      <c r="H421" s="628"/>
      <c r="I421" s="21">
        <f t="shared" si="79"/>
        <v>1</v>
      </c>
      <c r="J421" s="628"/>
      <c r="K421" s="21">
        <f t="shared" si="80"/>
        <v>1</v>
      </c>
      <c r="L421" s="628"/>
      <c r="M421" s="21">
        <f t="shared" si="81"/>
        <v>1</v>
      </c>
      <c r="N421" s="628"/>
      <c r="O421" s="21">
        <f t="shared" si="82"/>
        <v>1</v>
      </c>
      <c r="P421" s="628"/>
      <c r="Q421" s="21">
        <f t="shared" si="83"/>
        <v>1</v>
      </c>
      <c r="R421" s="21">
        <f t="shared" si="84"/>
        <v>0</v>
      </c>
      <c r="S421" s="302">
        <f t="shared" si="75"/>
        <v>0</v>
      </c>
    </row>
    <row r="422" spans="1:19">
      <c r="A422" s="136"/>
      <c r="B422" s="52"/>
      <c r="C422" s="21">
        <f t="shared" si="76"/>
        <v>1</v>
      </c>
      <c r="D422" s="628"/>
      <c r="E422" s="21">
        <f t="shared" si="77"/>
        <v>1</v>
      </c>
      <c r="F422" s="628"/>
      <c r="G422" s="21">
        <f t="shared" si="78"/>
        <v>1</v>
      </c>
      <c r="H422" s="628"/>
      <c r="I422" s="21">
        <f t="shared" si="79"/>
        <v>1</v>
      </c>
      <c r="J422" s="628"/>
      <c r="K422" s="21">
        <f t="shared" si="80"/>
        <v>1</v>
      </c>
      <c r="L422" s="628"/>
      <c r="M422" s="21">
        <f t="shared" si="81"/>
        <v>1</v>
      </c>
      <c r="N422" s="628"/>
      <c r="O422" s="21">
        <f t="shared" si="82"/>
        <v>1</v>
      </c>
      <c r="P422" s="628"/>
      <c r="Q422" s="21">
        <f t="shared" si="83"/>
        <v>1</v>
      </c>
      <c r="R422" s="21">
        <f t="shared" si="84"/>
        <v>0</v>
      </c>
      <c r="S422" s="302">
        <f t="shared" si="75"/>
        <v>0</v>
      </c>
    </row>
    <row r="423" spans="1:19">
      <c r="A423" s="136"/>
      <c r="B423" s="52"/>
      <c r="C423" s="21">
        <f t="shared" si="76"/>
        <v>1</v>
      </c>
      <c r="D423" s="628"/>
      <c r="E423" s="21">
        <f t="shared" si="77"/>
        <v>1</v>
      </c>
      <c r="F423" s="628"/>
      <c r="G423" s="21">
        <f t="shared" si="78"/>
        <v>1</v>
      </c>
      <c r="H423" s="628"/>
      <c r="I423" s="21">
        <f t="shared" si="79"/>
        <v>1</v>
      </c>
      <c r="J423" s="628"/>
      <c r="K423" s="21">
        <f t="shared" si="80"/>
        <v>1</v>
      </c>
      <c r="L423" s="628"/>
      <c r="M423" s="21">
        <f t="shared" si="81"/>
        <v>1</v>
      </c>
      <c r="N423" s="628"/>
      <c r="O423" s="21">
        <f t="shared" si="82"/>
        <v>1</v>
      </c>
      <c r="P423" s="628"/>
      <c r="Q423" s="21">
        <f t="shared" si="83"/>
        <v>1</v>
      </c>
      <c r="R423" s="21">
        <f t="shared" si="84"/>
        <v>0</v>
      </c>
      <c r="S423" s="302">
        <f t="shared" ref="S423:S467" si="85">ROUND(R423*B423/10000,0)</f>
        <v>0</v>
      </c>
    </row>
    <row r="424" spans="1:19">
      <c r="A424" s="136"/>
      <c r="B424" s="52"/>
      <c r="C424" s="21">
        <f t="shared" si="76"/>
        <v>1</v>
      </c>
      <c r="D424" s="628"/>
      <c r="E424" s="21">
        <f t="shared" si="77"/>
        <v>1</v>
      </c>
      <c r="F424" s="628"/>
      <c r="G424" s="21">
        <f t="shared" si="78"/>
        <v>1</v>
      </c>
      <c r="H424" s="628"/>
      <c r="I424" s="21">
        <f t="shared" si="79"/>
        <v>1</v>
      </c>
      <c r="J424" s="628"/>
      <c r="K424" s="21">
        <f t="shared" si="80"/>
        <v>1</v>
      </c>
      <c r="L424" s="628"/>
      <c r="M424" s="21">
        <f t="shared" si="81"/>
        <v>1</v>
      </c>
      <c r="N424" s="628"/>
      <c r="O424" s="21">
        <f t="shared" si="82"/>
        <v>1</v>
      </c>
      <c r="P424" s="628"/>
      <c r="Q424" s="21">
        <f t="shared" si="83"/>
        <v>1</v>
      </c>
      <c r="R424" s="21">
        <f t="shared" si="84"/>
        <v>0</v>
      </c>
      <c r="S424" s="302">
        <f t="shared" si="85"/>
        <v>0</v>
      </c>
    </row>
    <row r="425" spans="1:19">
      <c r="A425" s="136"/>
      <c r="B425" s="52"/>
      <c r="C425" s="21">
        <f t="shared" si="76"/>
        <v>1</v>
      </c>
      <c r="D425" s="628"/>
      <c r="E425" s="21">
        <f t="shared" si="77"/>
        <v>1</v>
      </c>
      <c r="F425" s="628"/>
      <c r="G425" s="21">
        <f t="shared" si="78"/>
        <v>1</v>
      </c>
      <c r="H425" s="628"/>
      <c r="I425" s="21">
        <f t="shared" si="79"/>
        <v>1</v>
      </c>
      <c r="J425" s="628"/>
      <c r="K425" s="21">
        <f t="shared" si="80"/>
        <v>1</v>
      </c>
      <c r="L425" s="628"/>
      <c r="M425" s="21">
        <f t="shared" si="81"/>
        <v>1</v>
      </c>
      <c r="N425" s="628"/>
      <c r="O425" s="21">
        <f t="shared" si="82"/>
        <v>1</v>
      </c>
      <c r="P425" s="628"/>
      <c r="Q425" s="21">
        <f t="shared" si="83"/>
        <v>1</v>
      </c>
      <c r="R425" s="21">
        <f t="shared" si="84"/>
        <v>0</v>
      </c>
      <c r="S425" s="302">
        <f t="shared" si="85"/>
        <v>0</v>
      </c>
    </row>
    <row r="426" spans="1:19">
      <c r="A426" s="136"/>
      <c r="B426" s="52"/>
      <c r="C426" s="21">
        <f t="shared" si="76"/>
        <v>1</v>
      </c>
      <c r="D426" s="628"/>
      <c r="E426" s="21">
        <f t="shared" si="77"/>
        <v>1</v>
      </c>
      <c r="F426" s="628"/>
      <c r="G426" s="21">
        <f t="shared" si="78"/>
        <v>1</v>
      </c>
      <c r="H426" s="628"/>
      <c r="I426" s="21">
        <f t="shared" si="79"/>
        <v>1</v>
      </c>
      <c r="J426" s="628"/>
      <c r="K426" s="21">
        <f t="shared" si="80"/>
        <v>1</v>
      </c>
      <c r="L426" s="628"/>
      <c r="M426" s="21">
        <f t="shared" si="81"/>
        <v>1</v>
      </c>
      <c r="N426" s="628"/>
      <c r="O426" s="21">
        <f t="shared" si="82"/>
        <v>1</v>
      </c>
      <c r="P426" s="628"/>
      <c r="Q426" s="21">
        <f t="shared" si="83"/>
        <v>1</v>
      </c>
      <c r="R426" s="21">
        <f t="shared" si="84"/>
        <v>0</v>
      </c>
      <c r="S426" s="302">
        <f t="shared" si="85"/>
        <v>0</v>
      </c>
    </row>
    <row r="427" spans="1:19">
      <c r="A427" s="136"/>
      <c r="B427" s="52"/>
      <c r="C427" s="21">
        <f t="shared" si="76"/>
        <v>1</v>
      </c>
      <c r="D427" s="628"/>
      <c r="E427" s="21">
        <f t="shared" si="77"/>
        <v>1</v>
      </c>
      <c r="F427" s="628"/>
      <c r="G427" s="21">
        <f t="shared" si="78"/>
        <v>1</v>
      </c>
      <c r="H427" s="628"/>
      <c r="I427" s="21">
        <f t="shared" si="79"/>
        <v>1</v>
      </c>
      <c r="J427" s="628"/>
      <c r="K427" s="21">
        <f t="shared" si="80"/>
        <v>1</v>
      </c>
      <c r="L427" s="628"/>
      <c r="M427" s="21">
        <f t="shared" si="81"/>
        <v>1</v>
      </c>
      <c r="N427" s="628"/>
      <c r="O427" s="21">
        <f t="shared" si="82"/>
        <v>1</v>
      </c>
      <c r="P427" s="628"/>
      <c r="Q427" s="21">
        <f t="shared" si="83"/>
        <v>1</v>
      </c>
      <c r="R427" s="21">
        <f t="shared" si="84"/>
        <v>0</v>
      </c>
      <c r="S427" s="302">
        <f t="shared" si="85"/>
        <v>0</v>
      </c>
    </row>
    <row r="428" spans="1:19">
      <c r="A428" s="136"/>
      <c r="B428" s="52"/>
      <c r="C428" s="21">
        <f t="shared" si="76"/>
        <v>1</v>
      </c>
      <c r="D428" s="628"/>
      <c r="E428" s="21">
        <f t="shared" si="77"/>
        <v>1</v>
      </c>
      <c r="F428" s="628"/>
      <c r="G428" s="21">
        <f t="shared" si="78"/>
        <v>1</v>
      </c>
      <c r="H428" s="628"/>
      <c r="I428" s="21">
        <f t="shared" si="79"/>
        <v>1</v>
      </c>
      <c r="J428" s="628"/>
      <c r="K428" s="21">
        <f t="shared" si="80"/>
        <v>1</v>
      </c>
      <c r="L428" s="628"/>
      <c r="M428" s="21">
        <f t="shared" si="81"/>
        <v>1</v>
      </c>
      <c r="N428" s="628"/>
      <c r="O428" s="21">
        <f t="shared" si="82"/>
        <v>1</v>
      </c>
      <c r="P428" s="628"/>
      <c r="Q428" s="21">
        <f t="shared" si="83"/>
        <v>1</v>
      </c>
      <c r="R428" s="21">
        <f t="shared" si="84"/>
        <v>0</v>
      </c>
      <c r="S428" s="302">
        <f t="shared" si="85"/>
        <v>0</v>
      </c>
    </row>
    <row r="429" spans="1:19">
      <c r="A429" s="136"/>
      <c r="B429" s="52"/>
      <c r="C429" s="21">
        <f t="shared" si="76"/>
        <v>1</v>
      </c>
      <c r="D429" s="628"/>
      <c r="E429" s="21">
        <f t="shared" si="77"/>
        <v>1</v>
      </c>
      <c r="F429" s="628"/>
      <c r="G429" s="21">
        <f t="shared" si="78"/>
        <v>1</v>
      </c>
      <c r="H429" s="628"/>
      <c r="I429" s="21">
        <f t="shared" si="79"/>
        <v>1</v>
      </c>
      <c r="J429" s="628"/>
      <c r="K429" s="21">
        <f t="shared" si="80"/>
        <v>1</v>
      </c>
      <c r="L429" s="628"/>
      <c r="M429" s="21">
        <f t="shared" si="81"/>
        <v>1</v>
      </c>
      <c r="N429" s="628"/>
      <c r="O429" s="21">
        <f t="shared" si="82"/>
        <v>1</v>
      </c>
      <c r="P429" s="628"/>
      <c r="Q429" s="21">
        <f t="shared" si="83"/>
        <v>1</v>
      </c>
      <c r="R429" s="21">
        <f t="shared" si="84"/>
        <v>0</v>
      </c>
      <c r="S429" s="302">
        <f t="shared" si="85"/>
        <v>0</v>
      </c>
    </row>
    <row r="430" spans="1:19">
      <c r="A430" s="136"/>
      <c r="B430" s="52"/>
      <c r="C430" s="21">
        <f t="shared" si="76"/>
        <v>1</v>
      </c>
      <c r="D430" s="628"/>
      <c r="E430" s="21">
        <f t="shared" si="77"/>
        <v>1</v>
      </c>
      <c r="F430" s="628"/>
      <c r="G430" s="21">
        <f t="shared" si="78"/>
        <v>1</v>
      </c>
      <c r="H430" s="628"/>
      <c r="I430" s="21">
        <f t="shared" si="79"/>
        <v>1</v>
      </c>
      <c r="J430" s="628"/>
      <c r="K430" s="21">
        <f t="shared" si="80"/>
        <v>1</v>
      </c>
      <c r="L430" s="628"/>
      <c r="M430" s="21">
        <f t="shared" si="81"/>
        <v>1</v>
      </c>
      <c r="N430" s="628"/>
      <c r="O430" s="21">
        <f t="shared" si="82"/>
        <v>1</v>
      </c>
      <c r="P430" s="628"/>
      <c r="Q430" s="21">
        <f t="shared" si="83"/>
        <v>1</v>
      </c>
      <c r="R430" s="21">
        <f t="shared" si="84"/>
        <v>0</v>
      </c>
      <c r="S430" s="302">
        <f t="shared" si="85"/>
        <v>0</v>
      </c>
    </row>
    <row r="431" spans="1:19">
      <c r="A431" s="136"/>
      <c r="B431" s="52"/>
      <c r="C431" s="21">
        <f t="shared" si="76"/>
        <v>1</v>
      </c>
      <c r="D431" s="628"/>
      <c r="E431" s="21">
        <f t="shared" si="77"/>
        <v>1</v>
      </c>
      <c r="F431" s="628"/>
      <c r="G431" s="21">
        <f t="shared" si="78"/>
        <v>1</v>
      </c>
      <c r="H431" s="628"/>
      <c r="I431" s="21">
        <f t="shared" si="79"/>
        <v>1</v>
      </c>
      <c r="J431" s="628"/>
      <c r="K431" s="21">
        <f t="shared" si="80"/>
        <v>1</v>
      </c>
      <c r="L431" s="628"/>
      <c r="M431" s="21">
        <f t="shared" si="81"/>
        <v>1</v>
      </c>
      <c r="N431" s="628"/>
      <c r="O431" s="21">
        <f t="shared" si="82"/>
        <v>1</v>
      </c>
      <c r="P431" s="628"/>
      <c r="Q431" s="21">
        <f t="shared" si="83"/>
        <v>1</v>
      </c>
      <c r="R431" s="21">
        <f t="shared" si="84"/>
        <v>0</v>
      </c>
      <c r="S431" s="302">
        <f t="shared" si="85"/>
        <v>0</v>
      </c>
    </row>
    <row r="432" spans="1:19">
      <c r="A432" s="136"/>
      <c r="B432" s="52"/>
      <c r="C432" s="21">
        <f t="shared" si="76"/>
        <v>1</v>
      </c>
      <c r="D432" s="628"/>
      <c r="E432" s="21">
        <f t="shared" si="77"/>
        <v>1</v>
      </c>
      <c r="F432" s="628"/>
      <c r="G432" s="21">
        <f t="shared" si="78"/>
        <v>1</v>
      </c>
      <c r="H432" s="628"/>
      <c r="I432" s="21">
        <f t="shared" si="79"/>
        <v>1</v>
      </c>
      <c r="J432" s="628"/>
      <c r="K432" s="21">
        <f t="shared" si="80"/>
        <v>1</v>
      </c>
      <c r="L432" s="628"/>
      <c r="M432" s="21">
        <f t="shared" si="81"/>
        <v>1</v>
      </c>
      <c r="N432" s="628"/>
      <c r="O432" s="21">
        <f t="shared" si="82"/>
        <v>1</v>
      </c>
      <c r="P432" s="628"/>
      <c r="Q432" s="21">
        <f t="shared" si="83"/>
        <v>1</v>
      </c>
      <c r="R432" s="21">
        <f t="shared" si="84"/>
        <v>0</v>
      </c>
      <c r="S432" s="302">
        <f t="shared" si="85"/>
        <v>0</v>
      </c>
    </row>
    <row r="433" spans="1:19">
      <c r="A433" s="136"/>
      <c r="B433" s="52"/>
      <c r="C433" s="21">
        <f t="shared" si="76"/>
        <v>1</v>
      </c>
      <c r="D433" s="628"/>
      <c r="E433" s="21">
        <f t="shared" si="77"/>
        <v>1</v>
      </c>
      <c r="F433" s="628"/>
      <c r="G433" s="21">
        <f t="shared" si="78"/>
        <v>1</v>
      </c>
      <c r="H433" s="628"/>
      <c r="I433" s="21">
        <f t="shared" si="79"/>
        <v>1</v>
      </c>
      <c r="J433" s="628"/>
      <c r="K433" s="21">
        <f t="shared" si="80"/>
        <v>1</v>
      </c>
      <c r="L433" s="628"/>
      <c r="M433" s="21">
        <f t="shared" si="81"/>
        <v>1</v>
      </c>
      <c r="N433" s="628"/>
      <c r="O433" s="21">
        <f t="shared" si="82"/>
        <v>1</v>
      </c>
      <c r="P433" s="628"/>
      <c r="Q433" s="21">
        <f t="shared" si="83"/>
        <v>1</v>
      </c>
      <c r="R433" s="21">
        <f t="shared" si="84"/>
        <v>0</v>
      </c>
      <c r="S433" s="302">
        <f t="shared" si="85"/>
        <v>0</v>
      </c>
    </row>
    <row r="434" spans="1:19">
      <c r="A434" s="136"/>
      <c r="B434" s="52"/>
      <c r="C434" s="21">
        <f t="shared" si="76"/>
        <v>1</v>
      </c>
      <c r="D434" s="628"/>
      <c r="E434" s="21">
        <f t="shared" si="77"/>
        <v>1</v>
      </c>
      <c r="F434" s="628"/>
      <c r="G434" s="21">
        <f t="shared" si="78"/>
        <v>1</v>
      </c>
      <c r="H434" s="628"/>
      <c r="I434" s="21">
        <f t="shared" si="79"/>
        <v>1</v>
      </c>
      <c r="J434" s="628"/>
      <c r="K434" s="21">
        <f t="shared" si="80"/>
        <v>1</v>
      </c>
      <c r="L434" s="628"/>
      <c r="M434" s="21">
        <f t="shared" si="81"/>
        <v>1</v>
      </c>
      <c r="N434" s="628"/>
      <c r="O434" s="21">
        <f t="shared" si="82"/>
        <v>1</v>
      </c>
      <c r="P434" s="628"/>
      <c r="Q434" s="21">
        <f t="shared" si="83"/>
        <v>1</v>
      </c>
      <c r="R434" s="21">
        <f t="shared" si="84"/>
        <v>0</v>
      </c>
      <c r="S434" s="302">
        <f t="shared" si="85"/>
        <v>0</v>
      </c>
    </row>
    <row r="435" spans="1:19">
      <c r="A435" s="136"/>
      <c r="B435" s="52"/>
      <c r="C435" s="21">
        <f t="shared" si="76"/>
        <v>1</v>
      </c>
      <c r="D435" s="628"/>
      <c r="E435" s="21">
        <f t="shared" si="77"/>
        <v>1</v>
      </c>
      <c r="F435" s="628"/>
      <c r="G435" s="21">
        <f t="shared" si="78"/>
        <v>1</v>
      </c>
      <c r="H435" s="628"/>
      <c r="I435" s="21">
        <f t="shared" si="79"/>
        <v>1</v>
      </c>
      <c r="J435" s="628"/>
      <c r="K435" s="21">
        <f t="shared" si="80"/>
        <v>1</v>
      </c>
      <c r="L435" s="628"/>
      <c r="M435" s="21">
        <f t="shared" si="81"/>
        <v>1</v>
      </c>
      <c r="N435" s="628"/>
      <c r="O435" s="21">
        <f t="shared" si="82"/>
        <v>1</v>
      </c>
      <c r="P435" s="628"/>
      <c r="Q435" s="21">
        <f t="shared" si="83"/>
        <v>1</v>
      </c>
      <c r="R435" s="21">
        <f t="shared" si="84"/>
        <v>0</v>
      </c>
      <c r="S435" s="302">
        <f t="shared" si="85"/>
        <v>0</v>
      </c>
    </row>
    <row r="436" spans="1:19">
      <c r="A436" s="136"/>
      <c r="B436" s="52"/>
      <c r="C436" s="21">
        <f t="shared" si="76"/>
        <v>1</v>
      </c>
      <c r="D436" s="628"/>
      <c r="E436" s="21">
        <f t="shared" si="77"/>
        <v>1</v>
      </c>
      <c r="F436" s="628"/>
      <c r="G436" s="21">
        <f t="shared" si="78"/>
        <v>1</v>
      </c>
      <c r="H436" s="628"/>
      <c r="I436" s="21">
        <f t="shared" si="79"/>
        <v>1</v>
      </c>
      <c r="J436" s="628"/>
      <c r="K436" s="21">
        <f t="shared" si="80"/>
        <v>1</v>
      </c>
      <c r="L436" s="628"/>
      <c r="M436" s="21">
        <f t="shared" si="81"/>
        <v>1</v>
      </c>
      <c r="N436" s="628"/>
      <c r="O436" s="21">
        <f t="shared" si="82"/>
        <v>1</v>
      </c>
      <c r="P436" s="628"/>
      <c r="Q436" s="21">
        <f t="shared" si="83"/>
        <v>1</v>
      </c>
      <c r="R436" s="21">
        <f t="shared" si="84"/>
        <v>0</v>
      </c>
      <c r="S436" s="302">
        <f t="shared" si="85"/>
        <v>0</v>
      </c>
    </row>
    <row r="437" spans="1:19">
      <c r="A437" s="136"/>
      <c r="B437" s="52"/>
      <c r="C437" s="21">
        <f t="shared" si="76"/>
        <v>1</v>
      </c>
      <c r="D437" s="628"/>
      <c r="E437" s="21">
        <f t="shared" si="77"/>
        <v>1</v>
      </c>
      <c r="F437" s="628"/>
      <c r="G437" s="21">
        <f t="shared" si="78"/>
        <v>1</v>
      </c>
      <c r="H437" s="628"/>
      <c r="I437" s="21">
        <f t="shared" si="79"/>
        <v>1</v>
      </c>
      <c r="J437" s="628"/>
      <c r="K437" s="21">
        <f t="shared" si="80"/>
        <v>1</v>
      </c>
      <c r="L437" s="628"/>
      <c r="M437" s="21">
        <f t="shared" si="81"/>
        <v>1</v>
      </c>
      <c r="N437" s="628"/>
      <c r="O437" s="21">
        <f t="shared" si="82"/>
        <v>1</v>
      </c>
      <c r="P437" s="628"/>
      <c r="Q437" s="21">
        <f t="shared" si="83"/>
        <v>1</v>
      </c>
      <c r="R437" s="21">
        <f t="shared" si="84"/>
        <v>0</v>
      </c>
      <c r="S437" s="302">
        <f t="shared" si="85"/>
        <v>0</v>
      </c>
    </row>
    <row r="438" spans="1:19">
      <c r="A438" s="136"/>
      <c r="B438" s="52"/>
      <c r="C438" s="21">
        <f t="shared" si="76"/>
        <v>1</v>
      </c>
      <c r="D438" s="628"/>
      <c r="E438" s="21">
        <f t="shared" si="77"/>
        <v>1</v>
      </c>
      <c r="F438" s="628"/>
      <c r="G438" s="21">
        <f t="shared" si="78"/>
        <v>1</v>
      </c>
      <c r="H438" s="628"/>
      <c r="I438" s="21">
        <f t="shared" si="79"/>
        <v>1</v>
      </c>
      <c r="J438" s="628"/>
      <c r="K438" s="21">
        <f t="shared" si="80"/>
        <v>1</v>
      </c>
      <c r="L438" s="628"/>
      <c r="M438" s="21">
        <f t="shared" si="81"/>
        <v>1</v>
      </c>
      <c r="N438" s="628"/>
      <c r="O438" s="21">
        <f t="shared" si="82"/>
        <v>1</v>
      </c>
      <c r="P438" s="628"/>
      <c r="Q438" s="21">
        <f t="shared" si="83"/>
        <v>1</v>
      </c>
      <c r="R438" s="21">
        <f t="shared" si="84"/>
        <v>0</v>
      </c>
      <c r="S438" s="302">
        <f t="shared" si="85"/>
        <v>0</v>
      </c>
    </row>
    <row r="439" spans="1:19">
      <c r="A439" s="136"/>
      <c r="B439" s="52"/>
      <c r="C439" s="21">
        <f t="shared" si="76"/>
        <v>1</v>
      </c>
      <c r="D439" s="628"/>
      <c r="E439" s="21">
        <f t="shared" si="77"/>
        <v>1</v>
      </c>
      <c r="F439" s="628"/>
      <c r="G439" s="21">
        <f t="shared" si="78"/>
        <v>1</v>
      </c>
      <c r="H439" s="628"/>
      <c r="I439" s="21">
        <f t="shared" si="79"/>
        <v>1</v>
      </c>
      <c r="J439" s="628"/>
      <c r="K439" s="21">
        <f t="shared" si="80"/>
        <v>1</v>
      </c>
      <c r="L439" s="628"/>
      <c r="M439" s="21">
        <f t="shared" si="81"/>
        <v>1</v>
      </c>
      <c r="N439" s="628"/>
      <c r="O439" s="21">
        <f t="shared" si="82"/>
        <v>1</v>
      </c>
      <c r="P439" s="628"/>
      <c r="Q439" s="21">
        <f t="shared" si="83"/>
        <v>1</v>
      </c>
      <c r="R439" s="21">
        <f t="shared" si="84"/>
        <v>0</v>
      </c>
      <c r="S439" s="302">
        <f t="shared" si="85"/>
        <v>0</v>
      </c>
    </row>
    <row r="440" spans="1:19">
      <c r="A440" s="136"/>
      <c r="B440" s="52"/>
      <c r="C440" s="21">
        <f t="shared" si="76"/>
        <v>1</v>
      </c>
      <c r="D440" s="628"/>
      <c r="E440" s="21">
        <f t="shared" si="77"/>
        <v>1</v>
      </c>
      <c r="F440" s="628"/>
      <c r="G440" s="21">
        <f t="shared" si="78"/>
        <v>1</v>
      </c>
      <c r="H440" s="628"/>
      <c r="I440" s="21">
        <f t="shared" si="79"/>
        <v>1</v>
      </c>
      <c r="J440" s="628"/>
      <c r="K440" s="21">
        <f t="shared" si="80"/>
        <v>1</v>
      </c>
      <c r="L440" s="628"/>
      <c r="M440" s="21">
        <f t="shared" si="81"/>
        <v>1</v>
      </c>
      <c r="N440" s="628"/>
      <c r="O440" s="21">
        <f t="shared" si="82"/>
        <v>1</v>
      </c>
      <c r="P440" s="628"/>
      <c r="Q440" s="21">
        <f t="shared" si="83"/>
        <v>1</v>
      </c>
      <c r="R440" s="21">
        <f t="shared" si="84"/>
        <v>0</v>
      </c>
      <c r="S440" s="302">
        <f t="shared" si="85"/>
        <v>0</v>
      </c>
    </row>
    <row r="441" spans="1:19">
      <c r="A441" s="136"/>
      <c r="B441" s="52"/>
      <c r="C441" s="21">
        <f t="shared" si="76"/>
        <v>1</v>
      </c>
      <c r="D441" s="628"/>
      <c r="E441" s="21">
        <f t="shared" si="77"/>
        <v>1</v>
      </c>
      <c r="F441" s="628"/>
      <c r="G441" s="21">
        <f t="shared" si="78"/>
        <v>1</v>
      </c>
      <c r="H441" s="628"/>
      <c r="I441" s="21">
        <f t="shared" si="79"/>
        <v>1</v>
      </c>
      <c r="J441" s="628"/>
      <c r="K441" s="21">
        <f t="shared" si="80"/>
        <v>1</v>
      </c>
      <c r="L441" s="628"/>
      <c r="M441" s="21">
        <f t="shared" si="81"/>
        <v>1</v>
      </c>
      <c r="N441" s="628"/>
      <c r="O441" s="21">
        <f t="shared" si="82"/>
        <v>1</v>
      </c>
      <c r="P441" s="628"/>
      <c r="Q441" s="21">
        <f t="shared" si="83"/>
        <v>1</v>
      </c>
      <c r="R441" s="21">
        <f t="shared" si="84"/>
        <v>0</v>
      </c>
      <c r="S441" s="302">
        <f t="shared" si="85"/>
        <v>0</v>
      </c>
    </row>
    <row r="442" spans="1:19">
      <c r="A442" s="136"/>
      <c r="B442" s="52"/>
      <c r="C442" s="21">
        <f t="shared" si="76"/>
        <v>1</v>
      </c>
      <c r="D442" s="628"/>
      <c r="E442" s="21">
        <f t="shared" si="77"/>
        <v>1</v>
      </c>
      <c r="F442" s="628"/>
      <c r="G442" s="21">
        <f t="shared" si="78"/>
        <v>1</v>
      </c>
      <c r="H442" s="628"/>
      <c r="I442" s="21">
        <f t="shared" si="79"/>
        <v>1</v>
      </c>
      <c r="J442" s="628"/>
      <c r="K442" s="21">
        <f t="shared" si="80"/>
        <v>1</v>
      </c>
      <c r="L442" s="628"/>
      <c r="M442" s="21">
        <f t="shared" si="81"/>
        <v>1</v>
      </c>
      <c r="N442" s="628"/>
      <c r="O442" s="21">
        <f t="shared" si="82"/>
        <v>1</v>
      </c>
      <c r="P442" s="628"/>
      <c r="Q442" s="21">
        <f t="shared" si="83"/>
        <v>1</v>
      </c>
      <c r="R442" s="21">
        <f t="shared" si="84"/>
        <v>0</v>
      </c>
      <c r="S442" s="302">
        <f t="shared" si="85"/>
        <v>0</v>
      </c>
    </row>
    <row r="443" spans="1:19">
      <c r="A443" s="136"/>
      <c r="B443" s="52"/>
      <c r="C443" s="21">
        <f t="shared" si="76"/>
        <v>1</v>
      </c>
      <c r="D443" s="628"/>
      <c r="E443" s="21">
        <f t="shared" si="77"/>
        <v>1</v>
      </c>
      <c r="F443" s="628"/>
      <c r="G443" s="21">
        <f t="shared" si="78"/>
        <v>1</v>
      </c>
      <c r="H443" s="628"/>
      <c r="I443" s="21">
        <f t="shared" si="79"/>
        <v>1</v>
      </c>
      <c r="J443" s="628"/>
      <c r="K443" s="21">
        <f t="shared" si="80"/>
        <v>1</v>
      </c>
      <c r="L443" s="628"/>
      <c r="M443" s="21">
        <f t="shared" si="81"/>
        <v>1</v>
      </c>
      <c r="N443" s="628"/>
      <c r="O443" s="21">
        <f t="shared" si="82"/>
        <v>1</v>
      </c>
      <c r="P443" s="628"/>
      <c r="Q443" s="21">
        <f t="shared" si="83"/>
        <v>1</v>
      </c>
      <c r="R443" s="21">
        <f t="shared" si="84"/>
        <v>0</v>
      </c>
      <c r="S443" s="302">
        <f t="shared" si="85"/>
        <v>0</v>
      </c>
    </row>
    <row r="444" spans="1:19">
      <c r="A444" s="136"/>
      <c r="B444" s="52"/>
      <c r="C444" s="21">
        <f t="shared" si="76"/>
        <v>1</v>
      </c>
      <c r="D444" s="628"/>
      <c r="E444" s="21">
        <f t="shared" si="77"/>
        <v>1</v>
      </c>
      <c r="F444" s="628"/>
      <c r="G444" s="21">
        <f t="shared" si="78"/>
        <v>1</v>
      </c>
      <c r="H444" s="628"/>
      <c r="I444" s="21">
        <f t="shared" si="79"/>
        <v>1</v>
      </c>
      <c r="J444" s="628"/>
      <c r="K444" s="21">
        <f t="shared" si="80"/>
        <v>1</v>
      </c>
      <c r="L444" s="628"/>
      <c r="M444" s="21">
        <f t="shared" si="81"/>
        <v>1</v>
      </c>
      <c r="N444" s="628"/>
      <c r="O444" s="21">
        <f t="shared" si="82"/>
        <v>1</v>
      </c>
      <c r="P444" s="628"/>
      <c r="Q444" s="21">
        <f t="shared" si="83"/>
        <v>1</v>
      </c>
      <c r="R444" s="21">
        <f t="shared" si="84"/>
        <v>0</v>
      </c>
      <c r="S444" s="302">
        <f t="shared" si="85"/>
        <v>0</v>
      </c>
    </row>
    <row r="445" spans="1:19">
      <c r="A445" s="136"/>
      <c r="B445" s="52"/>
      <c r="C445" s="21">
        <f t="shared" si="76"/>
        <v>1</v>
      </c>
      <c r="D445" s="628"/>
      <c r="E445" s="21">
        <f t="shared" si="77"/>
        <v>1</v>
      </c>
      <c r="F445" s="628"/>
      <c r="G445" s="21">
        <f t="shared" si="78"/>
        <v>1</v>
      </c>
      <c r="H445" s="628"/>
      <c r="I445" s="21">
        <f t="shared" si="79"/>
        <v>1</v>
      </c>
      <c r="J445" s="628"/>
      <c r="K445" s="21">
        <f t="shared" si="80"/>
        <v>1</v>
      </c>
      <c r="L445" s="628"/>
      <c r="M445" s="21">
        <f t="shared" si="81"/>
        <v>1</v>
      </c>
      <c r="N445" s="628"/>
      <c r="O445" s="21">
        <f t="shared" si="82"/>
        <v>1</v>
      </c>
      <c r="P445" s="628"/>
      <c r="Q445" s="21">
        <f t="shared" si="83"/>
        <v>1</v>
      </c>
      <c r="R445" s="21">
        <f t="shared" si="84"/>
        <v>0</v>
      </c>
      <c r="S445" s="302">
        <f t="shared" si="85"/>
        <v>0</v>
      </c>
    </row>
    <row r="446" spans="1:19">
      <c r="A446" s="136"/>
      <c r="B446" s="52"/>
      <c r="C446" s="21">
        <f t="shared" si="76"/>
        <v>1</v>
      </c>
      <c r="D446" s="628"/>
      <c r="E446" s="21">
        <f t="shared" si="77"/>
        <v>1</v>
      </c>
      <c r="F446" s="628"/>
      <c r="G446" s="21">
        <f t="shared" si="78"/>
        <v>1</v>
      </c>
      <c r="H446" s="628"/>
      <c r="I446" s="21">
        <f t="shared" si="79"/>
        <v>1</v>
      </c>
      <c r="J446" s="628"/>
      <c r="K446" s="21">
        <f t="shared" si="80"/>
        <v>1</v>
      </c>
      <c r="L446" s="628"/>
      <c r="M446" s="21">
        <f t="shared" si="81"/>
        <v>1</v>
      </c>
      <c r="N446" s="628"/>
      <c r="O446" s="21">
        <f t="shared" si="82"/>
        <v>1</v>
      </c>
      <c r="P446" s="628"/>
      <c r="Q446" s="21">
        <f t="shared" si="83"/>
        <v>1</v>
      </c>
      <c r="R446" s="21">
        <f t="shared" si="84"/>
        <v>0</v>
      </c>
      <c r="S446" s="302">
        <f t="shared" si="85"/>
        <v>0</v>
      </c>
    </row>
    <row r="447" spans="1:19">
      <c r="A447" s="136"/>
      <c r="B447" s="52"/>
      <c r="C447" s="21">
        <f t="shared" si="76"/>
        <v>1</v>
      </c>
      <c r="D447" s="628"/>
      <c r="E447" s="21">
        <f t="shared" si="77"/>
        <v>1</v>
      </c>
      <c r="F447" s="628"/>
      <c r="G447" s="21">
        <f t="shared" si="78"/>
        <v>1</v>
      </c>
      <c r="H447" s="628"/>
      <c r="I447" s="21">
        <f t="shared" si="79"/>
        <v>1</v>
      </c>
      <c r="J447" s="628"/>
      <c r="K447" s="21">
        <f t="shared" si="80"/>
        <v>1</v>
      </c>
      <c r="L447" s="628"/>
      <c r="M447" s="21">
        <f t="shared" si="81"/>
        <v>1</v>
      </c>
      <c r="N447" s="628"/>
      <c r="O447" s="21">
        <f t="shared" si="82"/>
        <v>1</v>
      </c>
      <c r="P447" s="628"/>
      <c r="Q447" s="21">
        <f t="shared" si="83"/>
        <v>1</v>
      </c>
      <c r="R447" s="21">
        <f t="shared" si="84"/>
        <v>0</v>
      </c>
      <c r="S447" s="302">
        <f t="shared" si="85"/>
        <v>0</v>
      </c>
    </row>
    <row r="448" spans="1:19">
      <c r="A448" s="136"/>
      <c r="B448" s="52"/>
      <c r="C448" s="21">
        <f t="shared" si="76"/>
        <v>1</v>
      </c>
      <c r="D448" s="628"/>
      <c r="E448" s="21">
        <f t="shared" si="77"/>
        <v>1</v>
      </c>
      <c r="F448" s="628"/>
      <c r="G448" s="21">
        <f t="shared" si="78"/>
        <v>1</v>
      </c>
      <c r="H448" s="628"/>
      <c r="I448" s="21">
        <f t="shared" si="79"/>
        <v>1</v>
      </c>
      <c r="J448" s="628"/>
      <c r="K448" s="21">
        <f t="shared" si="80"/>
        <v>1</v>
      </c>
      <c r="L448" s="628"/>
      <c r="M448" s="21">
        <f t="shared" si="81"/>
        <v>1</v>
      </c>
      <c r="N448" s="628"/>
      <c r="O448" s="21">
        <f t="shared" si="82"/>
        <v>1</v>
      </c>
      <c r="P448" s="628"/>
      <c r="Q448" s="21">
        <f t="shared" si="83"/>
        <v>1</v>
      </c>
      <c r="R448" s="21">
        <f t="shared" si="84"/>
        <v>0</v>
      </c>
      <c r="S448" s="302">
        <f t="shared" si="85"/>
        <v>0</v>
      </c>
    </row>
    <row r="449" spans="1:19">
      <c r="A449" s="136"/>
      <c r="B449" s="52"/>
      <c r="C449" s="21">
        <f t="shared" si="76"/>
        <v>1</v>
      </c>
      <c r="D449" s="628"/>
      <c r="E449" s="21">
        <f t="shared" si="77"/>
        <v>1</v>
      </c>
      <c r="F449" s="628"/>
      <c r="G449" s="21">
        <f t="shared" si="78"/>
        <v>1</v>
      </c>
      <c r="H449" s="628"/>
      <c r="I449" s="21">
        <f t="shared" si="79"/>
        <v>1</v>
      </c>
      <c r="J449" s="628"/>
      <c r="K449" s="21">
        <f t="shared" si="80"/>
        <v>1</v>
      </c>
      <c r="L449" s="628"/>
      <c r="M449" s="21">
        <f t="shared" si="81"/>
        <v>1</v>
      </c>
      <c r="N449" s="628"/>
      <c r="O449" s="21">
        <f t="shared" si="82"/>
        <v>1</v>
      </c>
      <c r="P449" s="628"/>
      <c r="Q449" s="21">
        <f t="shared" si="83"/>
        <v>1</v>
      </c>
      <c r="R449" s="21">
        <f t="shared" si="84"/>
        <v>0</v>
      </c>
      <c r="S449" s="302">
        <f t="shared" si="85"/>
        <v>0</v>
      </c>
    </row>
    <row r="450" spans="1:19">
      <c r="A450" s="136"/>
      <c r="B450" s="52"/>
      <c r="C450" s="21">
        <f t="shared" si="76"/>
        <v>1</v>
      </c>
      <c r="D450" s="628"/>
      <c r="E450" s="21">
        <f t="shared" si="77"/>
        <v>1</v>
      </c>
      <c r="F450" s="628"/>
      <c r="G450" s="21">
        <f t="shared" si="78"/>
        <v>1</v>
      </c>
      <c r="H450" s="628"/>
      <c r="I450" s="21">
        <f t="shared" si="79"/>
        <v>1</v>
      </c>
      <c r="J450" s="628"/>
      <c r="K450" s="21">
        <f t="shared" si="80"/>
        <v>1</v>
      </c>
      <c r="L450" s="628"/>
      <c r="M450" s="21">
        <f t="shared" si="81"/>
        <v>1</v>
      </c>
      <c r="N450" s="628"/>
      <c r="O450" s="21">
        <f t="shared" si="82"/>
        <v>1</v>
      </c>
      <c r="P450" s="628"/>
      <c r="Q450" s="21">
        <f t="shared" si="83"/>
        <v>1</v>
      </c>
      <c r="R450" s="21">
        <f t="shared" si="84"/>
        <v>0</v>
      </c>
      <c r="S450" s="302">
        <f t="shared" si="85"/>
        <v>0</v>
      </c>
    </row>
    <row r="451" spans="1:19">
      <c r="A451" s="136"/>
      <c r="B451" s="52"/>
      <c r="C451" s="21">
        <f t="shared" si="76"/>
        <v>1</v>
      </c>
      <c r="D451" s="628"/>
      <c r="E451" s="21">
        <f t="shared" si="77"/>
        <v>1</v>
      </c>
      <c r="F451" s="628"/>
      <c r="G451" s="21">
        <f t="shared" si="78"/>
        <v>1</v>
      </c>
      <c r="H451" s="628"/>
      <c r="I451" s="21">
        <f t="shared" si="79"/>
        <v>1</v>
      </c>
      <c r="J451" s="628"/>
      <c r="K451" s="21">
        <f t="shared" si="80"/>
        <v>1</v>
      </c>
      <c r="L451" s="628"/>
      <c r="M451" s="21">
        <f t="shared" si="81"/>
        <v>1</v>
      </c>
      <c r="N451" s="628"/>
      <c r="O451" s="21">
        <f t="shared" si="82"/>
        <v>1</v>
      </c>
      <c r="P451" s="628"/>
      <c r="Q451" s="21">
        <f t="shared" si="83"/>
        <v>1</v>
      </c>
      <c r="R451" s="21">
        <f t="shared" si="84"/>
        <v>0</v>
      </c>
      <c r="S451" s="302">
        <f t="shared" si="85"/>
        <v>0</v>
      </c>
    </row>
    <row r="452" spans="1:19">
      <c r="A452" s="136"/>
      <c r="B452" s="52"/>
      <c r="C452" s="21">
        <f t="shared" si="76"/>
        <v>1</v>
      </c>
      <c r="D452" s="628"/>
      <c r="E452" s="21">
        <f t="shared" si="77"/>
        <v>1</v>
      </c>
      <c r="F452" s="628"/>
      <c r="G452" s="21">
        <f t="shared" si="78"/>
        <v>1</v>
      </c>
      <c r="H452" s="628"/>
      <c r="I452" s="21">
        <f t="shared" si="79"/>
        <v>1</v>
      </c>
      <c r="J452" s="628"/>
      <c r="K452" s="21">
        <f t="shared" si="80"/>
        <v>1</v>
      </c>
      <c r="L452" s="628"/>
      <c r="M452" s="21">
        <f t="shared" si="81"/>
        <v>1</v>
      </c>
      <c r="N452" s="628"/>
      <c r="O452" s="21">
        <f t="shared" si="82"/>
        <v>1</v>
      </c>
      <c r="P452" s="628"/>
      <c r="Q452" s="21">
        <f t="shared" si="83"/>
        <v>1</v>
      </c>
      <c r="R452" s="21">
        <f t="shared" si="84"/>
        <v>0</v>
      </c>
      <c r="S452" s="302">
        <f t="shared" si="85"/>
        <v>0</v>
      </c>
    </row>
    <row r="453" spans="1:19">
      <c r="A453" s="136"/>
      <c r="B453" s="52"/>
      <c r="C453" s="21">
        <f t="shared" si="76"/>
        <v>1</v>
      </c>
      <c r="D453" s="628"/>
      <c r="E453" s="21">
        <f t="shared" si="77"/>
        <v>1</v>
      </c>
      <c r="F453" s="628"/>
      <c r="G453" s="21">
        <f t="shared" si="78"/>
        <v>1</v>
      </c>
      <c r="H453" s="628"/>
      <c r="I453" s="21">
        <f t="shared" si="79"/>
        <v>1</v>
      </c>
      <c r="J453" s="628"/>
      <c r="K453" s="21">
        <f t="shared" si="80"/>
        <v>1</v>
      </c>
      <c r="L453" s="628"/>
      <c r="M453" s="21">
        <f t="shared" si="81"/>
        <v>1</v>
      </c>
      <c r="N453" s="628"/>
      <c r="O453" s="21">
        <f t="shared" si="82"/>
        <v>1</v>
      </c>
      <c r="P453" s="628"/>
      <c r="Q453" s="21">
        <f t="shared" si="83"/>
        <v>1</v>
      </c>
      <c r="R453" s="21">
        <f t="shared" si="84"/>
        <v>0</v>
      </c>
      <c r="S453" s="302">
        <f t="shared" si="85"/>
        <v>0</v>
      </c>
    </row>
    <row r="454" spans="1:19">
      <c r="A454" s="136"/>
      <c r="B454" s="52"/>
      <c r="C454" s="21">
        <f t="shared" si="76"/>
        <v>1</v>
      </c>
      <c r="D454" s="628"/>
      <c r="E454" s="21">
        <f t="shared" si="77"/>
        <v>1</v>
      </c>
      <c r="F454" s="628"/>
      <c r="G454" s="21">
        <f t="shared" si="78"/>
        <v>1</v>
      </c>
      <c r="H454" s="628"/>
      <c r="I454" s="21">
        <f t="shared" si="79"/>
        <v>1</v>
      </c>
      <c r="J454" s="628"/>
      <c r="K454" s="21">
        <f t="shared" si="80"/>
        <v>1</v>
      </c>
      <c r="L454" s="628"/>
      <c r="M454" s="21">
        <f t="shared" si="81"/>
        <v>1</v>
      </c>
      <c r="N454" s="628"/>
      <c r="O454" s="21">
        <f t="shared" si="82"/>
        <v>1</v>
      </c>
      <c r="P454" s="628"/>
      <c r="Q454" s="21">
        <f t="shared" si="83"/>
        <v>1</v>
      </c>
      <c r="R454" s="21">
        <f t="shared" si="84"/>
        <v>0</v>
      </c>
      <c r="S454" s="302">
        <f t="shared" si="85"/>
        <v>0</v>
      </c>
    </row>
    <row r="455" spans="1:19">
      <c r="A455" s="136"/>
      <c r="B455" s="52"/>
      <c r="C455" s="21">
        <f t="shared" si="76"/>
        <v>1</v>
      </c>
      <c r="D455" s="628"/>
      <c r="E455" s="21">
        <f t="shared" si="77"/>
        <v>1</v>
      </c>
      <c r="F455" s="628"/>
      <c r="G455" s="21">
        <f t="shared" si="78"/>
        <v>1</v>
      </c>
      <c r="H455" s="628"/>
      <c r="I455" s="21">
        <f t="shared" si="79"/>
        <v>1</v>
      </c>
      <c r="J455" s="628"/>
      <c r="K455" s="21">
        <f t="shared" si="80"/>
        <v>1</v>
      </c>
      <c r="L455" s="628"/>
      <c r="M455" s="21">
        <f t="shared" si="81"/>
        <v>1</v>
      </c>
      <c r="N455" s="628"/>
      <c r="O455" s="21">
        <f t="shared" si="82"/>
        <v>1</v>
      </c>
      <c r="P455" s="628"/>
      <c r="Q455" s="21">
        <f t="shared" si="83"/>
        <v>1</v>
      </c>
      <c r="R455" s="21">
        <f t="shared" si="84"/>
        <v>0</v>
      </c>
      <c r="S455" s="302">
        <f t="shared" si="85"/>
        <v>0</v>
      </c>
    </row>
    <row r="456" spans="1:19">
      <c r="A456" s="136"/>
      <c r="B456" s="52"/>
      <c r="C456" s="21">
        <f t="shared" si="76"/>
        <v>1</v>
      </c>
      <c r="D456" s="628"/>
      <c r="E456" s="21">
        <f t="shared" si="77"/>
        <v>1</v>
      </c>
      <c r="F456" s="628"/>
      <c r="G456" s="21">
        <f t="shared" si="78"/>
        <v>1</v>
      </c>
      <c r="H456" s="628"/>
      <c r="I456" s="21">
        <f t="shared" si="79"/>
        <v>1</v>
      </c>
      <c r="J456" s="628"/>
      <c r="K456" s="21">
        <f t="shared" si="80"/>
        <v>1</v>
      </c>
      <c r="L456" s="628"/>
      <c r="M456" s="21">
        <f t="shared" si="81"/>
        <v>1</v>
      </c>
      <c r="N456" s="628"/>
      <c r="O456" s="21">
        <f t="shared" si="82"/>
        <v>1</v>
      </c>
      <c r="P456" s="628"/>
      <c r="Q456" s="21">
        <f t="shared" si="83"/>
        <v>1</v>
      </c>
      <c r="R456" s="21">
        <f t="shared" si="84"/>
        <v>0</v>
      </c>
      <c r="S456" s="302">
        <f t="shared" si="85"/>
        <v>0</v>
      </c>
    </row>
    <row r="457" spans="1:19">
      <c r="A457" s="136"/>
      <c r="B457" s="52"/>
      <c r="C457" s="21">
        <f t="shared" si="76"/>
        <v>1</v>
      </c>
      <c r="D457" s="628"/>
      <c r="E457" s="21">
        <f t="shared" si="77"/>
        <v>1</v>
      </c>
      <c r="F457" s="628"/>
      <c r="G457" s="21">
        <f t="shared" si="78"/>
        <v>1</v>
      </c>
      <c r="H457" s="628"/>
      <c r="I457" s="21">
        <f t="shared" si="79"/>
        <v>1</v>
      </c>
      <c r="J457" s="628"/>
      <c r="K457" s="21">
        <f t="shared" si="80"/>
        <v>1</v>
      </c>
      <c r="L457" s="628"/>
      <c r="M457" s="21">
        <f t="shared" si="81"/>
        <v>1</v>
      </c>
      <c r="N457" s="628"/>
      <c r="O457" s="21">
        <f t="shared" si="82"/>
        <v>1</v>
      </c>
      <c r="P457" s="628"/>
      <c r="Q457" s="21">
        <f t="shared" si="83"/>
        <v>1</v>
      </c>
      <c r="R457" s="21">
        <f t="shared" si="84"/>
        <v>0</v>
      </c>
      <c r="S457" s="302">
        <f t="shared" si="85"/>
        <v>0</v>
      </c>
    </row>
    <row r="458" spans="1:19">
      <c r="A458" s="136"/>
      <c r="B458" s="52"/>
      <c r="C458" s="21">
        <f t="shared" si="76"/>
        <v>1</v>
      </c>
      <c r="D458" s="628"/>
      <c r="E458" s="21">
        <f t="shared" si="77"/>
        <v>1</v>
      </c>
      <c r="F458" s="628"/>
      <c r="G458" s="21">
        <f t="shared" si="78"/>
        <v>1</v>
      </c>
      <c r="H458" s="628"/>
      <c r="I458" s="21">
        <f t="shared" si="79"/>
        <v>1</v>
      </c>
      <c r="J458" s="628"/>
      <c r="K458" s="21">
        <f t="shared" si="80"/>
        <v>1</v>
      </c>
      <c r="L458" s="628"/>
      <c r="M458" s="21">
        <f t="shared" si="81"/>
        <v>1</v>
      </c>
      <c r="N458" s="628"/>
      <c r="O458" s="21">
        <f t="shared" si="82"/>
        <v>1</v>
      </c>
      <c r="P458" s="628"/>
      <c r="Q458" s="21">
        <f t="shared" si="83"/>
        <v>1</v>
      </c>
      <c r="R458" s="21">
        <f t="shared" si="84"/>
        <v>0</v>
      </c>
      <c r="S458" s="302">
        <f t="shared" si="85"/>
        <v>0</v>
      </c>
    </row>
    <row r="459" spans="1:19">
      <c r="A459" s="136"/>
      <c r="B459" s="52"/>
      <c r="C459" s="21">
        <f t="shared" si="76"/>
        <v>1</v>
      </c>
      <c r="D459" s="628"/>
      <c r="E459" s="21">
        <f t="shared" si="77"/>
        <v>1</v>
      </c>
      <c r="F459" s="628"/>
      <c r="G459" s="21">
        <f t="shared" si="78"/>
        <v>1</v>
      </c>
      <c r="H459" s="628"/>
      <c r="I459" s="21">
        <f t="shared" si="79"/>
        <v>1</v>
      </c>
      <c r="J459" s="628"/>
      <c r="K459" s="21">
        <f t="shared" si="80"/>
        <v>1</v>
      </c>
      <c r="L459" s="628"/>
      <c r="M459" s="21">
        <f t="shared" si="81"/>
        <v>1</v>
      </c>
      <c r="N459" s="628"/>
      <c r="O459" s="21">
        <f t="shared" si="82"/>
        <v>1</v>
      </c>
      <c r="P459" s="628"/>
      <c r="Q459" s="21">
        <f t="shared" si="83"/>
        <v>1</v>
      </c>
      <c r="R459" s="21">
        <f t="shared" si="84"/>
        <v>0</v>
      </c>
      <c r="S459" s="302">
        <f t="shared" si="85"/>
        <v>0</v>
      </c>
    </row>
    <row r="460" spans="1:19">
      <c r="A460" s="136"/>
      <c r="B460" s="52"/>
      <c r="C460" s="21">
        <f t="shared" si="76"/>
        <v>1</v>
      </c>
      <c r="D460" s="628"/>
      <c r="E460" s="21">
        <f t="shared" si="77"/>
        <v>1</v>
      </c>
      <c r="F460" s="628"/>
      <c r="G460" s="21">
        <f t="shared" si="78"/>
        <v>1</v>
      </c>
      <c r="H460" s="628"/>
      <c r="I460" s="21">
        <f t="shared" si="79"/>
        <v>1</v>
      </c>
      <c r="J460" s="628"/>
      <c r="K460" s="21">
        <f t="shared" si="80"/>
        <v>1</v>
      </c>
      <c r="L460" s="628"/>
      <c r="M460" s="21">
        <f t="shared" si="81"/>
        <v>1</v>
      </c>
      <c r="N460" s="628"/>
      <c r="O460" s="21">
        <f t="shared" si="82"/>
        <v>1</v>
      </c>
      <c r="P460" s="628"/>
      <c r="Q460" s="21">
        <f t="shared" si="83"/>
        <v>1</v>
      </c>
      <c r="R460" s="21">
        <f t="shared" si="84"/>
        <v>0</v>
      </c>
      <c r="S460" s="302">
        <f t="shared" si="85"/>
        <v>0</v>
      </c>
    </row>
    <row r="461" spans="1:19">
      <c r="A461" s="136"/>
      <c r="B461" s="52"/>
      <c r="C461" s="21">
        <f t="shared" si="76"/>
        <v>1</v>
      </c>
      <c r="D461" s="628"/>
      <c r="E461" s="21">
        <f t="shared" si="77"/>
        <v>1</v>
      </c>
      <c r="F461" s="628"/>
      <c r="G461" s="21">
        <f t="shared" si="78"/>
        <v>1</v>
      </c>
      <c r="H461" s="628"/>
      <c r="I461" s="21">
        <f t="shared" si="79"/>
        <v>1</v>
      </c>
      <c r="J461" s="628"/>
      <c r="K461" s="21">
        <f t="shared" si="80"/>
        <v>1</v>
      </c>
      <c r="L461" s="628"/>
      <c r="M461" s="21">
        <f t="shared" si="81"/>
        <v>1</v>
      </c>
      <c r="N461" s="628"/>
      <c r="O461" s="21">
        <f t="shared" si="82"/>
        <v>1</v>
      </c>
      <c r="P461" s="628"/>
      <c r="Q461" s="21">
        <f t="shared" si="83"/>
        <v>1</v>
      </c>
      <c r="R461" s="21">
        <f t="shared" si="84"/>
        <v>0</v>
      </c>
      <c r="S461" s="302">
        <f t="shared" si="85"/>
        <v>0</v>
      </c>
    </row>
    <row r="462" spans="1:19">
      <c r="A462" s="136"/>
      <c r="B462" s="52"/>
      <c r="C462" s="21">
        <f t="shared" si="76"/>
        <v>1</v>
      </c>
      <c r="D462" s="628"/>
      <c r="E462" s="21">
        <f t="shared" si="77"/>
        <v>1</v>
      </c>
      <c r="F462" s="628"/>
      <c r="G462" s="21">
        <f t="shared" si="78"/>
        <v>1</v>
      </c>
      <c r="H462" s="628"/>
      <c r="I462" s="21">
        <f t="shared" si="79"/>
        <v>1</v>
      </c>
      <c r="J462" s="628"/>
      <c r="K462" s="21">
        <f t="shared" si="80"/>
        <v>1</v>
      </c>
      <c r="L462" s="628"/>
      <c r="M462" s="21">
        <f t="shared" si="81"/>
        <v>1</v>
      </c>
      <c r="N462" s="628"/>
      <c r="O462" s="21">
        <f t="shared" si="82"/>
        <v>1</v>
      </c>
      <c r="P462" s="628"/>
      <c r="Q462" s="21">
        <f t="shared" si="83"/>
        <v>1</v>
      </c>
      <c r="R462" s="21">
        <f t="shared" si="84"/>
        <v>0</v>
      </c>
      <c r="S462" s="302">
        <f t="shared" si="85"/>
        <v>0</v>
      </c>
    </row>
    <row r="463" spans="1:19">
      <c r="A463" s="136"/>
      <c r="B463" s="52"/>
      <c r="C463" s="21">
        <f t="shared" si="76"/>
        <v>1</v>
      </c>
      <c r="D463" s="628"/>
      <c r="E463" s="21">
        <f t="shared" si="77"/>
        <v>1</v>
      </c>
      <c r="F463" s="628"/>
      <c r="G463" s="21">
        <f t="shared" si="78"/>
        <v>1</v>
      </c>
      <c r="H463" s="628"/>
      <c r="I463" s="21">
        <f t="shared" si="79"/>
        <v>1</v>
      </c>
      <c r="J463" s="628"/>
      <c r="K463" s="21">
        <f t="shared" si="80"/>
        <v>1</v>
      </c>
      <c r="L463" s="628"/>
      <c r="M463" s="21">
        <f t="shared" si="81"/>
        <v>1</v>
      </c>
      <c r="N463" s="628"/>
      <c r="O463" s="21">
        <f t="shared" si="82"/>
        <v>1</v>
      </c>
      <c r="P463" s="628"/>
      <c r="Q463" s="21">
        <f t="shared" si="83"/>
        <v>1</v>
      </c>
      <c r="R463" s="21">
        <f t="shared" si="84"/>
        <v>0</v>
      </c>
      <c r="S463" s="302">
        <f t="shared" si="85"/>
        <v>0</v>
      </c>
    </row>
    <row r="464" spans="1:19">
      <c r="A464" s="136"/>
      <c r="B464" s="52"/>
      <c r="C464" s="21">
        <f t="shared" si="76"/>
        <v>1</v>
      </c>
      <c r="D464" s="628"/>
      <c r="E464" s="21">
        <f t="shared" si="77"/>
        <v>1</v>
      </c>
      <c r="F464" s="628"/>
      <c r="G464" s="21">
        <f t="shared" si="78"/>
        <v>1</v>
      </c>
      <c r="H464" s="628"/>
      <c r="I464" s="21">
        <f t="shared" si="79"/>
        <v>1</v>
      </c>
      <c r="J464" s="628"/>
      <c r="K464" s="21">
        <f t="shared" si="80"/>
        <v>1</v>
      </c>
      <c r="L464" s="628"/>
      <c r="M464" s="21">
        <f t="shared" si="81"/>
        <v>1</v>
      </c>
      <c r="N464" s="628"/>
      <c r="O464" s="21">
        <f t="shared" si="82"/>
        <v>1</v>
      </c>
      <c r="P464" s="628"/>
      <c r="Q464" s="21">
        <f t="shared" si="83"/>
        <v>1</v>
      </c>
      <c r="R464" s="21">
        <f t="shared" si="84"/>
        <v>0</v>
      </c>
      <c r="S464" s="302">
        <f t="shared" si="85"/>
        <v>0</v>
      </c>
    </row>
    <row r="465" spans="1:19">
      <c r="A465" s="136"/>
      <c r="B465" s="52"/>
      <c r="C465" s="21">
        <f t="shared" si="76"/>
        <v>1</v>
      </c>
      <c r="D465" s="628"/>
      <c r="E465" s="21">
        <f t="shared" si="77"/>
        <v>1</v>
      </c>
      <c r="F465" s="628"/>
      <c r="G465" s="21">
        <f t="shared" si="78"/>
        <v>1</v>
      </c>
      <c r="H465" s="628"/>
      <c r="I465" s="21">
        <f t="shared" si="79"/>
        <v>1</v>
      </c>
      <c r="J465" s="628"/>
      <c r="K465" s="21">
        <f t="shared" si="80"/>
        <v>1</v>
      </c>
      <c r="L465" s="628"/>
      <c r="M465" s="21">
        <f t="shared" si="81"/>
        <v>1</v>
      </c>
      <c r="N465" s="628"/>
      <c r="O465" s="21">
        <f t="shared" si="82"/>
        <v>1</v>
      </c>
      <c r="P465" s="628"/>
      <c r="Q465" s="21">
        <f t="shared" si="83"/>
        <v>1</v>
      </c>
      <c r="R465" s="21">
        <f t="shared" si="84"/>
        <v>0</v>
      </c>
      <c r="S465" s="302">
        <f t="shared" si="85"/>
        <v>0</v>
      </c>
    </row>
    <row r="466" spans="1:19">
      <c r="A466" s="136"/>
      <c r="B466" s="52"/>
      <c r="C466" s="21">
        <f t="shared" si="76"/>
        <v>1</v>
      </c>
      <c r="D466" s="628"/>
      <c r="E466" s="21">
        <f t="shared" si="77"/>
        <v>1</v>
      </c>
      <c r="F466" s="628"/>
      <c r="G466" s="21">
        <f t="shared" si="78"/>
        <v>1</v>
      </c>
      <c r="H466" s="628"/>
      <c r="I466" s="21">
        <f t="shared" si="79"/>
        <v>1</v>
      </c>
      <c r="J466" s="628"/>
      <c r="K466" s="21">
        <f t="shared" si="80"/>
        <v>1</v>
      </c>
      <c r="L466" s="628"/>
      <c r="M466" s="21">
        <f t="shared" si="81"/>
        <v>1</v>
      </c>
      <c r="N466" s="628"/>
      <c r="O466" s="21">
        <f t="shared" si="82"/>
        <v>1</v>
      </c>
      <c r="P466" s="628"/>
      <c r="Q466" s="21">
        <f t="shared" si="83"/>
        <v>1</v>
      </c>
      <c r="R466" s="21">
        <f t="shared" si="84"/>
        <v>0</v>
      </c>
      <c r="S466" s="302">
        <f t="shared" si="85"/>
        <v>0</v>
      </c>
    </row>
    <row r="467" spans="1:19">
      <c r="A467" s="136"/>
      <c r="B467" s="52"/>
      <c r="C467" s="21">
        <f t="shared" si="76"/>
        <v>1</v>
      </c>
      <c r="D467" s="628"/>
      <c r="E467" s="21">
        <f t="shared" si="77"/>
        <v>1</v>
      </c>
      <c r="F467" s="628"/>
      <c r="G467" s="21">
        <f t="shared" si="78"/>
        <v>1</v>
      </c>
      <c r="H467" s="628"/>
      <c r="I467" s="21">
        <f t="shared" si="79"/>
        <v>1</v>
      </c>
      <c r="J467" s="628"/>
      <c r="K467" s="21">
        <f t="shared" si="80"/>
        <v>1</v>
      </c>
      <c r="L467" s="628"/>
      <c r="M467" s="21">
        <f t="shared" si="81"/>
        <v>1</v>
      </c>
      <c r="N467" s="628"/>
      <c r="O467" s="21">
        <f t="shared" si="82"/>
        <v>1</v>
      </c>
      <c r="P467" s="628"/>
      <c r="Q467" s="21">
        <f t="shared" si="83"/>
        <v>1</v>
      </c>
      <c r="R467" s="21">
        <f t="shared" si="84"/>
        <v>0</v>
      </c>
      <c r="S467" s="302">
        <f t="shared" si="85"/>
        <v>0</v>
      </c>
    </row>
    <row r="468" spans="1:19">
      <c r="A468" s="136"/>
      <c r="B468" s="52"/>
      <c r="C468" s="21">
        <f t="shared" si="76"/>
        <v>1</v>
      </c>
      <c r="D468" s="628"/>
      <c r="E468" s="21">
        <f t="shared" si="77"/>
        <v>1</v>
      </c>
      <c r="F468" s="628"/>
      <c r="G468" s="21">
        <f t="shared" si="78"/>
        <v>1</v>
      </c>
      <c r="H468" s="628"/>
      <c r="I468" s="21">
        <f t="shared" si="79"/>
        <v>1</v>
      </c>
      <c r="J468" s="628"/>
      <c r="K468" s="21">
        <f t="shared" si="80"/>
        <v>1</v>
      </c>
      <c r="L468" s="628"/>
      <c r="M468" s="21">
        <f t="shared" si="81"/>
        <v>1</v>
      </c>
      <c r="N468" s="628"/>
      <c r="O468" s="21">
        <f t="shared" si="82"/>
        <v>1</v>
      </c>
      <c r="P468" s="628"/>
      <c r="Q468" s="21">
        <f t="shared" si="83"/>
        <v>1</v>
      </c>
      <c r="R468" s="21">
        <f t="shared" si="84"/>
        <v>0</v>
      </c>
      <c r="S468" s="302">
        <f t="shared" ref="S468:S497" si="86">ROUND(R468*B468/10000,0)</f>
        <v>0</v>
      </c>
    </row>
    <row r="469" spans="1:19">
      <c r="A469" s="136"/>
      <c r="B469" s="52"/>
      <c r="C469" s="21">
        <f t="shared" si="76"/>
        <v>1</v>
      </c>
      <c r="D469" s="628"/>
      <c r="E469" s="21">
        <f t="shared" si="77"/>
        <v>1</v>
      </c>
      <c r="F469" s="628"/>
      <c r="G469" s="21">
        <f t="shared" si="78"/>
        <v>1</v>
      </c>
      <c r="H469" s="628"/>
      <c r="I469" s="21">
        <f t="shared" si="79"/>
        <v>1</v>
      </c>
      <c r="J469" s="628"/>
      <c r="K469" s="21">
        <f t="shared" si="80"/>
        <v>1</v>
      </c>
      <c r="L469" s="628"/>
      <c r="M469" s="21">
        <f t="shared" si="81"/>
        <v>1</v>
      </c>
      <c r="N469" s="628"/>
      <c r="O469" s="21">
        <f t="shared" si="82"/>
        <v>1</v>
      </c>
      <c r="P469" s="628"/>
      <c r="Q469" s="21">
        <f t="shared" si="83"/>
        <v>1</v>
      </c>
      <c r="R469" s="21">
        <f t="shared" si="84"/>
        <v>0</v>
      </c>
      <c r="S469" s="302">
        <f t="shared" si="86"/>
        <v>0</v>
      </c>
    </row>
    <row r="470" spans="1:19">
      <c r="A470" s="136"/>
      <c r="B470" s="52"/>
      <c r="C470" s="21">
        <f t="shared" si="76"/>
        <v>1</v>
      </c>
      <c r="D470" s="628"/>
      <c r="E470" s="21">
        <f t="shared" si="77"/>
        <v>1</v>
      </c>
      <c r="F470" s="628"/>
      <c r="G470" s="21">
        <f t="shared" si="78"/>
        <v>1</v>
      </c>
      <c r="H470" s="628"/>
      <c r="I470" s="21">
        <f t="shared" si="79"/>
        <v>1</v>
      </c>
      <c r="J470" s="628"/>
      <c r="K470" s="21">
        <f t="shared" si="80"/>
        <v>1</v>
      </c>
      <c r="L470" s="628"/>
      <c r="M470" s="21">
        <f t="shared" si="81"/>
        <v>1</v>
      </c>
      <c r="N470" s="628"/>
      <c r="O470" s="21">
        <f t="shared" si="82"/>
        <v>1</v>
      </c>
      <c r="P470" s="628"/>
      <c r="Q470" s="21">
        <f t="shared" si="83"/>
        <v>1</v>
      </c>
      <c r="R470" s="21">
        <f t="shared" si="84"/>
        <v>0</v>
      </c>
      <c r="S470" s="302">
        <f t="shared" si="86"/>
        <v>0</v>
      </c>
    </row>
    <row r="471" spans="1:19">
      <c r="A471" s="136"/>
      <c r="B471" s="52"/>
      <c r="C471" s="21">
        <f t="shared" si="76"/>
        <v>1</v>
      </c>
      <c r="D471" s="628"/>
      <c r="E471" s="21">
        <f t="shared" si="77"/>
        <v>1</v>
      </c>
      <c r="F471" s="628"/>
      <c r="G471" s="21">
        <f t="shared" si="78"/>
        <v>1</v>
      </c>
      <c r="H471" s="628"/>
      <c r="I471" s="21">
        <f t="shared" si="79"/>
        <v>1</v>
      </c>
      <c r="J471" s="628"/>
      <c r="K471" s="21">
        <f t="shared" si="80"/>
        <v>1</v>
      </c>
      <c r="L471" s="628"/>
      <c r="M471" s="21">
        <f t="shared" si="81"/>
        <v>1</v>
      </c>
      <c r="N471" s="628"/>
      <c r="O471" s="21">
        <f t="shared" si="82"/>
        <v>1</v>
      </c>
      <c r="P471" s="628"/>
      <c r="Q471" s="21">
        <f t="shared" si="83"/>
        <v>1</v>
      </c>
      <c r="R471" s="21">
        <f t="shared" si="84"/>
        <v>0</v>
      </c>
      <c r="S471" s="302">
        <f t="shared" si="86"/>
        <v>0</v>
      </c>
    </row>
    <row r="472" spans="1:19">
      <c r="A472" s="136"/>
      <c r="B472" s="52"/>
      <c r="C472" s="21">
        <f t="shared" si="76"/>
        <v>1</v>
      </c>
      <c r="D472" s="628"/>
      <c r="E472" s="21">
        <f t="shared" si="77"/>
        <v>1</v>
      </c>
      <c r="F472" s="628"/>
      <c r="G472" s="21">
        <f t="shared" si="78"/>
        <v>1</v>
      </c>
      <c r="H472" s="628"/>
      <c r="I472" s="21">
        <f t="shared" si="79"/>
        <v>1</v>
      </c>
      <c r="J472" s="628"/>
      <c r="K472" s="21">
        <f t="shared" si="80"/>
        <v>1</v>
      </c>
      <c r="L472" s="628"/>
      <c r="M472" s="21">
        <f t="shared" si="81"/>
        <v>1</v>
      </c>
      <c r="N472" s="628"/>
      <c r="O472" s="21">
        <f t="shared" si="82"/>
        <v>1</v>
      </c>
      <c r="P472" s="628"/>
      <c r="Q472" s="21">
        <f t="shared" si="83"/>
        <v>1</v>
      </c>
      <c r="R472" s="21">
        <f t="shared" si="84"/>
        <v>0</v>
      </c>
      <c r="S472" s="302">
        <f t="shared" si="86"/>
        <v>0</v>
      </c>
    </row>
    <row r="473" spans="1:19">
      <c r="A473" s="136"/>
      <c r="B473" s="52"/>
      <c r="C473" s="21">
        <f t="shared" si="76"/>
        <v>1</v>
      </c>
      <c r="D473" s="628"/>
      <c r="E473" s="21">
        <f t="shared" si="77"/>
        <v>1</v>
      </c>
      <c r="F473" s="628"/>
      <c r="G473" s="21">
        <f t="shared" si="78"/>
        <v>1</v>
      </c>
      <c r="H473" s="628"/>
      <c r="I473" s="21">
        <f t="shared" si="79"/>
        <v>1</v>
      </c>
      <c r="J473" s="628"/>
      <c r="K473" s="21">
        <f t="shared" si="80"/>
        <v>1</v>
      </c>
      <c r="L473" s="628"/>
      <c r="M473" s="21">
        <f t="shared" si="81"/>
        <v>1</v>
      </c>
      <c r="N473" s="628"/>
      <c r="O473" s="21">
        <f t="shared" si="82"/>
        <v>1</v>
      </c>
      <c r="P473" s="628"/>
      <c r="Q473" s="21">
        <f t="shared" si="83"/>
        <v>1</v>
      </c>
      <c r="R473" s="21">
        <f t="shared" si="84"/>
        <v>0</v>
      </c>
      <c r="S473" s="302">
        <f t="shared" si="86"/>
        <v>0</v>
      </c>
    </row>
    <row r="474" spans="1:19">
      <c r="A474" s="136"/>
      <c r="B474" s="52"/>
      <c r="C474" s="21">
        <f t="shared" ref="C474:C524" si="87">IF(B474="",1,(LOOKUP(B474,$3:$3,$4:$4)-LOOKUP($B$24,$3:$3,$4:$4)+100)/100)</f>
        <v>1</v>
      </c>
      <c r="D474" s="628"/>
      <c r="E474" s="21">
        <f t="shared" ref="E474:E524" si="88">(SUMIF($5:$5,D474,$6:$6)-SUMIF($5:$5,$D$24,$6:$6)+100)/100</f>
        <v>1</v>
      </c>
      <c r="F474" s="628"/>
      <c r="G474" s="21">
        <f t="shared" ref="G474:G524" si="89">(SUMIF($7:$7,F474,$8:$8)-SUMIF($7:$7,$F$24,$8:$8)+100)/100</f>
        <v>1</v>
      </c>
      <c r="H474" s="628"/>
      <c r="I474" s="21">
        <f t="shared" ref="I474:I524" si="90">(SUMIF($9:$9,H474,$10:$10)-SUMIF($9:$9,$H$24,$10:$10)+100)/100</f>
        <v>1</v>
      </c>
      <c r="J474" s="628"/>
      <c r="K474" s="21">
        <f t="shared" ref="K474:K524" si="91">(SUMIF($11:$11,J474,$12:$12)-SUMIF($11:$11,$J$24,$12:$12)+100)/100</f>
        <v>1</v>
      </c>
      <c r="L474" s="628"/>
      <c r="M474" s="21">
        <f t="shared" ref="M474:M524" si="92">(SUMIF($13:$13,L474,$14:$14)-SUMIF($13:$13,$L$24,$14:$14)+100)/100</f>
        <v>1</v>
      </c>
      <c r="N474" s="628"/>
      <c r="O474" s="21">
        <f t="shared" ref="O474:O524" si="93">(SUMIF($15:$15,N474,$16:$16)-SUMIF($15:$15,$N$24,$16:$16)+100)/100</f>
        <v>1</v>
      </c>
      <c r="P474" s="628"/>
      <c r="Q474" s="21">
        <f t="shared" ref="Q474:Q524" si="94">(SUMIF($17:$17,P474,$18:$18)-SUMIF($17:$17,$P$24,$18:$18)+100)/100</f>
        <v>1</v>
      </c>
      <c r="R474" s="21">
        <f t="shared" ref="R474:R524" si="95">IF(B474="",0,ROUND($R$24*C474*E474*G474*I474*K474*M474*O474*Q474,0))</f>
        <v>0</v>
      </c>
      <c r="S474" s="302">
        <f t="shared" si="86"/>
        <v>0</v>
      </c>
    </row>
    <row r="475" spans="1:19">
      <c r="A475" s="136"/>
      <c r="B475" s="52"/>
      <c r="C475" s="21">
        <f t="shared" si="87"/>
        <v>1</v>
      </c>
      <c r="D475" s="628"/>
      <c r="E475" s="21">
        <f t="shared" si="88"/>
        <v>1</v>
      </c>
      <c r="F475" s="628"/>
      <c r="G475" s="21">
        <f t="shared" si="89"/>
        <v>1</v>
      </c>
      <c r="H475" s="628"/>
      <c r="I475" s="21">
        <f t="shared" si="90"/>
        <v>1</v>
      </c>
      <c r="J475" s="628"/>
      <c r="K475" s="21">
        <f t="shared" si="91"/>
        <v>1</v>
      </c>
      <c r="L475" s="628"/>
      <c r="M475" s="21">
        <f t="shared" si="92"/>
        <v>1</v>
      </c>
      <c r="N475" s="628"/>
      <c r="O475" s="21">
        <f t="shared" si="93"/>
        <v>1</v>
      </c>
      <c r="P475" s="628"/>
      <c r="Q475" s="21">
        <f t="shared" si="94"/>
        <v>1</v>
      </c>
      <c r="R475" s="21">
        <f t="shared" si="95"/>
        <v>0</v>
      </c>
      <c r="S475" s="302">
        <f t="shared" si="86"/>
        <v>0</v>
      </c>
    </row>
    <row r="476" spans="1:19">
      <c r="A476" s="136"/>
      <c r="B476" s="52"/>
      <c r="C476" s="21">
        <f t="shared" si="87"/>
        <v>1</v>
      </c>
      <c r="D476" s="628"/>
      <c r="E476" s="21">
        <f t="shared" si="88"/>
        <v>1</v>
      </c>
      <c r="F476" s="628"/>
      <c r="G476" s="21">
        <f t="shared" si="89"/>
        <v>1</v>
      </c>
      <c r="H476" s="628"/>
      <c r="I476" s="21">
        <f t="shared" si="90"/>
        <v>1</v>
      </c>
      <c r="J476" s="628"/>
      <c r="K476" s="21">
        <f t="shared" si="91"/>
        <v>1</v>
      </c>
      <c r="L476" s="628"/>
      <c r="M476" s="21">
        <f t="shared" si="92"/>
        <v>1</v>
      </c>
      <c r="N476" s="628"/>
      <c r="O476" s="21">
        <f t="shared" si="93"/>
        <v>1</v>
      </c>
      <c r="P476" s="628"/>
      <c r="Q476" s="21">
        <f t="shared" si="94"/>
        <v>1</v>
      </c>
      <c r="R476" s="21">
        <f t="shared" si="95"/>
        <v>0</v>
      </c>
      <c r="S476" s="302">
        <f t="shared" si="86"/>
        <v>0</v>
      </c>
    </row>
    <row r="477" spans="1:19">
      <c r="A477" s="136"/>
      <c r="B477" s="52"/>
      <c r="C477" s="21">
        <f t="shared" si="87"/>
        <v>1</v>
      </c>
      <c r="D477" s="628"/>
      <c r="E477" s="21">
        <f t="shared" si="88"/>
        <v>1</v>
      </c>
      <c r="F477" s="628"/>
      <c r="G477" s="21">
        <f t="shared" si="89"/>
        <v>1</v>
      </c>
      <c r="H477" s="628"/>
      <c r="I477" s="21">
        <f t="shared" si="90"/>
        <v>1</v>
      </c>
      <c r="J477" s="628"/>
      <c r="K477" s="21">
        <f t="shared" si="91"/>
        <v>1</v>
      </c>
      <c r="L477" s="628"/>
      <c r="M477" s="21">
        <f t="shared" si="92"/>
        <v>1</v>
      </c>
      <c r="N477" s="628"/>
      <c r="O477" s="21">
        <f t="shared" si="93"/>
        <v>1</v>
      </c>
      <c r="P477" s="628"/>
      <c r="Q477" s="21">
        <f t="shared" si="94"/>
        <v>1</v>
      </c>
      <c r="R477" s="21">
        <f t="shared" si="95"/>
        <v>0</v>
      </c>
      <c r="S477" s="302">
        <f t="shared" si="86"/>
        <v>0</v>
      </c>
    </row>
    <row r="478" spans="1:19">
      <c r="A478" s="136"/>
      <c r="B478" s="52"/>
      <c r="C478" s="21">
        <f t="shared" si="87"/>
        <v>1</v>
      </c>
      <c r="D478" s="628"/>
      <c r="E478" s="21">
        <f t="shared" si="88"/>
        <v>1</v>
      </c>
      <c r="F478" s="628"/>
      <c r="G478" s="21">
        <f t="shared" si="89"/>
        <v>1</v>
      </c>
      <c r="H478" s="628"/>
      <c r="I478" s="21">
        <f t="shared" si="90"/>
        <v>1</v>
      </c>
      <c r="J478" s="628"/>
      <c r="K478" s="21">
        <f t="shared" si="91"/>
        <v>1</v>
      </c>
      <c r="L478" s="628"/>
      <c r="M478" s="21">
        <f t="shared" si="92"/>
        <v>1</v>
      </c>
      <c r="N478" s="628"/>
      <c r="O478" s="21">
        <f t="shared" si="93"/>
        <v>1</v>
      </c>
      <c r="P478" s="628"/>
      <c r="Q478" s="21">
        <f t="shared" si="94"/>
        <v>1</v>
      </c>
      <c r="R478" s="21">
        <f t="shared" si="95"/>
        <v>0</v>
      </c>
      <c r="S478" s="302">
        <f t="shared" si="86"/>
        <v>0</v>
      </c>
    </row>
    <row r="479" spans="1:19">
      <c r="A479" s="136"/>
      <c r="B479" s="52"/>
      <c r="C479" s="21">
        <f t="shared" si="87"/>
        <v>1</v>
      </c>
      <c r="D479" s="628"/>
      <c r="E479" s="21">
        <f t="shared" si="88"/>
        <v>1</v>
      </c>
      <c r="F479" s="628"/>
      <c r="G479" s="21">
        <f t="shared" si="89"/>
        <v>1</v>
      </c>
      <c r="H479" s="628"/>
      <c r="I479" s="21">
        <f t="shared" si="90"/>
        <v>1</v>
      </c>
      <c r="J479" s="628"/>
      <c r="K479" s="21">
        <f t="shared" si="91"/>
        <v>1</v>
      </c>
      <c r="L479" s="628"/>
      <c r="M479" s="21">
        <f t="shared" si="92"/>
        <v>1</v>
      </c>
      <c r="N479" s="628"/>
      <c r="O479" s="21">
        <f t="shared" si="93"/>
        <v>1</v>
      </c>
      <c r="P479" s="628"/>
      <c r="Q479" s="21">
        <f t="shared" si="94"/>
        <v>1</v>
      </c>
      <c r="R479" s="21">
        <f t="shared" si="95"/>
        <v>0</v>
      </c>
      <c r="S479" s="302">
        <f t="shared" si="86"/>
        <v>0</v>
      </c>
    </row>
    <row r="480" spans="1:19">
      <c r="A480" s="136"/>
      <c r="B480" s="52"/>
      <c r="C480" s="21">
        <f t="shared" si="87"/>
        <v>1</v>
      </c>
      <c r="D480" s="628"/>
      <c r="E480" s="21">
        <f t="shared" si="88"/>
        <v>1</v>
      </c>
      <c r="F480" s="628"/>
      <c r="G480" s="21">
        <f t="shared" si="89"/>
        <v>1</v>
      </c>
      <c r="H480" s="628"/>
      <c r="I480" s="21">
        <f t="shared" si="90"/>
        <v>1</v>
      </c>
      <c r="J480" s="628"/>
      <c r="K480" s="21">
        <f t="shared" si="91"/>
        <v>1</v>
      </c>
      <c r="L480" s="628"/>
      <c r="M480" s="21">
        <f t="shared" si="92"/>
        <v>1</v>
      </c>
      <c r="N480" s="628"/>
      <c r="O480" s="21">
        <f t="shared" si="93"/>
        <v>1</v>
      </c>
      <c r="P480" s="628"/>
      <c r="Q480" s="21">
        <f t="shared" si="94"/>
        <v>1</v>
      </c>
      <c r="R480" s="21">
        <f t="shared" si="95"/>
        <v>0</v>
      </c>
      <c r="S480" s="302">
        <f t="shared" si="86"/>
        <v>0</v>
      </c>
    </row>
    <row r="481" spans="1:19">
      <c r="A481" s="136"/>
      <c r="B481" s="52"/>
      <c r="C481" s="21">
        <f t="shared" si="87"/>
        <v>1</v>
      </c>
      <c r="D481" s="628"/>
      <c r="E481" s="21">
        <f t="shared" si="88"/>
        <v>1</v>
      </c>
      <c r="F481" s="628"/>
      <c r="G481" s="21">
        <f t="shared" si="89"/>
        <v>1</v>
      </c>
      <c r="H481" s="628"/>
      <c r="I481" s="21">
        <f t="shared" si="90"/>
        <v>1</v>
      </c>
      <c r="J481" s="628"/>
      <c r="K481" s="21">
        <f t="shared" si="91"/>
        <v>1</v>
      </c>
      <c r="L481" s="628"/>
      <c r="M481" s="21">
        <f t="shared" si="92"/>
        <v>1</v>
      </c>
      <c r="N481" s="628"/>
      <c r="O481" s="21">
        <f t="shared" si="93"/>
        <v>1</v>
      </c>
      <c r="P481" s="628"/>
      <c r="Q481" s="21">
        <f t="shared" si="94"/>
        <v>1</v>
      </c>
      <c r="R481" s="21">
        <f t="shared" si="95"/>
        <v>0</v>
      </c>
      <c r="S481" s="302">
        <f t="shared" si="86"/>
        <v>0</v>
      </c>
    </row>
    <row r="482" spans="1:19">
      <c r="A482" s="136"/>
      <c r="B482" s="52"/>
      <c r="C482" s="21">
        <f t="shared" si="87"/>
        <v>1</v>
      </c>
      <c r="D482" s="628"/>
      <c r="E482" s="21">
        <f t="shared" si="88"/>
        <v>1</v>
      </c>
      <c r="F482" s="628"/>
      <c r="G482" s="21">
        <f t="shared" si="89"/>
        <v>1</v>
      </c>
      <c r="H482" s="628"/>
      <c r="I482" s="21">
        <f t="shared" si="90"/>
        <v>1</v>
      </c>
      <c r="J482" s="628"/>
      <c r="K482" s="21">
        <f t="shared" si="91"/>
        <v>1</v>
      </c>
      <c r="L482" s="628"/>
      <c r="M482" s="21">
        <f t="shared" si="92"/>
        <v>1</v>
      </c>
      <c r="N482" s="628"/>
      <c r="O482" s="21">
        <f t="shared" si="93"/>
        <v>1</v>
      </c>
      <c r="P482" s="628"/>
      <c r="Q482" s="21">
        <f t="shared" si="94"/>
        <v>1</v>
      </c>
      <c r="R482" s="21">
        <f t="shared" si="95"/>
        <v>0</v>
      </c>
      <c r="S482" s="302">
        <f t="shared" si="86"/>
        <v>0</v>
      </c>
    </row>
    <row r="483" spans="1:19">
      <c r="A483" s="136"/>
      <c r="B483" s="52"/>
      <c r="C483" s="21">
        <f t="shared" si="87"/>
        <v>1</v>
      </c>
      <c r="D483" s="628"/>
      <c r="E483" s="21">
        <f t="shared" si="88"/>
        <v>1</v>
      </c>
      <c r="F483" s="628"/>
      <c r="G483" s="21">
        <f t="shared" si="89"/>
        <v>1</v>
      </c>
      <c r="H483" s="628"/>
      <c r="I483" s="21">
        <f t="shared" si="90"/>
        <v>1</v>
      </c>
      <c r="J483" s="628"/>
      <c r="K483" s="21">
        <f t="shared" si="91"/>
        <v>1</v>
      </c>
      <c r="L483" s="628"/>
      <c r="M483" s="21">
        <f t="shared" si="92"/>
        <v>1</v>
      </c>
      <c r="N483" s="628"/>
      <c r="O483" s="21">
        <f t="shared" si="93"/>
        <v>1</v>
      </c>
      <c r="P483" s="628"/>
      <c r="Q483" s="21">
        <f t="shared" si="94"/>
        <v>1</v>
      </c>
      <c r="R483" s="21">
        <f t="shared" si="95"/>
        <v>0</v>
      </c>
      <c r="S483" s="302">
        <f t="shared" si="86"/>
        <v>0</v>
      </c>
    </row>
    <row r="484" spans="1:19">
      <c r="A484" s="136"/>
      <c r="B484" s="52"/>
      <c r="C484" s="21">
        <f t="shared" si="87"/>
        <v>1</v>
      </c>
      <c r="D484" s="628"/>
      <c r="E484" s="21">
        <f t="shared" si="88"/>
        <v>1</v>
      </c>
      <c r="F484" s="628"/>
      <c r="G484" s="21">
        <f t="shared" si="89"/>
        <v>1</v>
      </c>
      <c r="H484" s="628"/>
      <c r="I484" s="21">
        <f t="shared" si="90"/>
        <v>1</v>
      </c>
      <c r="J484" s="628"/>
      <c r="K484" s="21">
        <f t="shared" si="91"/>
        <v>1</v>
      </c>
      <c r="L484" s="628"/>
      <c r="M484" s="21">
        <f t="shared" si="92"/>
        <v>1</v>
      </c>
      <c r="N484" s="628"/>
      <c r="O484" s="21">
        <f t="shared" si="93"/>
        <v>1</v>
      </c>
      <c r="P484" s="628"/>
      <c r="Q484" s="21">
        <f t="shared" si="94"/>
        <v>1</v>
      </c>
      <c r="R484" s="21">
        <f t="shared" si="95"/>
        <v>0</v>
      </c>
      <c r="S484" s="302">
        <f t="shared" si="86"/>
        <v>0</v>
      </c>
    </row>
    <row r="485" spans="1:19">
      <c r="A485" s="136"/>
      <c r="B485" s="52"/>
      <c r="C485" s="21">
        <f t="shared" si="87"/>
        <v>1</v>
      </c>
      <c r="D485" s="628"/>
      <c r="E485" s="21">
        <f t="shared" si="88"/>
        <v>1</v>
      </c>
      <c r="F485" s="628"/>
      <c r="G485" s="21">
        <f t="shared" si="89"/>
        <v>1</v>
      </c>
      <c r="H485" s="628"/>
      <c r="I485" s="21">
        <f t="shared" si="90"/>
        <v>1</v>
      </c>
      <c r="J485" s="628"/>
      <c r="K485" s="21">
        <f t="shared" si="91"/>
        <v>1</v>
      </c>
      <c r="L485" s="628"/>
      <c r="M485" s="21">
        <f t="shared" si="92"/>
        <v>1</v>
      </c>
      <c r="N485" s="628"/>
      <c r="O485" s="21">
        <f t="shared" si="93"/>
        <v>1</v>
      </c>
      <c r="P485" s="628"/>
      <c r="Q485" s="21">
        <f t="shared" si="94"/>
        <v>1</v>
      </c>
      <c r="R485" s="21">
        <f t="shared" si="95"/>
        <v>0</v>
      </c>
      <c r="S485" s="302">
        <f t="shared" si="86"/>
        <v>0</v>
      </c>
    </row>
    <row r="486" spans="1:19">
      <c r="A486" s="136"/>
      <c r="B486" s="52"/>
      <c r="C486" s="21">
        <f t="shared" si="87"/>
        <v>1</v>
      </c>
      <c r="D486" s="628"/>
      <c r="E486" s="21">
        <f t="shared" si="88"/>
        <v>1</v>
      </c>
      <c r="F486" s="628"/>
      <c r="G486" s="21">
        <f t="shared" si="89"/>
        <v>1</v>
      </c>
      <c r="H486" s="628"/>
      <c r="I486" s="21">
        <f t="shared" si="90"/>
        <v>1</v>
      </c>
      <c r="J486" s="628"/>
      <c r="K486" s="21">
        <f t="shared" si="91"/>
        <v>1</v>
      </c>
      <c r="L486" s="628"/>
      <c r="M486" s="21">
        <f t="shared" si="92"/>
        <v>1</v>
      </c>
      <c r="N486" s="628"/>
      <c r="O486" s="21">
        <f t="shared" si="93"/>
        <v>1</v>
      </c>
      <c r="P486" s="628"/>
      <c r="Q486" s="21">
        <f t="shared" si="94"/>
        <v>1</v>
      </c>
      <c r="R486" s="21">
        <f t="shared" si="95"/>
        <v>0</v>
      </c>
      <c r="S486" s="302">
        <f t="shared" si="86"/>
        <v>0</v>
      </c>
    </row>
    <row r="487" spans="1:19">
      <c r="A487" s="136"/>
      <c r="B487" s="52"/>
      <c r="C487" s="21">
        <f t="shared" si="87"/>
        <v>1</v>
      </c>
      <c r="D487" s="628"/>
      <c r="E487" s="21">
        <f t="shared" si="88"/>
        <v>1</v>
      </c>
      <c r="F487" s="628"/>
      <c r="G487" s="21">
        <f t="shared" si="89"/>
        <v>1</v>
      </c>
      <c r="H487" s="628"/>
      <c r="I487" s="21">
        <f t="shared" si="90"/>
        <v>1</v>
      </c>
      <c r="J487" s="628"/>
      <c r="K487" s="21">
        <f t="shared" si="91"/>
        <v>1</v>
      </c>
      <c r="L487" s="628"/>
      <c r="M487" s="21">
        <f t="shared" si="92"/>
        <v>1</v>
      </c>
      <c r="N487" s="628"/>
      <c r="O487" s="21">
        <f t="shared" si="93"/>
        <v>1</v>
      </c>
      <c r="P487" s="628"/>
      <c r="Q487" s="21">
        <f t="shared" si="94"/>
        <v>1</v>
      </c>
      <c r="R487" s="21">
        <f t="shared" si="95"/>
        <v>0</v>
      </c>
      <c r="S487" s="302">
        <f t="shared" si="86"/>
        <v>0</v>
      </c>
    </row>
    <row r="488" spans="1:19">
      <c r="A488" s="136"/>
      <c r="B488" s="52"/>
      <c r="C488" s="21">
        <f t="shared" si="87"/>
        <v>1</v>
      </c>
      <c r="D488" s="628"/>
      <c r="E488" s="21">
        <f t="shared" si="88"/>
        <v>1</v>
      </c>
      <c r="F488" s="628"/>
      <c r="G488" s="21">
        <f t="shared" si="89"/>
        <v>1</v>
      </c>
      <c r="H488" s="628"/>
      <c r="I488" s="21">
        <f t="shared" si="90"/>
        <v>1</v>
      </c>
      <c r="J488" s="628"/>
      <c r="K488" s="21">
        <f t="shared" si="91"/>
        <v>1</v>
      </c>
      <c r="L488" s="628"/>
      <c r="M488" s="21">
        <f t="shared" si="92"/>
        <v>1</v>
      </c>
      <c r="N488" s="628"/>
      <c r="O488" s="21">
        <f t="shared" si="93"/>
        <v>1</v>
      </c>
      <c r="P488" s="628"/>
      <c r="Q488" s="21">
        <f t="shared" si="94"/>
        <v>1</v>
      </c>
      <c r="R488" s="21">
        <f t="shared" si="95"/>
        <v>0</v>
      </c>
      <c r="S488" s="302">
        <f t="shared" si="86"/>
        <v>0</v>
      </c>
    </row>
    <row r="489" spans="1:19">
      <c r="A489" s="136"/>
      <c r="B489" s="52"/>
      <c r="C489" s="21">
        <f t="shared" si="87"/>
        <v>1</v>
      </c>
      <c r="D489" s="628"/>
      <c r="E489" s="21">
        <f t="shared" si="88"/>
        <v>1</v>
      </c>
      <c r="F489" s="628"/>
      <c r="G489" s="21">
        <f t="shared" si="89"/>
        <v>1</v>
      </c>
      <c r="H489" s="628"/>
      <c r="I489" s="21">
        <f t="shared" si="90"/>
        <v>1</v>
      </c>
      <c r="J489" s="628"/>
      <c r="K489" s="21">
        <f t="shared" si="91"/>
        <v>1</v>
      </c>
      <c r="L489" s="628"/>
      <c r="M489" s="21">
        <f t="shared" si="92"/>
        <v>1</v>
      </c>
      <c r="N489" s="628"/>
      <c r="O489" s="21">
        <f t="shared" si="93"/>
        <v>1</v>
      </c>
      <c r="P489" s="628"/>
      <c r="Q489" s="21">
        <f t="shared" si="94"/>
        <v>1</v>
      </c>
      <c r="R489" s="21">
        <f t="shared" si="95"/>
        <v>0</v>
      </c>
      <c r="S489" s="302">
        <f t="shared" si="86"/>
        <v>0</v>
      </c>
    </row>
    <row r="490" spans="1:19">
      <c r="A490" s="136"/>
      <c r="B490" s="52"/>
      <c r="C490" s="21">
        <f t="shared" si="87"/>
        <v>1</v>
      </c>
      <c r="D490" s="628"/>
      <c r="E490" s="21">
        <f t="shared" si="88"/>
        <v>1</v>
      </c>
      <c r="F490" s="628"/>
      <c r="G490" s="21">
        <f t="shared" si="89"/>
        <v>1</v>
      </c>
      <c r="H490" s="628"/>
      <c r="I490" s="21">
        <f t="shared" si="90"/>
        <v>1</v>
      </c>
      <c r="J490" s="628"/>
      <c r="K490" s="21">
        <f t="shared" si="91"/>
        <v>1</v>
      </c>
      <c r="L490" s="628"/>
      <c r="M490" s="21">
        <f t="shared" si="92"/>
        <v>1</v>
      </c>
      <c r="N490" s="628"/>
      <c r="O490" s="21">
        <f t="shared" si="93"/>
        <v>1</v>
      </c>
      <c r="P490" s="628"/>
      <c r="Q490" s="21">
        <f t="shared" si="94"/>
        <v>1</v>
      </c>
      <c r="R490" s="21">
        <f t="shared" si="95"/>
        <v>0</v>
      </c>
      <c r="S490" s="302">
        <f t="shared" si="86"/>
        <v>0</v>
      </c>
    </row>
    <row r="491" spans="1:19">
      <c r="A491" s="136"/>
      <c r="B491" s="52"/>
      <c r="C491" s="21">
        <f t="shared" si="87"/>
        <v>1</v>
      </c>
      <c r="D491" s="628"/>
      <c r="E491" s="21">
        <f t="shared" si="88"/>
        <v>1</v>
      </c>
      <c r="F491" s="628"/>
      <c r="G491" s="21">
        <f t="shared" si="89"/>
        <v>1</v>
      </c>
      <c r="H491" s="628"/>
      <c r="I491" s="21">
        <f t="shared" si="90"/>
        <v>1</v>
      </c>
      <c r="J491" s="628"/>
      <c r="K491" s="21">
        <f t="shared" si="91"/>
        <v>1</v>
      </c>
      <c r="L491" s="628"/>
      <c r="M491" s="21">
        <f t="shared" si="92"/>
        <v>1</v>
      </c>
      <c r="N491" s="628"/>
      <c r="O491" s="21">
        <f t="shared" si="93"/>
        <v>1</v>
      </c>
      <c r="P491" s="628"/>
      <c r="Q491" s="21">
        <f t="shared" si="94"/>
        <v>1</v>
      </c>
      <c r="R491" s="21">
        <f t="shared" si="95"/>
        <v>0</v>
      </c>
      <c r="S491" s="302">
        <f t="shared" si="86"/>
        <v>0</v>
      </c>
    </row>
    <row r="492" spans="1:19">
      <c r="A492" s="136"/>
      <c r="B492" s="52"/>
      <c r="C492" s="21">
        <f t="shared" si="87"/>
        <v>1</v>
      </c>
      <c r="D492" s="628"/>
      <c r="E492" s="21">
        <f t="shared" si="88"/>
        <v>1</v>
      </c>
      <c r="F492" s="628"/>
      <c r="G492" s="21">
        <f t="shared" si="89"/>
        <v>1</v>
      </c>
      <c r="H492" s="628"/>
      <c r="I492" s="21">
        <f t="shared" si="90"/>
        <v>1</v>
      </c>
      <c r="J492" s="628"/>
      <c r="K492" s="21">
        <f t="shared" si="91"/>
        <v>1</v>
      </c>
      <c r="L492" s="628"/>
      <c r="M492" s="21">
        <f t="shared" si="92"/>
        <v>1</v>
      </c>
      <c r="N492" s="628"/>
      <c r="O492" s="21">
        <f t="shared" si="93"/>
        <v>1</v>
      </c>
      <c r="P492" s="628"/>
      <c r="Q492" s="21">
        <f t="shared" si="94"/>
        <v>1</v>
      </c>
      <c r="R492" s="21">
        <f t="shared" si="95"/>
        <v>0</v>
      </c>
      <c r="S492" s="302">
        <f t="shared" si="86"/>
        <v>0</v>
      </c>
    </row>
    <row r="493" spans="1:19">
      <c r="A493" s="136"/>
      <c r="B493" s="52"/>
      <c r="C493" s="21">
        <f t="shared" si="87"/>
        <v>1</v>
      </c>
      <c r="D493" s="628"/>
      <c r="E493" s="21">
        <f t="shared" si="88"/>
        <v>1</v>
      </c>
      <c r="F493" s="628"/>
      <c r="G493" s="21">
        <f t="shared" si="89"/>
        <v>1</v>
      </c>
      <c r="H493" s="628"/>
      <c r="I493" s="21">
        <f t="shared" si="90"/>
        <v>1</v>
      </c>
      <c r="J493" s="628"/>
      <c r="K493" s="21">
        <f t="shared" si="91"/>
        <v>1</v>
      </c>
      <c r="L493" s="628"/>
      <c r="M493" s="21">
        <f t="shared" si="92"/>
        <v>1</v>
      </c>
      <c r="N493" s="628"/>
      <c r="O493" s="21">
        <f t="shared" si="93"/>
        <v>1</v>
      </c>
      <c r="P493" s="628"/>
      <c r="Q493" s="21">
        <f t="shared" si="94"/>
        <v>1</v>
      </c>
      <c r="R493" s="21">
        <f t="shared" si="95"/>
        <v>0</v>
      </c>
      <c r="S493" s="302">
        <f t="shared" si="86"/>
        <v>0</v>
      </c>
    </row>
    <row r="494" spans="1:19">
      <c r="A494" s="136"/>
      <c r="B494" s="52"/>
      <c r="C494" s="21">
        <f t="shared" si="87"/>
        <v>1</v>
      </c>
      <c r="D494" s="628"/>
      <c r="E494" s="21">
        <f t="shared" si="88"/>
        <v>1</v>
      </c>
      <c r="F494" s="628"/>
      <c r="G494" s="21">
        <f t="shared" si="89"/>
        <v>1</v>
      </c>
      <c r="H494" s="628"/>
      <c r="I494" s="21">
        <f t="shared" si="90"/>
        <v>1</v>
      </c>
      <c r="J494" s="628"/>
      <c r="K494" s="21">
        <f t="shared" si="91"/>
        <v>1</v>
      </c>
      <c r="L494" s="628"/>
      <c r="M494" s="21">
        <f t="shared" si="92"/>
        <v>1</v>
      </c>
      <c r="N494" s="628"/>
      <c r="O494" s="21">
        <f t="shared" si="93"/>
        <v>1</v>
      </c>
      <c r="P494" s="628"/>
      <c r="Q494" s="21">
        <f t="shared" si="94"/>
        <v>1</v>
      </c>
      <c r="R494" s="21">
        <f t="shared" si="95"/>
        <v>0</v>
      </c>
      <c r="S494" s="302">
        <f t="shared" si="86"/>
        <v>0</v>
      </c>
    </row>
    <row r="495" spans="1:19">
      <c r="A495" s="136"/>
      <c r="B495" s="52"/>
      <c r="C495" s="21">
        <f t="shared" si="87"/>
        <v>1</v>
      </c>
      <c r="D495" s="628"/>
      <c r="E495" s="21">
        <f t="shared" si="88"/>
        <v>1</v>
      </c>
      <c r="F495" s="628"/>
      <c r="G495" s="21">
        <f t="shared" si="89"/>
        <v>1</v>
      </c>
      <c r="H495" s="628"/>
      <c r="I495" s="21">
        <f t="shared" si="90"/>
        <v>1</v>
      </c>
      <c r="J495" s="628"/>
      <c r="K495" s="21">
        <f t="shared" si="91"/>
        <v>1</v>
      </c>
      <c r="L495" s="628"/>
      <c r="M495" s="21">
        <f t="shared" si="92"/>
        <v>1</v>
      </c>
      <c r="N495" s="628"/>
      <c r="O495" s="21">
        <f t="shared" si="93"/>
        <v>1</v>
      </c>
      <c r="P495" s="628"/>
      <c r="Q495" s="21">
        <f t="shared" si="94"/>
        <v>1</v>
      </c>
      <c r="R495" s="21">
        <f t="shared" si="95"/>
        <v>0</v>
      </c>
      <c r="S495" s="302">
        <f t="shared" si="86"/>
        <v>0</v>
      </c>
    </row>
    <row r="496" spans="1:19">
      <c r="A496" s="136"/>
      <c r="B496" s="52"/>
      <c r="C496" s="21">
        <f t="shared" si="87"/>
        <v>1</v>
      </c>
      <c r="D496" s="628"/>
      <c r="E496" s="21">
        <f t="shared" si="88"/>
        <v>1</v>
      </c>
      <c r="F496" s="628"/>
      <c r="G496" s="21">
        <f t="shared" si="89"/>
        <v>1</v>
      </c>
      <c r="H496" s="628"/>
      <c r="I496" s="21">
        <f t="shared" si="90"/>
        <v>1</v>
      </c>
      <c r="J496" s="628"/>
      <c r="K496" s="21">
        <f t="shared" si="91"/>
        <v>1</v>
      </c>
      <c r="L496" s="628"/>
      <c r="M496" s="21">
        <f t="shared" si="92"/>
        <v>1</v>
      </c>
      <c r="N496" s="628"/>
      <c r="O496" s="21">
        <f t="shared" si="93"/>
        <v>1</v>
      </c>
      <c r="P496" s="628"/>
      <c r="Q496" s="21">
        <f t="shared" si="94"/>
        <v>1</v>
      </c>
      <c r="R496" s="21">
        <f t="shared" si="95"/>
        <v>0</v>
      </c>
      <c r="S496" s="302">
        <f t="shared" si="86"/>
        <v>0</v>
      </c>
    </row>
    <row r="497" spans="1:19">
      <c r="A497" s="136"/>
      <c r="B497" s="52"/>
      <c r="C497" s="21">
        <f t="shared" si="87"/>
        <v>1</v>
      </c>
      <c r="D497" s="628"/>
      <c r="E497" s="21">
        <f t="shared" si="88"/>
        <v>1</v>
      </c>
      <c r="F497" s="628"/>
      <c r="G497" s="21">
        <f t="shared" si="89"/>
        <v>1</v>
      </c>
      <c r="H497" s="628"/>
      <c r="I497" s="21">
        <f t="shared" si="90"/>
        <v>1</v>
      </c>
      <c r="J497" s="628"/>
      <c r="K497" s="21">
        <f t="shared" si="91"/>
        <v>1</v>
      </c>
      <c r="L497" s="628"/>
      <c r="M497" s="21">
        <f t="shared" si="92"/>
        <v>1</v>
      </c>
      <c r="N497" s="628"/>
      <c r="O497" s="21">
        <f t="shared" si="93"/>
        <v>1</v>
      </c>
      <c r="P497" s="628"/>
      <c r="Q497" s="21">
        <f t="shared" si="94"/>
        <v>1</v>
      </c>
      <c r="R497" s="21">
        <f t="shared" si="95"/>
        <v>0</v>
      </c>
      <c r="S497" s="302">
        <f t="shared" si="86"/>
        <v>0</v>
      </c>
    </row>
    <row r="498" spans="1:19">
      <c r="A498" s="136"/>
      <c r="B498" s="52"/>
      <c r="C498" s="21">
        <f t="shared" si="87"/>
        <v>1</v>
      </c>
      <c r="D498" s="628"/>
      <c r="E498" s="21">
        <f t="shared" si="88"/>
        <v>1</v>
      </c>
      <c r="F498" s="628"/>
      <c r="G498" s="21">
        <f t="shared" si="89"/>
        <v>1</v>
      </c>
      <c r="H498" s="628"/>
      <c r="I498" s="21">
        <f t="shared" si="90"/>
        <v>1</v>
      </c>
      <c r="J498" s="628"/>
      <c r="K498" s="21">
        <f t="shared" si="91"/>
        <v>1</v>
      </c>
      <c r="L498" s="628"/>
      <c r="M498" s="21">
        <f t="shared" si="92"/>
        <v>1</v>
      </c>
      <c r="N498" s="628"/>
      <c r="O498" s="21">
        <f t="shared" si="93"/>
        <v>1</v>
      </c>
      <c r="P498" s="628"/>
      <c r="Q498" s="21">
        <f t="shared" si="94"/>
        <v>1</v>
      </c>
      <c r="R498" s="21">
        <f t="shared" si="95"/>
        <v>0</v>
      </c>
      <c r="S498" s="302">
        <f t="shared" ref="S498:S524" si="96">ROUND(R498*B498/10000,0)</f>
        <v>0</v>
      </c>
    </row>
    <row r="499" spans="1:19">
      <c r="A499" s="136"/>
      <c r="B499" s="52"/>
      <c r="C499" s="21">
        <f t="shared" si="87"/>
        <v>1</v>
      </c>
      <c r="D499" s="628"/>
      <c r="E499" s="21">
        <f t="shared" si="88"/>
        <v>1</v>
      </c>
      <c r="F499" s="628"/>
      <c r="G499" s="21">
        <f t="shared" si="89"/>
        <v>1</v>
      </c>
      <c r="H499" s="628"/>
      <c r="I499" s="21">
        <f t="shared" si="90"/>
        <v>1</v>
      </c>
      <c r="J499" s="628"/>
      <c r="K499" s="21">
        <f t="shared" si="91"/>
        <v>1</v>
      </c>
      <c r="L499" s="628"/>
      <c r="M499" s="21">
        <f t="shared" si="92"/>
        <v>1</v>
      </c>
      <c r="N499" s="628"/>
      <c r="O499" s="21">
        <f t="shared" si="93"/>
        <v>1</v>
      </c>
      <c r="P499" s="628"/>
      <c r="Q499" s="21">
        <f t="shared" si="94"/>
        <v>1</v>
      </c>
      <c r="R499" s="21">
        <f t="shared" si="95"/>
        <v>0</v>
      </c>
      <c r="S499" s="302">
        <f t="shared" si="96"/>
        <v>0</v>
      </c>
    </row>
    <row r="500" spans="1:19">
      <c r="A500" s="136"/>
      <c r="B500" s="52"/>
      <c r="C500" s="21">
        <f t="shared" si="87"/>
        <v>1</v>
      </c>
      <c r="D500" s="628"/>
      <c r="E500" s="21">
        <f t="shared" si="88"/>
        <v>1</v>
      </c>
      <c r="F500" s="628"/>
      <c r="G500" s="21">
        <f t="shared" si="89"/>
        <v>1</v>
      </c>
      <c r="H500" s="628"/>
      <c r="I500" s="21">
        <f t="shared" si="90"/>
        <v>1</v>
      </c>
      <c r="J500" s="628"/>
      <c r="K500" s="21">
        <f t="shared" si="91"/>
        <v>1</v>
      </c>
      <c r="L500" s="628"/>
      <c r="M500" s="21">
        <f t="shared" si="92"/>
        <v>1</v>
      </c>
      <c r="N500" s="628"/>
      <c r="O500" s="21">
        <f t="shared" si="93"/>
        <v>1</v>
      </c>
      <c r="P500" s="628"/>
      <c r="Q500" s="21">
        <f t="shared" si="94"/>
        <v>1</v>
      </c>
      <c r="R500" s="21">
        <f t="shared" si="95"/>
        <v>0</v>
      </c>
      <c r="S500" s="302">
        <f t="shared" si="96"/>
        <v>0</v>
      </c>
    </row>
    <row r="501" spans="1:19">
      <c r="A501" s="136"/>
      <c r="B501" s="52"/>
      <c r="C501" s="21">
        <f t="shared" si="87"/>
        <v>1</v>
      </c>
      <c r="D501" s="628"/>
      <c r="E501" s="21">
        <f t="shared" si="88"/>
        <v>1</v>
      </c>
      <c r="F501" s="628"/>
      <c r="G501" s="21">
        <f t="shared" si="89"/>
        <v>1</v>
      </c>
      <c r="H501" s="628"/>
      <c r="I501" s="21">
        <f t="shared" si="90"/>
        <v>1</v>
      </c>
      <c r="J501" s="628"/>
      <c r="K501" s="21">
        <f t="shared" si="91"/>
        <v>1</v>
      </c>
      <c r="L501" s="628"/>
      <c r="M501" s="21">
        <f t="shared" si="92"/>
        <v>1</v>
      </c>
      <c r="N501" s="628"/>
      <c r="O501" s="21">
        <f t="shared" si="93"/>
        <v>1</v>
      </c>
      <c r="P501" s="628"/>
      <c r="Q501" s="21">
        <f t="shared" si="94"/>
        <v>1</v>
      </c>
      <c r="R501" s="21">
        <f t="shared" si="95"/>
        <v>0</v>
      </c>
      <c r="S501" s="302">
        <f t="shared" si="96"/>
        <v>0</v>
      </c>
    </row>
    <row r="502" spans="1:19">
      <c r="A502" s="136"/>
      <c r="B502" s="52"/>
      <c r="C502" s="21">
        <f t="shared" si="87"/>
        <v>1</v>
      </c>
      <c r="D502" s="628"/>
      <c r="E502" s="21">
        <f t="shared" si="88"/>
        <v>1</v>
      </c>
      <c r="F502" s="628"/>
      <c r="G502" s="21">
        <f t="shared" si="89"/>
        <v>1</v>
      </c>
      <c r="H502" s="628"/>
      <c r="I502" s="21">
        <f t="shared" si="90"/>
        <v>1</v>
      </c>
      <c r="J502" s="628"/>
      <c r="K502" s="21">
        <f t="shared" si="91"/>
        <v>1</v>
      </c>
      <c r="L502" s="628"/>
      <c r="M502" s="21">
        <f t="shared" si="92"/>
        <v>1</v>
      </c>
      <c r="N502" s="628"/>
      <c r="O502" s="21">
        <f t="shared" si="93"/>
        <v>1</v>
      </c>
      <c r="P502" s="628"/>
      <c r="Q502" s="21">
        <f t="shared" si="94"/>
        <v>1</v>
      </c>
      <c r="R502" s="21">
        <f t="shared" si="95"/>
        <v>0</v>
      </c>
      <c r="S502" s="302">
        <f t="shared" si="96"/>
        <v>0</v>
      </c>
    </row>
    <row r="503" spans="1:19">
      <c r="A503" s="136"/>
      <c r="B503" s="52"/>
      <c r="C503" s="21">
        <f t="shared" si="87"/>
        <v>1</v>
      </c>
      <c r="D503" s="628"/>
      <c r="E503" s="21">
        <f t="shared" si="88"/>
        <v>1</v>
      </c>
      <c r="F503" s="628"/>
      <c r="G503" s="21">
        <f t="shared" si="89"/>
        <v>1</v>
      </c>
      <c r="H503" s="628"/>
      <c r="I503" s="21">
        <f t="shared" si="90"/>
        <v>1</v>
      </c>
      <c r="J503" s="628"/>
      <c r="K503" s="21">
        <f t="shared" si="91"/>
        <v>1</v>
      </c>
      <c r="L503" s="628"/>
      <c r="M503" s="21">
        <f t="shared" si="92"/>
        <v>1</v>
      </c>
      <c r="N503" s="628"/>
      <c r="O503" s="21">
        <f t="shared" si="93"/>
        <v>1</v>
      </c>
      <c r="P503" s="628"/>
      <c r="Q503" s="21">
        <f t="shared" si="94"/>
        <v>1</v>
      </c>
      <c r="R503" s="21">
        <f t="shared" si="95"/>
        <v>0</v>
      </c>
      <c r="S503" s="302">
        <f t="shared" si="96"/>
        <v>0</v>
      </c>
    </row>
    <row r="504" spans="1:19">
      <c r="A504" s="136"/>
      <c r="B504" s="52"/>
      <c r="C504" s="21">
        <f t="shared" si="87"/>
        <v>1</v>
      </c>
      <c r="D504" s="628"/>
      <c r="E504" s="21">
        <f t="shared" si="88"/>
        <v>1</v>
      </c>
      <c r="F504" s="628"/>
      <c r="G504" s="21">
        <f t="shared" si="89"/>
        <v>1</v>
      </c>
      <c r="H504" s="628"/>
      <c r="I504" s="21">
        <f t="shared" si="90"/>
        <v>1</v>
      </c>
      <c r="J504" s="628"/>
      <c r="K504" s="21">
        <f t="shared" si="91"/>
        <v>1</v>
      </c>
      <c r="L504" s="628"/>
      <c r="M504" s="21">
        <f t="shared" si="92"/>
        <v>1</v>
      </c>
      <c r="N504" s="628"/>
      <c r="O504" s="21">
        <f t="shared" si="93"/>
        <v>1</v>
      </c>
      <c r="P504" s="628"/>
      <c r="Q504" s="21">
        <f t="shared" si="94"/>
        <v>1</v>
      </c>
      <c r="R504" s="21">
        <f t="shared" si="95"/>
        <v>0</v>
      </c>
      <c r="S504" s="302">
        <f t="shared" si="96"/>
        <v>0</v>
      </c>
    </row>
    <row r="505" spans="1:19">
      <c r="A505" s="136"/>
      <c r="B505" s="52"/>
      <c r="C505" s="21">
        <f t="shared" si="87"/>
        <v>1</v>
      </c>
      <c r="D505" s="628"/>
      <c r="E505" s="21">
        <f t="shared" si="88"/>
        <v>1</v>
      </c>
      <c r="F505" s="628"/>
      <c r="G505" s="21">
        <f t="shared" si="89"/>
        <v>1</v>
      </c>
      <c r="H505" s="628"/>
      <c r="I505" s="21">
        <f t="shared" si="90"/>
        <v>1</v>
      </c>
      <c r="J505" s="628"/>
      <c r="K505" s="21">
        <f t="shared" si="91"/>
        <v>1</v>
      </c>
      <c r="L505" s="628"/>
      <c r="M505" s="21">
        <f t="shared" si="92"/>
        <v>1</v>
      </c>
      <c r="N505" s="628"/>
      <c r="O505" s="21">
        <f t="shared" si="93"/>
        <v>1</v>
      </c>
      <c r="P505" s="628"/>
      <c r="Q505" s="21">
        <f t="shared" si="94"/>
        <v>1</v>
      </c>
      <c r="R505" s="21">
        <f t="shared" si="95"/>
        <v>0</v>
      </c>
      <c r="S505" s="302">
        <f t="shared" si="96"/>
        <v>0</v>
      </c>
    </row>
    <row r="506" spans="1:19">
      <c r="A506" s="136"/>
      <c r="B506" s="52"/>
      <c r="C506" s="21">
        <f t="shared" si="87"/>
        <v>1</v>
      </c>
      <c r="D506" s="628"/>
      <c r="E506" s="21">
        <f t="shared" si="88"/>
        <v>1</v>
      </c>
      <c r="F506" s="628"/>
      <c r="G506" s="21">
        <f t="shared" si="89"/>
        <v>1</v>
      </c>
      <c r="H506" s="628"/>
      <c r="I506" s="21">
        <f t="shared" si="90"/>
        <v>1</v>
      </c>
      <c r="J506" s="628"/>
      <c r="K506" s="21">
        <f t="shared" si="91"/>
        <v>1</v>
      </c>
      <c r="L506" s="628"/>
      <c r="M506" s="21">
        <f t="shared" si="92"/>
        <v>1</v>
      </c>
      <c r="N506" s="628"/>
      <c r="O506" s="21">
        <f t="shared" si="93"/>
        <v>1</v>
      </c>
      <c r="P506" s="628"/>
      <c r="Q506" s="21">
        <f t="shared" si="94"/>
        <v>1</v>
      </c>
      <c r="R506" s="21">
        <f t="shared" si="95"/>
        <v>0</v>
      </c>
      <c r="S506" s="302">
        <f t="shared" si="96"/>
        <v>0</v>
      </c>
    </row>
    <row r="507" spans="1:19">
      <c r="A507" s="136"/>
      <c r="B507" s="52"/>
      <c r="C507" s="21">
        <f t="shared" si="87"/>
        <v>1</v>
      </c>
      <c r="D507" s="628"/>
      <c r="E507" s="21">
        <f t="shared" si="88"/>
        <v>1</v>
      </c>
      <c r="F507" s="628"/>
      <c r="G507" s="21">
        <f t="shared" si="89"/>
        <v>1</v>
      </c>
      <c r="H507" s="628"/>
      <c r="I507" s="21">
        <f t="shared" si="90"/>
        <v>1</v>
      </c>
      <c r="J507" s="628"/>
      <c r="K507" s="21">
        <f t="shared" si="91"/>
        <v>1</v>
      </c>
      <c r="L507" s="628"/>
      <c r="M507" s="21">
        <f t="shared" si="92"/>
        <v>1</v>
      </c>
      <c r="N507" s="628"/>
      <c r="O507" s="21">
        <f t="shared" si="93"/>
        <v>1</v>
      </c>
      <c r="P507" s="628"/>
      <c r="Q507" s="21">
        <f t="shared" si="94"/>
        <v>1</v>
      </c>
      <c r="R507" s="21">
        <f t="shared" si="95"/>
        <v>0</v>
      </c>
      <c r="S507" s="302">
        <f t="shared" si="96"/>
        <v>0</v>
      </c>
    </row>
    <row r="508" spans="1:19">
      <c r="A508" s="136"/>
      <c r="B508" s="52"/>
      <c r="C508" s="21">
        <f t="shared" si="87"/>
        <v>1</v>
      </c>
      <c r="D508" s="628"/>
      <c r="E508" s="21">
        <f t="shared" si="88"/>
        <v>1</v>
      </c>
      <c r="F508" s="628"/>
      <c r="G508" s="21">
        <f t="shared" si="89"/>
        <v>1</v>
      </c>
      <c r="H508" s="628"/>
      <c r="I508" s="21">
        <f t="shared" si="90"/>
        <v>1</v>
      </c>
      <c r="J508" s="628"/>
      <c r="K508" s="21">
        <f t="shared" si="91"/>
        <v>1</v>
      </c>
      <c r="L508" s="628"/>
      <c r="M508" s="21">
        <f t="shared" si="92"/>
        <v>1</v>
      </c>
      <c r="N508" s="628"/>
      <c r="O508" s="21">
        <f t="shared" si="93"/>
        <v>1</v>
      </c>
      <c r="P508" s="628"/>
      <c r="Q508" s="21">
        <f t="shared" si="94"/>
        <v>1</v>
      </c>
      <c r="R508" s="21">
        <f t="shared" si="95"/>
        <v>0</v>
      </c>
      <c r="S508" s="302">
        <f t="shared" si="96"/>
        <v>0</v>
      </c>
    </row>
    <row r="509" spans="1:19">
      <c r="A509" s="136"/>
      <c r="B509" s="52"/>
      <c r="C509" s="21">
        <f t="shared" si="87"/>
        <v>1</v>
      </c>
      <c r="D509" s="628"/>
      <c r="E509" s="21">
        <f t="shared" si="88"/>
        <v>1</v>
      </c>
      <c r="F509" s="628"/>
      <c r="G509" s="21">
        <f t="shared" si="89"/>
        <v>1</v>
      </c>
      <c r="H509" s="628"/>
      <c r="I509" s="21">
        <f t="shared" si="90"/>
        <v>1</v>
      </c>
      <c r="J509" s="628"/>
      <c r="K509" s="21">
        <f t="shared" si="91"/>
        <v>1</v>
      </c>
      <c r="L509" s="628"/>
      <c r="M509" s="21">
        <f t="shared" si="92"/>
        <v>1</v>
      </c>
      <c r="N509" s="628"/>
      <c r="O509" s="21">
        <f t="shared" si="93"/>
        <v>1</v>
      </c>
      <c r="P509" s="628"/>
      <c r="Q509" s="21">
        <f t="shared" si="94"/>
        <v>1</v>
      </c>
      <c r="R509" s="21">
        <f t="shared" si="95"/>
        <v>0</v>
      </c>
      <c r="S509" s="302">
        <f t="shared" si="96"/>
        <v>0</v>
      </c>
    </row>
    <row r="510" spans="1:19">
      <c r="A510" s="136"/>
      <c r="B510" s="52"/>
      <c r="C510" s="21">
        <f t="shared" si="87"/>
        <v>1</v>
      </c>
      <c r="D510" s="628"/>
      <c r="E510" s="21">
        <f t="shared" si="88"/>
        <v>1</v>
      </c>
      <c r="F510" s="628"/>
      <c r="G510" s="21">
        <f t="shared" si="89"/>
        <v>1</v>
      </c>
      <c r="H510" s="628"/>
      <c r="I510" s="21">
        <f t="shared" si="90"/>
        <v>1</v>
      </c>
      <c r="J510" s="628"/>
      <c r="K510" s="21">
        <f t="shared" si="91"/>
        <v>1</v>
      </c>
      <c r="L510" s="628"/>
      <c r="M510" s="21">
        <f t="shared" si="92"/>
        <v>1</v>
      </c>
      <c r="N510" s="628"/>
      <c r="O510" s="21">
        <f t="shared" si="93"/>
        <v>1</v>
      </c>
      <c r="P510" s="628"/>
      <c r="Q510" s="21">
        <f t="shared" si="94"/>
        <v>1</v>
      </c>
      <c r="R510" s="21">
        <f t="shared" si="95"/>
        <v>0</v>
      </c>
      <c r="S510" s="302">
        <f t="shared" si="96"/>
        <v>0</v>
      </c>
    </row>
    <row r="511" spans="1:19">
      <c r="A511" s="136"/>
      <c r="B511" s="52"/>
      <c r="C511" s="21">
        <f t="shared" si="87"/>
        <v>1</v>
      </c>
      <c r="D511" s="628"/>
      <c r="E511" s="21">
        <f t="shared" si="88"/>
        <v>1</v>
      </c>
      <c r="F511" s="628"/>
      <c r="G511" s="21">
        <f t="shared" si="89"/>
        <v>1</v>
      </c>
      <c r="H511" s="628"/>
      <c r="I511" s="21">
        <f t="shared" si="90"/>
        <v>1</v>
      </c>
      <c r="J511" s="628"/>
      <c r="K511" s="21">
        <f t="shared" si="91"/>
        <v>1</v>
      </c>
      <c r="L511" s="628"/>
      <c r="M511" s="21">
        <f t="shared" si="92"/>
        <v>1</v>
      </c>
      <c r="N511" s="628"/>
      <c r="O511" s="21">
        <f t="shared" si="93"/>
        <v>1</v>
      </c>
      <c r="P511" s="628"/>
      <c r="Q511" s="21">
        <f t="shared" si="94"/>
        <v>1</v>
      </c>
      <c r="R511" s="21">
        <f t="shared" si="95"/>
        <v>0</v>
      </c>
      <c r="S511" s="302">
        <f t="shared" si="96"/>
        <v>0</v>
      </c>
    </row>
    <row r="512" spans="1:19">
      <c r="A512" s="136"/>
      <c r="B512" s="52"/>
      <c r="C512" s="21">
        <f t="shared" si="87"/>
        <v>1</v>
      </c>
      <c r="D512" s="628"/>
      <c r="E512" s="21">
        <f t="shared" si="88"/>
        <v>1</v>
      </c>
      <c r="F512" s="628"/>
      <c r="G512" s="21">
        <f t="shared" si="89"/>
        <v>1</v>
      </c>
      <c r="H512" s="628"/>
      <c r="I512" s="21">
        <f t="shared" si="90"/>
        <v>1</v>
      </c>
      <c r="J512" s="628"/>
      <c r="K512" s="21">
        <f t="shared" si="91"/>
        <v>1</v>
      </c>
      <c r="L512" s="628"/>
      <c r="M512" s="21">
        <f t="shared" si="92"/>
        <v>1</v>
      </c>
      <c r="N512" s="628"/>
      <c r="O512" s="21">
        <f t="shared" si="93"/>
        <v>1</v>
      </c>
      <c r="P512" s="628"/>
      <c r="Q512" s="21">
        <f t="shared" si="94"/>
        <v>1</v>
      </c>
      <c r="R512" s="21">
        <f t="shared" si="95"/>
        <v>0</v>
      </c>
      <c r="S512" s="302">
        <f t="shared" si="96"/>
        <v>0</v>
      </c>
    </row>
    <row r="513" spans="1:19">
      <c r="A513" s="136"/>
      <c r="B513" s="52"/>
      <c r="C513" s="21">
        <f t="shared" si="87"/>
        <v>1</v>
      </c>
      <c r="D513" s="628"/>
      <c r="E513" s="21">
        <f t="shared" si="88"/>
        <v>1</v>
      </c>
      <c r="F513" s="628"/>
      <c r="G513" s="21">
        <f t="shared" si="89"/>
        <v>1</v>
      </c>
      <c r="H513" s="628"/>
      <c r="I513" s="21">
        <f t="shared" si="90"/>
        <v>1</v>
      </c>
      <c r="J513" s="628"/>
      <c r="K513" s="21">
        <f t="shared" si="91"/>
        <v>1</v>
      </c>
      <c r="L513" s="628"/>
      <c r="M513" s="21">
        <f t="shared" si="92"/>
        <v>1</v>
      </c>
      <c r="N513" s="628"/>
      <c r="O513" s="21">
        <f t="shared" si="93"/>
        <v>1</v>
      </c>
      <c r="P513" s="628"/>
      <c r="Q513" s="21">
        <f t="shared" si="94"/>
        <v>1</v>
      </c>
      <c r="R513" s="21">
        <f t="shared" si="95"/>
        <v>0</v>
      </c>
      <c r="S513" s="302">
        <f t="shared" si="96"/>
        <v>0</v>
      </c>
    </row>
    <row r="514" spans="1:19">
      <c r="A514" s="136"/>
      <c r="B514" s="52"/>
      <c r="C514" s="21">
        <f t="shared" si="87"/>
        <v>1</v>
      </c>
      <c r="D514" s="628"/>
      <c r="E514" s="21">
        <f t="shared" si="88"/>
        <v>1</v>
      </c>
      <c r="F514" s="628"/>
      <c r="G514" s="21">
        <f t="shared" si="89"/>
        <v>1</v>
      </c>
      <c r="H514" s="628"/>
      <c r="I514" s="21">
        <f t="shared" si="90"/>
        <v>1</v>
      </c>
      <c r="J514" s="628"/>
      <c r="K514" s="21">
        <f t="shared" si="91"/>
        <v>1</v>
      </c>
      <c r="L514" s="628"/>
      <c r="M514" s="21">
        <f t="shared" si="92"/>
        <v>1</v>
      </c>
      <c r="N514" s="628"/>
      <c r="O514" s="21">
        <f t="shared" si="93"/>
        <v>1</v>
      </c>
      <c r="P514" s="628"/>
      <c r="Q514" s="21">
        <f t="shared" si="94"/>
        <v>1</v>
      </c>
      <c r="R514" s="21">
        <f t="shared" si="95"/>
        <v>0</v>
      </c>
      <c r="S514" s="302">
        <f t="shared" si="96"/>
        <v>0</v>
      </c>
    </row>
    <row r="515" spans="1:19">
      <c r="A515" s="136"/>
      <c r="B515" s="52"/>
      <c r="C515" s="21">
        <f t="shared" si="87"/>
        <v>1</v>
      </c>
      <c r="D515" s="628"/>
      <c r="E515" s="21">
        <f t="shared" si="88"/>
        <v>1</v>
      </c>
      <c r="F515" s="628"/>
      <c r="G515" s="21">
        <f t="shared" si="89"/>
        <v>1</v>
      </c>
      <c r="H515" s="628"/>
      <c r="I515" s="21">
        <f t="shared" si="90"/>
        <v>1</v>
      </c>
      <c r="J515" s="628"/>
      <c r="K515" s="21">
        <f t="shared" si="91"/>
        <v>1</v>
      </c>
      <c r="L515" s="628"/>
      <c r="M515" s="21">
        <f t="shared" si="92"/>
        <v>1</v>
      </c>
      <c r="N515" s="628"/>
      <c r="O515" s="21">
        <f t="shared" si="93"/>
        <v>1</v>
      </c>
      <c r="P515" s="628"/>
      <c r="Q515" s="21">
        <f t="shared" si="94"/>
        <v>1</v>
      </c>
      <c r="R515" s="21">
        <f t="shared" si="95"/>
        <v>0</v>
      </c>
      <c r="S515" s="302">
        <f t="shared" si="96"/>
        <v>0</v>
      </c>
    </row>
    <row r="516" spans="1:19">
      <c r="A516" s="136"/>
      <c r="B516" s="52"/>
      <c r="C516" s="21">
        <f t="shared" si="87"/>
        <v>1</v>
      </c>
      <c r="D516" s="628"/>
      <c r="E516" s="21">
        <f t="shared" si="88"/>
        <v>1</v>
      </c>
      <c r="F516" s="628"/>
      <c r="G516" s="21">
        <f t="shared" si="89"/>
        <v>1</v>
      </c>
      <c r="H516" s="628"/>
      <c r="I516" s="21">
        <f t="shared" si="90"/>
        <v>1</v>
      </c>
      <c r="J516" s="628"/>
      <c r="K516" s="21">
        <f t="shared" si="91"/>
        <v>1</v>
      </c>
      <c r="L516" s="628"/>
      <c r="M516" s="21">
        <f t="shared" si="92"/>
        <v>1</v>
      </c>
      <c r="N516" s="628"/>
      <c r="O516" s="21">
        <f t="shared" si="93"/>
        <v>1</v>
      </c>
      <c r="P516" s="628"/>
      <c r="Q516" s="21">
        <f t="shared" si="94"/>
        <v>1</v>
      </c>
      <c r="R516" s="21">
        <f t="shared" si="95"/>
        <v>0</v>
      </c>
      <c r="S516" s="302">
        <f t="shared" si="96"/>
        <v>0</v>
      </c>
    </row>
    <row r="517" spans="1:19">
      <c r="A517" s="136"/>
      <c r="B517" s="52"/>
      <c r="C517" s="21">
        <f t="shared" si="87"/>
        <v>1</v>
      </c>
      <c r="D517" s="628"/>
      <c r="E517" s="21">
        <f t="shared" si="88"/>
        <v>1</v>
      </c>
      <c r="F517" s="628"/>
      <c r="G517" s="21">
        <f t="shared" si="89"/>
        <v>1</v>
      </c>
      <c r="H517" s="628"/>
      <c r="I517" s="21">
        <f t="shared" si="90"/>
        <v>1</v>
      </c>
      <c r="J517" s="628"/>
      <c r="K517" s="21">
        <f t="shared" si="91"/>
        <v>1</v>
      </c>
      <c r="L517" s="628"/>
      <c r="M517" s="21">
        <f t="shared" si="92"/>
        <v>1</v>
      </c>
      <c r="N517" s="628"/>
      <c r="O517" s="21">
        <f t="shared" si="93"/>
        <v>1</v>
      </c>
      <c r="P517" s="628"/>
      <c r="Q517" s="21">
        <f t="shared" si="94"/>
        <v>1</v>
      </c>
      <c r="R517" s="21">
        <f t="shared" si="95"/>
        <v>0</v>
      </c>
      <c r="S517" s="302">
        <f t="shared" si="96"/>
        <v>0</v>
      </c>
    </row>
    <row r="518" spans="1:19">
      <c r="A518" s="136"/>
      <c r="B518" s="52"/>
      <c r="C518" s="21">
        <f t="shared" si="87"/>
        <v>1</v>
      </c>
      <c r="D518" s="628"/>
      <c r="E518" s="21">
        <f t="shared" si="88"/>
        <v>1</v>
      </c>
      <c r="F518" s="628"/>
      <c r="G518" s="21">
        <f t="shared" si="89"/>
        <v>1</v>
      </c>
      <c r="H518" s="628"/>
      <c r="I518" s="21">
        <f t="shared" si="90"/>
        <v>1</v>
      </c>
      <c r="J518" s="628"/>
      <c r="K518" s="21">
        <f t="shared" si="91"/>
        <v>1</v>
      </c>
      <c r="L518" s="628"/>
      <c r="M518" s="21">
        <f t="shared" si="92"/>
        <v>1</v>
      </c>
      <c r="N518" s="628"/>
      <c r="O518" s="21">
        <f t="shared" si="93"/>
        <v>1</v>
      </c>
      <c r="P518" s="628"/>
      <c r="Q518" s="21">
        <f t="shared" si="94"/>
        <v>1</v>
      </c>
      <c r="R518" s="21">
        <f t="shared" si="95"/>
        <v>0</v>
      </c>
      <c r="S518" s="302">
        <f t="shared" si="96"/>
        <v>0</v>
      </c>
    </row>
    <row r="519" spans="1:19">
      <c r="A519" s="136"/>
      <c r="B519" s="52"/>
      <c r="C519" s="21">
        <f t="shared" si="87"/>
        <v>1</v>
      </c>
      <c r="D519" s="628"/>
      <c r="E519" s="21">
        <f t="shared" si="88"/>
        <v>1</v>
      </c>
      <c r="F519" s="628"/>
      <c r="G519" s="21">
        <f t="shared" si="89"/>
        <v>1</v>
      </c>
      <c r="H519" s="628"/>
      <c r="I519" s="21">
        <f t="shared" si="90"/>
        <v>1</v>
      </c>
      <c r="J519" s="628"/>
      <c r="K519" s="21">
        <f t="shared" si="91"/>
        <v>1</v>
      </c>
      <c r="L519" s="628"/>
      <c r="M519" s="21">
        <f t="shared" si="92"/>
        <v>1</v>
      </c>
      <c r="N519" s="628"/>
      <c r="O519" s="21">
        <f t="shared" si="93"/>
        <v>1</v>
      </c>
      <c r="P519" s="628"/>
      <c r="Q519" s="21">
        <f t="shared" si="94"/>
        <v>1</v>
      </c>
      <c r="R519" s="21">
        <f t="shared" si="95"/>
        <v>0</v>
      </c>
      <c r="S519" s="302">
        <f t="shared" si="96"/>
        <v>0</v>
      </c>
    </row>
    <row r="520" spans="1:19">
      <c r="A520" s="136"/>
      <c r="B520" s="52"/>
      <c r="C520" s="21">
        <f t="shared" si="87"/>
        <v>1</v>
      </c>
      <c r="D520" s="628"/>
      <c r="E520" s="21">
        <f t="shared" si="88"/>
        <v>1</v>
      </c>
      <c r="F520" s="628"/>
      <c r="G520" s="21">
        <f t="shared" si="89"/>
        <v>1</v>
      </c>
      <c r="H520" s="628"/>
      <c r="I520" s="21">
        <f t="shared" si="90"/>
        <v>1</v>
      </c>
      <c r="J520" s="628"/>
      <c r="K520" s="21">
        <f t="shared" si="91"/>
        <v>1</v>
      </c>
      <c r="L520" s="628"/>
      <c r="M520" s="21">
        <f t="shared" si="92"/>
        <v>1</v>
      </c>
      <c r="N520" s="628"/>
      <c r="O520" s="21">
        <f t="shared" si="93"/>
        <v>1</v>
      </c>
      <c r="P520" s="628"/>
      <c r="Q520" s="21">
        <f t="shared" si="94"/>
        <v>1</v>
      </c>
      <c r="R520" s="21">
        <f t="shared" si="95"/>
        <v>0</v>
      </c>
      <c r="S520" s="302">
        <f t="shared" si="96"/>
        <v>0</v>
      </c>
    </row>
    <row r="521" spans="1:19">
      <c r="A521" s="136"/>
      <c r="B521" s="52"/>
      <c r="C521" s="21">
        <f t="shared" si="87"/>
        <v>1</v>
      </c>
      <c r="D521" s="628"/>
      <c r="E521" s="21">
        <f t="shared" si="88"/>
        <v>1</v>
      </c>
      <c r="F521" s="628"/>
      <c r="G521" s="21">
        <f t="shared" si="89"/>
        <v>1</v>
      </c>
      <c r="H521" s="628"/>
      <c r="I521" s="21">
        <f t="shared" si="90"/>
        <v>1</v>
      </c>
      <c r="J521" s="628"/>
      <c r="K521" s="21">
        <f t="shared" si="91"/>
        <v>1</v>
      </c>
      <c r="L521" s="628"/>
      <c r="M521" s="21">
        <f t="shared" si="92"/>
        <v>1</v>
      </c>
      <c r="N521" s="628"/>
      <c r="O521" s="21">
        <f t="shared" si="93"/>
        <v>1</v>
      </c>
      <c r="P521" s="628"/>
      <c r="Q521" s="21">
        <f t="shared" si="94"/>
        <v>1</v>
      </c>
      <c r="R521" s="21">
        <f t="shared" si="95"/>
        <v>0</v>
      </c>
      <c r="S521" s="302">
        <f t="shared" si="96"/>
        <v>0</v>
      </c>
    </row>
    <row r="522" spans="1:19">
      <c r="A522" s="136"/>
      <c r="B522" s="52"/>
      <c r="C522" s="21">
        <f t="shared" si="87"/>
        <v>1</v>
      </c>
      <c r="D522" s="628"/>
      <c r="E522" s="21">
        <f t="shared" si="88"/>
        <v>1</v>
      </c>
      <c r="F522" s="628"/>
      <c r="G522" s="21">
        <f t="shared" si="89"/>
        <v>1</v>
      </c>
      <c r="H522" s="628"/>
      <c r="I522" s="21">
        <f t="shared" si="90"/>
        <v>1</v>
      </c>
      <c r="J522" s="628"/>
      <c r="K522" s="21">
        <f t="shared" si="91"/>
        <v>1</v>
      </c>
      <c r="L522" s="628"/>
      <c r="M522" s="21">
        <f t="shared" si="92"/>
        <v>1</v>
      </c>
      <c r="N522" s="628"/>
      <c r="O522" s="21">
        <f t="shared" si="93"/>
        <v>1</v>
      </c>
      <c r="P522" s="628"/>
      <c r="Q522" s="21">
        <f t="shared" si="94"/>
        <v>1</v>
      </c>
      <c r="R522" s="21">
        <f t="shared" si="95"/>
        <v>0</v>
      </c>
      <c r="S522" s="302">
        <f t="shared" si="96"/>
        <v>0</v>
      </c>
    </row>
    <row r="523" spans="1:19">
      <c r="A523" s="136"/>
      <c r="B523" s="52"/>
      <c r="C523" s="21">
        <f t="shared" si="87"/>
        <v>1</v>
      </c>
      <c r="D523" s="628"/>
      <c r="E523" s="21">
        <f t="shared" si="88"/>
        <v>1</v>
      </c>
      <c r="F523" s="628"/>
      <c r="G523" s="21">
        <f t="shared" si="89"/>
        <v>1</v>
      </c>
      <c r="H523" s="628"/>
      <c r="I523" s="21">
        <f t="shared" si="90"/>
        <v>1</v>
      </c>
      <c r="J523" s="628"/>
      <c r="K523" s="21">
        <f t="shared" si="91"/>
        <v>1</v>
      </c>
      <c r="L523" s="628"/>
      <c r="M523" s="21">
        <f t="shared" si="92"/>
        <v>1</v>
      </c>
      <c r="N523" s="628"/>
      <c r="O523" s="21">
        <f t="shared" si="93"/>
        <v>1</v>
      </c>
      <c r="P523" s="628"/>
      <c r="Q523" s="21">
        <f t="shared" si="94"/>
        <v>1</v>
      </c>
      <c r="R523" s="21">
        <f t="shared" si="95"/>
        <v>0</v>
      </c>
      <c r="S523" s="302">
        <f t="shared" si="96"/>
        <v>0</v>
      </c>
    </row>
    <row r="524" spans="1:19">
      <c r="A524" s="136"/>
      <c r="B524" s="52"/>
      <c r="C524" s="21">
        <f t="shared" si="87"/>
        <v>1</v>
      </c>
      <c r="D524" s="628"/>
      <c r="E524" s="21">
        <f t="shared" si="88"/>
        <v>1</v>
      </c>
      <c r="F524" s="628"/>
      <c r="G524" s="21">
        <f t="shared" si="89"/>
        <v>1</v>
      </c>
      <c r="H524" s="628"/>
      <c r="I524" s="21">
        <f t="shared" si="90"/>
        <v>1</v>
      </c>
      <c r="J524" s="628"/>
      <c r="K524" s="21">
        <f t="shared" si="91"/>
        <v>1</v>
      </c>
      <c r="L524" s="628"/>
      <c r="M524" s="21">
        <f t="shared" si="92"/>
        <v>1</v>
      </c>
      <c r="N524" s="628"/>
      <c r="O524" s="21">
        <f t="shared" si="93"/>
        <v>1</v>
      </c>
      <c r="P524" s="628"/>
      <c r="Q524" s="21">
        <f t="shared" si="94"/>
        <v>1</v>
      </c>
      <c r="R524" s="21">
        <f t="shared" si="95"/>
        <v>0</v>
      </c>
      <c r="S524" s="30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9"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O13" sqref="O13"/>
    </sheetView>
  </sheetViews>
  <sheetFormatPr defaultColWidth="9" defaultRowHeight="13.5"/>
  <cols>
    <col min="1" max="1" width="25" style="2278" customWidth="1"/>
    <col min="2" max="9" width="15.75" style="2278" customWidth="1"/>
    <col min="10" max="16384" width="9" style="2278"/>
  </cols>
  <sheetData>
    <row r="1" spans="1:11" ht="16.5">
      <c r="A1" s="2277" t="s">
        <v>662</v>
      </c>
      <c r="B1" s="2277">
        <f>SUM(B14:B23)</f>
        <v>51182.200000000004</v>
      </c>
      <c r="C1" s="2436"/>
      <c r="D1" s="2436"/>
      <c r="E1" s="2436"/>
      <c r="F1" s="2436"/>
      <c r="G1" s="2437"/>
      <c r="H1" s="2437"/>
      <c r="I1" s="2437"/>
      <c r="J1" s="2437"/>
      <c r="K1" s="2437"/>
    </row>
    <row r="2" spans="1:11" ht="16.5">
      <c r="A2" s="2277" t="s">
        <v>650</v>
      </c>
      <c r="B2" s="2277">
        <f>SUM(C14:C23)</f>
        <v>43113.89</v>
      </c>
      <c r="C2" s="2436"/>
      <c r="D2" s="2436"/>
      <c r="E2" s="2436"/>
      <c r="F2" s="2436"/>
      <c r="G2" s="2437"/>
      <c r="H2" s="2437"/>
      <c r="I2" s="2437"/>
      <c r="J2" s="2437"/>
      <c r="K2" s="2437"/>
    </row>
    <row r="3" spans="1:11" ht="16.5">
      <c r="A3" s="2277" t="s">
        <v>659</v>
      </c>
      <c r="B3" s="2279">
        <f>项目基本情况!D3</f>
        <v>45952</v>
      </c>
      <c r="C3" s="2436"/>
      <c r="D3" s="2436"/>
      <c r="E3" s="2436"/>
      <c r="F3" s="2436"/>
      <c r="G3" s="2437"/>
      <c r="H3" s="2437"/>
      <c r="I3" s="2437"/>
      <c r="J3" s="2437"/>
      <c r="K3" s="2437"/>
    </row>
    <row r="4" spans="1:11" ht="33">
      <c r="A4" s="2277" t="s">
        <v>658</v>
      </c>
      <c r="B4" s="2277" t="s">
        <v>657</v>
      </c>
      <c r="C4" s="2277" t="s">
        <v>656</v>
      </c>
      <c r="D4" s="2277" t="s">
        <v>655</v>
      </c>
      <c r="E4" s="2436"/>
      <c r="F4" s="2437"/>
      <c r="G4" s="2437"/>
      <c r="H4" s="2437"/>
      <c r="I4" s="2437"/>
      <c r="J4" s="2437"/>
      <c r="K4" s="2437"/>
    </row>
    <row r="5" spans="1:11" ht="16.5">
      <c r="A5" s="2277" t="s">
        <v>654</v>
      </c>
      <c r="B5" s="2277">
        <f ca="1">SUM(D14:D23)</f>
        <v>122120</v>
      </c>
      <c r="C5" s="2277">
        <f ca="1">IF(B5=D14,结果表!H102,ROUND(B5*10000/$B$1,0))</f>
        <v>23860</v>
      </c>
      <c r="D5" s="2277">
        <f ca="1">ROUND(B5*10000/$B$2,0)</f>
        <v>28325</v>
      </c>
      <c r="E5" s="2436"/>
      <c r="F5" s="2437"/>
      <c r="G5" s="2437"/>
      <c r="H5" s="2437"/>
      <c r="I5" s="2437"/>
      <c r="J5" s="2437"/>
      <c r="K5" s="2437"/>
    </row>
    <row r="6" spans="1:11" ht="16.5">
      <c r="A6" s="2277" t="s">
        <v>653</v>
      </c>
      <c r="B6" s="2277">
        <f ca="1">SUM(G14:G23)</f>
        <v>122120</v>
      </c>
      <c r="C6" s="2277">
        <f ca="1">IF(B6=G14,结果表!H108,ROUND(B6*10000/$B$1,0))</f>
        <v>23860</v>
      </c>
      <c r="D6" s="2277">
        <f ca="1">ROUND(B6*10000/$B$2,0)</f>
        <v>28325</v>
      </c>
      <c r="E6" s="2436"/>
      <c r="F6" s="2437"/>
      <c r="G6" s="2437"/>
      <c r="H6" s="2437"/>
      <c r="I6" s="2437"/>
      <c r="J6" s="2437"/>
      <c r="K6" s="2437"/>
    </row>
    <row r="7" spans="1:11" ht="16.5">
      <c r="A7" s="2277" t="s">
        <v>661</v>
      </c>
      <c r="B7" s="2277">
        <f>SUM(H14:H23)</f>
        <v>0</v>
      </c>
      <c r="C7" s="2277" t="str">
        <f>IF(B7=H14,结果表!H110,ROUND(B7*10000/$B$1,0))</f>
        <v>——</v>
      </c>
      <c r="D7" s="2277">
        <f>ROUND(B7*10000/$B$2,0)</f>
        <v>0</v>
      </c>
      <c r="E7" s="2436"/>
      <c r="F7" s="2437"/>
      <c r="G7" s="2437"/>
      <c r="H7" s="2437"/>
      <c r="I7" s="2437"/>
      <c r="J7" s="2437"/>
      <c r="K7" s="2437"/>
    </row>
    <row r="8" spans="1:11" ht="16.5">
      <c r="A8" s="2277" t="s">
        <v>587</v>
      </c>
      <c r="B8" s="2277">
        <f ca="1">SUM(I14:I23)</f>
        <v>97029</v>
      </c>
      <c r="C8" s="2277">
        <f ca="1">IF(B8=I14,结果表!H112,ROUND(B8*10000/$B$1,0))</f>
        <v>18958</v>
      </c>
      <c r="D8" s="2277">
        <f ca="1">ROUND(B8*10000/$B$2,0)</f>
        <v>22505</v>
      </c>
      <c r="E8" s="2436"/>
      <c r="F8" s="2437"/>
      <c r="G8" s="2437"/>
      <c r="H8" s="2437"/>
      <c r="I8" s="2437"/>
      <c r="J8" s="2437"/>
      <c r="K8" s="2437"/>
    </row>
    <row r="9" spans="1:11" ht="16.5">
      <c r="A9" s="2277" t="s">
        <v>652</v>
      </c>
      <c r="B9" s="1222"/>
      <c r="C9" s="2436"/>
      <c r="D9" s="2436"/>
      <c r="E9" s="2436"/>
      <c r="F9" s="2437"/>
      <c r="G9" s="2437"/>
      <c r="H9" s="2437"/>
      <c r="I9" s="2437"/>
      <c r="J9" s="2437"/>
      <c r="K9" s="2437"/>
    </row>
    <row r="10" spans="1:11" ht="16.5">
      <c r="A10" s="2277" t="s">
        <v>651</v>
      </c>
      <c r="B10" s="2277">
        <f>IF(E10="",0,ROUND(B1*(E10*365/G10)/10000,0))</f>
        <v>0</v>
      </c>
      <c r="C10" s="2277" t="s">
        <v>3338</v>
      </c>
      <c r="D10" s="2277" t="s">
        <v>3339</v>
      </c>
      <c r="E10" s="3108"/>
      <c r="F10" s="2277" t="s">
        <v>3340</v>
      </c>
      <c r="G10" s="3109"/>
      <c r="H10" s="2437"/>
      <c r="I10" s="2437"/>
      <c r="J10" s="2437"/>
      <c r="K10" s="2437"/>
    </row>
    <row r="11" spans="1:11" ht="16.5">
      <c r="A11" s="2277" t="s">
        <v>667</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666</v>
      </c>
      <c r="B13" s="2281" t="s">
        <v>663</v>
      </c>
      <c r="C13" s="2281" t="s">
        <v>665</v>
      </c>
      <c r="D13" s="2281" t="s">
        <v>664</v>
      </c>
      <c r="E13" s="2277" t="s">
        <v>656</v>
      </c>
      <c r="F13" s="2277" t="s">
        <v>655</v>
      </c>
      <c r="G13" s="2281" t="s">
        <v>649</v>
      </c>
      <c r="H13" s="2281" t="s">
        <v>660</v>
      </c>
      <c r="I13" s="2281" t="s">
        <v>648</v>
      </c>
      <c r="J13" s="2437"/>
      <c r="K13" s="2437"/>
    </row>
    <row r="14" spans="1:11" ht="16.5">
      <c r="A14" s="2283" t="s">
        <v>4005</v>
      </c>
      <c r="B14" s="2283">
        <f>'数据-汇总表'!E3</f>
        <v>45214.01</v>
      </c>
      <c r="C14" s="2283">
        <f>'数据-汇总表'!D3</f>
        <v>37658.28</v>
      </c>
      <c r="D14" s="2283">
        <f ca="1">结果表!G19</f>
        <v>109723</v>
      </c>
      <c r="E14" s="2283">
        <f ca="1">ROUND(D14*10000/B14,0)</f>
        <v>24267</v>
      </c>
      <c r="F14" s="2283">
        <f ca="1">ROUND(D14*10000/C14,0)</f>
        <v>29136</v>
      </c>
      <c r="G14" s="2283">
        <f ca="1">D14</f>
        <v>109723</v>
      </c>
      <c r="H14" s="2283"/>
      <c r="I14" s="2283">
        <f ca="1">结果表!N59</f>
        <v>87101</v>
      </c>
      <c r="J14" s="2437"/>
      <c r="K14" s="2437"/>
    </row>
    <row r="15" spans="1:11" ht="16.5">
      <c r="A15" s="2283" t="s">
        <v>4007</v>
      </c>
      <c r="B15" s="2283">
        <f>[7]系统读取表!B14</f>
        <v>5391.64</v>
      </c>
      <c r="C15" s="2283">
        <f>[7]系统读取表!C14</f>
        <v>4976.83</v>
      </c>
      <c r="D15" s="2283">
        <f ca="1">[7]系统读取表!D14</f>
        <v>11017</v>
      </c>
      <c r="E15" s="2283">
        <f t="shared" ref="E15:E23" ca="1" si="0">ROUND(D15*10000/B15,0)</f>
        <v>20433</v>
      </c>
      <c r="F15" s="2283">
        <f t="shared" ref="F15:F23" ca="1" si="1">ROUND(D15*10000/C15,0)</f>
        <v>22137</v>
      </c>
      <c r="G15" s="2283">
        <f ca="1">[7]系统读取表!G14</f>
        <v>11017</v>
      </c>
      <c r="H15" s="2283"/>
      <c r="I15" s="2283">
        <f ca="1">[7]系统读取表!I14</f>
        <v>8831</v>
      </c>
      <c r="J15" s="2437"/>
      <c r="K15" s="2437"/>
    </row>
    <row r="16" spans="1:11" ht="16.5">
      <c r="A16" s="2283" t="s">
        <v>4006</v>
      </c>
      <c r="B16" s="2283">
        <f>[8]系统读取表!B14</f>
        <v>576.54999999999995</v>
      </c>
      <c r="C16" s="2283">
        <f>[8]系统读取表!C14</f>
        <v>478.78</v>
      </c>
      <c r="D16" s="2283">
        <f ca="1">[8]系统读取表!D14</f>
        <v>1380</v>
      </c>
      <c r="E16" s="2283">
        <f t="shared" ca="1" si="0"/>
        <v>23935</v>
      </c>
      <c r="F16" s="2283">
        <f t="shared" ca="1" si="1"/>
        <v>28823</v>
      </c>
      <c r="G16" s="2283">
        <f ca="1">[8]系统读取表!G14</f>
        <v>1380</v>
      </c>
      <c r="H16" s="2283"/>
      <c r="I16" s="2283">
        <f ca="1">[8]系统读取表!I14</f>
        <v>1097</v>
      </c>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c r="D1" s="636"/>
      <c r="E1" s="636"/>
      <c r="F1" s="1598" t="s">
        <v>1260</v>
      </c>
      <c r="G1" s="1431" t="s">
        <v>3983</v>
      </c>
      <c r="H1" s="1598" t="str">
        <f>IF(G1="现房","——","估价对象范围")</f>
        <v>——</v>
      </c>
      <c r="I1" s="1599" t="s">
        <v>3984</v>
      </c>
    </row>
    <row r="2" spans="1:12" ht="21.75" customHeight="1" thickBot="1">
      <c r="A2" s="3401" t="str">
        <f>项目基本情况!S2</f>
        <v>北京市房地产</v>
      </c>
      <c r="B2" s="3402"/>
      <c r="C2" s="3402"/>
      <c r="D2" s="3402"/>
      <c r="E2" s="3402"/>
      <c r="F2" s="3402"/>
      <c r="G2" s="3402"/>
      <c r="H2" s="3402"/>
      <c r="I2" s="3403"/>
    </row>
    <row r="3" spans="1:12" ht="12.75">
      <c r="A3" s="3405" t="s">
        <v>1261</v>
      </c>
      <c r="B3" s="3406"/>
      <c r="C3" s="3406"/>
      <c r="D3" s="3406"/>
      <c r="E3" s="3406"/>
      <c r="F3" s="3406"/>
      <c r="G3" s="3406"/>
      <c r="H3" s="3406"/>
      <c r="I3" s="3406"/>
    </row>
    <row r="4" spans="1:12" ht="14.25">
      <c r="A4" s="1601" t="s">
        <v>1262</v>
      </c>
      <c r="B4" s="1602" t="s">
        <v>1263</v>
      </c>
      <c r="C4" s="1603" t="s">
        <v>3974</v>
      </c>
      <c r="D4" s="1603" t="s">
        <v>3975</v>
      </c>
      <c r="E4" s="3407" t="s">
        <v>1264</v>
      </c>
      <c r="F4" s="3408"/>
      <c r="G4" s="3408"/>
      <c r="H4" s="3408"/>
      <c r="I4" s="340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381" t="s">
        <v>1265</v>
      </c>
      <c r="B5" s="3368">
        <v>25</v>
      </c>
      <c r="C5" s="3384"/>
      <c r="D5" s="3404"/>
      <c r="E5" s="117" t="s">
        <v>1266</v>
      </c>
      <c r="F5" s="1604"/>
      <c r="G5" s="1604"/>
      <c r="H5" s="1604"/>
      <c r="I5" s="1259"/>
    </row>
    <row r="6" spans="1:12" ht="12.75">
      <c r="A6" s="3381"/>
      <c r="B6" s="3368"/>
      <c r="C6" s="3385"/>
      <c r="D6" s="3404"/>
      <c r="E6" s="117" t="s">
        <v>1267</v>
      </c>
      <c r="F6" s="1604"/>
      <c r="G6" s="1604"/>
      <c r="H6" s="1604"/>
      <c r="I6" s="1259"/>
    </row>
    <row r="7" spans="1:12" ht="12.75">
      <c r="A7" s="3381"/>
      <c r="B7" s="3368"/>
      <c r="C7" s="3386"/>
      <c r="D7" s="3404"/>
      <c r="E7" s="117" t="s">
        <v>1268</v>
      </c>
      <c r="F7" s="1604"/>
      <c r="G7" s="1604"/>
      <c r="H7" s="1604"/>
      <c r="I7" s="1259"/>
    </row>
    <row r="8" spans="1:12" ht="12.75">
      <c r="A8" s="3381" t="s">
        <v>1269</v>
      </c>
      <c r="B8" s="3368">
        <v>15</v>
      </c>
      <c r="C8" s="3384"/>
      <c r="D8" s="3404"/>
      <c r="E8" s="117" t="s">
        <v>1270</v>
      </c>
      <c r="F8" s="1604"/>
      <c r="G8" s="1604"/>
      <c r="H8" s="1604"/>
      <c r="I8" s="1259"/>
    </row>
    <row r="9" spans="1:12" ht="12.75">
      <c r="A9" s="3381"/>
      <c r="B9" s="3368"/>
      <c r="C9" s="3386"/>
      <c r="D9" s="3404"/>
      <c r="E9" s="117" t="s">
        <v>1271</v>
      </c>
      <c r="F9" s="1604"/>
      <c r="G9" s="1604"/>
      <c r="H9" s="1604"/>
      <c r="I9" s="1259"/>
    </row>
    <row r="10" spans="1:12" ht="12.75">
      <c r="A10" s="3381" t="s">
        <v>1272</v>
      </c>
      <c r="B10" s="3368">
        <v>15</v>
      </c>
      <c r="C10" s="3384"/>
      <c r="D10" s="3404"/>
      <c r="E10" s="117" t="s">
        <v>1273</v>
      </c>
      <c r="F10" s="1604"/>
      <c r="G10" s="1604"/>
      <c r="H10" s="1604"/>
      <c r="I10" s="1259"/>
    </row>
    <row r="11" spans="1:12" ht="12.75">
      <c r="A11" s="3381"/>
      <c r="B11" s="3368"/>
      <c r="C11" s="3386"/>
      <c r="D11" s="3404"/>
      <c r="E11" s="117" t="s">
        <v>1274</v>
      </c>
      <c r="F11" s="1604"/>
      <c r="G11" s="1604"/>
      <c r="H11" s="1604"/>
      <c r="I11" s="1259"/>
    </row>
    <row r="12" spans="1:12" ht="12.75">
      <c r="A12" s="3381" t="s">
        <v>1275</v>
      </c>
      <c r="B12" s="3368">
        <v>15</v>
      </c>
      <c r="C12" s="3384"/>
      <c r="D12" s="3404"/>
      <c r="E12" s="117" t="s">
        <v>1276</v>
      </c>
      <c r="F12" s="1604"/>
      <c r="G12" s="1604"/>
      <c r="H12" s="1604"/>
      <c r="I12" s="1259"/>
    </row>
    <row r="13" spans="1:12" ht="12.75">
      <c r="A13" s="3381"/>
      <c r="B13" s="3368"/>
      <c r="C13" s="3386"/>
      <c r="D13" s="3404"/>
      <c r="E13" s="117" t="s">
        <v>1277</v>
      </c>
      <c r="F13" s="1604"/>
      <c r="G13" s="1604"/>
      <c r="H13" s="1604"/>
      <c r="I13" s="1259"/>
    </row>
    <row r="14" spans="1:12" ht="12.75">
      <c r="A14" s="3381" t="s">
        <v>1278</v>
      </c>
      <c r="B14" s="3368">
        <v>30</v>
      </c>
      <c r="C14" s="3384">
        <v>5</v>
      </c>
      <c r="D14" s="3404">
        <v>5</v>
      </c>
      <c r="E14" s="117" t="s">
        <v>1279</v>
      </c>
      <c r="F14" s="1604"/>
      <c r="G14" s="1604"/>
      <c r="H14" s="1604"/>
      <c r="I14" s="1259"/>
    </row>
    <row r="15" spans="1:12" ht="12.75">
      <c r="A15" s="3381"/>
      <c r="B15" s="3368"/>
      <c r="C15" s="3385"/>
      <c r="D15" s="3404"/>
      <c r="E15" s="117" t="s">
        <v>1280</v>
      </c>
      <c r="F15" s="1604"/>
      <c r="G15" s="1604"/>
      <c r="H15" s="1604"/>
      <c r="I15" s="1259"/>
    </row>
    <row r="16" spans="1:12" ht="12.75">
      <c r="A16" s="3381"/>
      <c r="B16" s="3368"/>
      <c r="C16" s="3386"/>
      <c r="D16" s="3404"/>
      <c r="E16" s="117" t="s">
        <v>1281</v>
      </c>
      <c r="F16" s="1604"/>
      <c r="G16" s="1604"/>
      <c r="H16" s="1604"/>
      <c r="I16" s="1259"/>
    </row>
    <row r="17" spans="1:36" ht="15">
      <c r="A17" s="1605" t="s">
        <v>1282</v>
      </c>
      <c r="B17" s="54"/>
      <c r="C17" s="118">
        <f>SUM(C5:C16)</f>
        <v>5</v>
      </c>
      <c r="D17" s="118">
        <f>SUM(D5:D16)</f>
        <v>5</v>
      </c>
      <c r="E17" s="115"/>
      <c r="F17" s="115"/>
      <c r="G17" s="115"/>
      <c r="H17" s="115"/>
      <c r="I17" s="115"/>
      <c r="K17" s="288"/>
      <c r="L17" s="288" t="s">
        <v>1283</v>
      </c>
      <c r="M17" s="288" t="s">
        <v>1284</v>
      </c>
    </row>
    <row r="18" spans="1:36" ht="31.9" customHeight="1" thickBot="1">
      <c r="A18" s="1606" t="s">
        <v>1285</v>
      </c>
      <c r="B18" s="1520"/>
      <c r="C18" s="119">
        <f>ROUND(C17/SUM(C17:D17),2)</f>
        <v>0.5</v>
      </c>
      <c r="D18" s="119">
        <f>1-C18</f>
        <v>0.5</v>
      </c>
      <c r="E18" s="3391" t="s">
        <v>2126</v>
      </c>
      <c r="F18" s="3392"/>
      <c r="G18" s="3392"/>
      <c r="H18" s="3392"/>
      <c r="I18" s="3392"/>
      <c r="K18" s="288" t="s">
        <v>1286</v>
      </c>
      <c r="L18" s="288">
        <f>IF(C1="",'数据-汇总表'!E3,SUMIF(项目类型,C1,'数据-汇总表'!E17:E26)+SUMIF(项目类型,C1,'数据-汇总表'!I17:I26))</f>
        <v>45214.01</v>
      </c>
      <c r="M18" s="288">
        <f>IF(C1="",'数据-汇总表'!E3,SUMIF(项目类型,C1,'数据-汇总表'!E17:E26))</f>
        <v>45214.01</v>
      </c>
    </row>
    <row r="19" spans="1:36" ht="15">
      <c r="A19" s="1607" t="s">
        <v>1287</v>
      </c>
      <c r="B19" s="1608" t="s">
        <v>1288</v>
      </c>
      <c r="C19" s="120">
        <f ca="1">SUMIF(INDIRECT("'"&amp;C4&amp;"'"&amp;"!A:A"),结果表!B19,INDIRECT("'"&amp;C4&amp;"'"&amp;"!B:B"))</f>
        <v>106044</v>
      </c>
      <c r="D19" s="121">
        <f ca="1">SUMIF(INDIRECT("'"&amp;D4&amp;"'"&amp;"!A:A"),结果表!B19,INDIRECT("'"&amp;D4&amp;"'"&amp;"!B:B"))</f>
        <v>113401</v>
      </c>
      <c r="E19" s="1607" t="s">
        <v>1289</v>
      </c>
      <c r="F19" s="1608" t="s">
        <v>1288</v>
      </c>
      <c r="G19" s="122">
        <f ca="1">ROUND(C19*$C$18+D19*$D$18,0)</f>
        <v>109723</v>
      </c>
      <c r="H19" s="1609" t="s">
        <v>1290</v>
      </c>
      <c r="I19" s="115"/>
      <c r="K19" s="288" t="s">
        <v>1291</v>
      </c>
      <c r="L19" s="288">
        <f>IF(C1="",'数据-汇总表'!D3,SUMIF(项目类型,C1,'数据-汇总表'!D17:D26)+SUMIF(项目类型,C1,'数据-汇总表'!H17:H27))</f>
        <v>37658.28</v>
      </c>
      <c r="M19" s="288">
        <f>IF(C1="",'数据-汇总表'!D3,SUMIF(项目类型,C1,'数据-汇总表'!D17:D26))</f>
        <v>37658.28</v>
      </c>
    </row>
    <row r="20" spans="1:36" ht="15">
      <c r="A20" s="1610"/>
      <c r="B20" s="43" t="s">
        <v>1292</v>
      </c>
      <c r="C20" s="123">
        <f ca="1">SUMIF(INDIRECT("'"&amp;C4&amp;"'"&amp;"!A:A"),结果表!B20,INDIRECT("'"&amp;C4&amp;"'"&amp;"!B:B"))</f>
        <v>23454</v>
      </c>
      <c r="D20" s="124">
        <f ca="1">SUMIF(INDIRECT("'"&amp;D4&amp;"'"&amp;"!A:A"),结果表!B20,INDIRECT("'"&amp;D4&amp;"'"&amp;"!B:B"))</f>
        <v>25081</v>
      </c>
      <c r="E20" s="1610"/>
      <c r="F20" s="43" t="s">
        <v>1292</v>
      </c>
      <c r="G20" s="125">
        <f ca="1">ROUND(C20*$C$18+D20*$D$18,0)</f>
        <v>24268</v>
      </c>
      <c r="H20" s="742" t="s">
        <v>1293</v>
      </c>
      <c r="I20" s="115"/>
    </row>
    <row r="21" spans="1:36" ht="15" customHeight="1" thickBot="1">
      <c r="A21" s="442"/>
      <c r="B21" s="93" t="s">
        <v>1294</v>
      </c>
      <c r="C21" s="668">
        <f ca="1">ROUND(C19*10000/L19,0)</f>
        <v>28160</v>
      </c>
      <c r="D21" s="669">
        <f ca="1">ROUND(D19*10000/L19,0)</f>
        <v>30113</v>
      </c>
      <c r="E21" s="442"/>
      <c r="F21" s="93" t="s">
        <v>1294</v>
      </c>
      <c r="G21" s="126">
        <f ca="1">ROUND(G19*10000/L19,0)</f>
        <v>29136</v>
      </c>
      <c r="H21" s="1611" t="s">
        <v>1293</v>
      </c>
      <c r="I21" s="115"/>
    </row>
    <row r="22" spans="1:36" ht="15" thickBot="1">
      <c r="A22" s="1542" t="s">
        <v>1295</v>
      </c>
      <c r="B22" s="1612"/>
      <c r="C22" s="1613"/>
      <c r="D22" s="670">
        <f ca="1">IF(C19&lt;D19,D19/C19-1,C19/D19-1)</f>
        <v>6.9376862434461062E-2</v>
      </c>
      <c r="E22" s="115"/>
      <c r="F22" s="115"/>
      <c r="G22" s="115"/>
      <c r="H22" s="115"/>
      <c r="I22" s="115"/>
    </row>
    <row r="23" spans="1:36" ht="13.5" thickBot="1">
      <c r="A23" s="636"/>
      <c r="B23" s="636"/>
      <c r="C23" s="636"/>
      <c r="D23" s="636"/>
      <c r="E23" s="115"/>
      <c r="F23" s="115"/>
      <c r="G23" s="115"/>
      <c r="H23" s="115"/>
      <c r="I23" s="115"/>
    </row>
    <row r="24" spans="1:36" ht="14.25">
      <c r="A24" s="3375" t="s">
        <v>1296</v>
      </c>
      <c r="B24" s="1608" t="s">
        <v>1288</v>
      </c>
      <c r="C24" s="122">
        <f>IF(B30=0,0,D30)</f>
        <v>0</v>
      </c>
      <c r="D24" s="1614"/>
      <c r="E24" s="115"/>
      <c r="F24" s="115"/>
      <c r="G24" s="115"/>
      <c r="H24" s="115"/>
      <c r="I24" s="115"/>
    </row>
    <row r="25" spans="1:36" ht="14.25">
      <c r="A25" s="3376"/>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2127</v>
      </c>
      <c r="F30" s="115"/>
      <c r="G30" s="115"/>
      <c r="H30" s="115"/>
      <c r="I30" s="115"/>
    </row>
    <row r="31" spans="1:36" s="2110" customFormat="1" ht="26.45" customHeight="1" thickTop="1" thickBot="1">
      <c r="A31" s="2105"/>
      <c r="B31" s="2106"/>
      <c r="C31" s="2106"/>
      <c r="D31" s="2106"/>
      <c r="E31" s="2106"/>
      <c r="F31" s="2106"/>
      <c r="G31" s="2106"/>
      <c r="H31" s="2106"/>
      <c r="I31" s="2107" t="s">
        <v>2128</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109723</v>
      </c>
      <c r="D32" s="1618" t="s">
        <v>3985</v>
      </c>
      <c r="E32" s="115"/>
      <c r="F32" s="115"/>
      <c r="G32" s="115"/>
      <c r="H32" s="115"/>
      <c r="I32" s="115"/>
    </row>
    <row r="33" spans="1:15" ht="15">
      <c r="A33" s="722" t="s">
        <v>1303</v>
      </c>
      <c r="B33" s="117"/>
      <c r="C33" s="1619" t="s">
        <v>3986</v>
      </c>
      <c r="D33" s="1620" t="s">
        <v>3974</v>
      </c>
      <c r="E33" s="1621" t="s">
        <v>1304</v>
      </c>
      <c r="F33" s="1622" t="str">
        <f>IF(D32="楼面单价","取值（单价）","取值（总价）")</f>
        <v>取值（总价）</v>
      </c>
      <c r="G33" s="115"/>
      <c r="H33" s="115"/>
      <c r="I33" s="115"/>
    </row>
    <row r="34" spans="1:15" ht="15">
      <c r="A34" s="1623"/>
      <c r="B34" s="1624" t="s">
        <v>1305</v>
      </c>
      <c r="C34" s="134">
        <f ca="1">IF(C33="自定义",F34,C32-C35)</f>
        <v>80976</v>
      </c>
      <c r="D34" s="788">
        <f ca="1">IF(C33="自定义",ROUND(C34/C32,3),IF(C33="收益比率",SUMIF(INDIRECT("'"&amp;D33&amp;"'"&amp;"!b:b"),"土地收益比率",INDIRECT("'"&amp;D33&amp;"'"&amp;"!c:c")),SUMIF(INDIRECT("'"&amp;D33&amp;"'"&amp;"!b:b"),"土地成本比率",INDIRECT("'"&amp;D33&amp;"'"&amp;"!c:c"))))</f>
        <v>0.73799999999999999</v>
      </c>
      <c r="E34" s="1625" t="s">
        <v>1306</v>
      </c>
      <c r="F34" s="1221"/>
      <c r="G34" s="115"/>
      <c r="H34" s="115"/>
      <c r="I34" s="115"/>
    </row>
    <row r="35" spans="1:15" ht="15.75" thickBot="1">
      <c r="A35" s="1626"/>
      <c r="B35" s="1627" t="s">
        <v>1307</v>
      </c>
      <c r="C35" s="1068">
        <f ca="1">IF(C33="自定义",F35,ROUND(C32*D35,0))</f>
        <v>28747</v>
      </c>
      <c r="D35" s="1069">
        <f ca="1">IF(C33="自定义",ROUND(C35/C32,3),IF(C33="收益比率",SUMIF(INDIRECT("'"&amp;D33&amp;"'"&amp;"!b:b"),"建筑物收益比率",INDIRECT("'"&amp;D33&amp;"'"&amp;"!c:c")),SUMIF(INDIRECT("'"&amp;D33&amp;"'"&amp;"!b:b"),"建筑物成本比率",INDIRECT("'"&amp;D33&amp;"'"&amp;"!c:c"))))</f>
        <v>0.26200000000000001</v>
      </c>
      <c r="E35" s="1628" t="s">
        <v>1308</v>
      </c>
      <c r="F35" s="140"/>
      <c r="G35" s="115"/>
      <c r="H35" s="115"/>
      <c r="I35" s="115"/>
    </row>
    <row r="36" spans="1:15" ht="15.75" thickBot="1">
      <c r="A36" s="3395" t="s">
        <v>1309</v>
      </c>
      <c r="B36" s="1629" t="s">
        <v>1310</v>
      </c>
      <c r="C36" s="131"/>
      <c r="D36" s="1630"/>
      <c r="E36" s="1545"/>
      <c r="F36" s="1631"/>
      <c r="G36" s="115"/>
      <c r="H36" s="115"/>
      <c r="I36" s="115"/>
    </row>
    <row r="37" spans="1:15" ht="15.75" thickBot="1">
      <c r="A37" s="3396"/>
      <c r="B37" s="1533" t="s">
        <v>1311</v>
      </c>
      <c r="C37" s="133"/>
      <c r="D37" s="1049"/>
      <c r="E37" s="1049"/>
      <c r="F37" s="1631"/>
      <c r="G37" s="115"/>
      <c r="H37" s="115"/>
      <c r="I37" s="115"/>
    </row>
    <row r="38" spans="1:15" ht="15.75" thickBot="1">
      <c r="A38" s="3397"/>
      <c r="B38" s="1632" t="s">
        <v>1312</v>
      </c>
      <c r="C38" s="631"/>
      <c r="D38" s="1633" t="s">
        <v>1313</v>
      </c>
      <c r="E38" s="1049"/>
      <c r="F38" s="1631"/>
      <c r="G38" s="115"/>
      <c r="H38" s="115"/>
      <c r="I38" s="115"/>
    </row>
    <row r="39" spans="1:15" ht="15">
      <c r="A39" s="1610" t="s">
        <v>1314</v>
      </c>
      <c r="B39" s="1634" t="s">
        <v>1315</v>
      </c>
      <c r="C39" s="1635" t="s">
        <v>1316</v>
      </c>
      <c r="D39" s="1635" t="s">
        <v>1317</v>
      </c>
      <c r="E39" s="1636" t="s">
        <v>1318</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372" t="s">
        <v>1323</v>
      </c>
      <c r="B45" s="3373"/>
      <c r="C45" s="3374"/>
      <c r="D45" s="141">
        <f ca="1">ROUND(H101*F45,0)</f>
        <v>109723</v>
      </c>
      <c r="E45" s="142" t="s">
        <v>1324</v>
      </c>
      <c r="F45" s="143">
        <v>1</v>
      </c>
      <c r="G45" s="144" t="s">
        <v>1325</v>
      </c>
      <c r="H45" s="115"/>
      <c r="I45" s="115"/>
      <c r="J45" s="3450" t="s">
        <v>1326</v>
      </c>
      <c r="K45" s="3450"/>
      <c r="L45" s="3450"/>
      <c r="M45" s="3450"/>
      <c r="N45" s="3450"/>
      <c r="O45" s="3450"/>
    </row>
    <row r="46" spans="1:15" ht="14.25" customHeight="1">
      <c r="A46" s="3369" t="s">
        <v>1327</v>
      </c>
      <c r="B46" s="3370"/>
      <c r="C46" s="3370"/>
      <c r="D46" s="3370"/>
      <c r="E46" s="3370"/>
      <c r="F46" s="3370"/>
      <c r="G46" s="3371"/>
      <c r="H46" s="1645"/>
      <c r="I46" s="145"/>
      <c r="J46" s="2287">
        <v>1</v>
      </c>
      <c r="K46" s="3431" t="s">
        <v>1328</v>
      </c>
      <c r="L46" s="3431"/>
      <c r="M46" s="3451"/>
      <c r="N46" s="3451"/>
      <c r="O46" s="3451"/>
    </row>
    <row r="47" spans="1:15" ht="12" customHeight="1">
      <c r="A47" s="146" t="s">
        <v>1329</v>
      </c>
      <c r="B47" s="147"/>
      <c r="C47" s="148"/>
      <c r="D47" s="1002" t="s">
        <v>1330</v>
      </c>
      <c r="E47" s="288" t="s">
        <v>1331</v>
      </c>
      <c r="F47" s="149" t="s">
        <v>1332</v>
      </c>
      <c r="G47" s="2310" t="s">
        <v>1333</v>
      </c>
      <c r="H47" s="2311"/>
      <c r="I47" s="145"/>
      <c r="J47" s="2287">
        <v>2</v>
      </c>
      <c r="K47" s="3431" t="s">
        <v>1334</v>
      </c>
      <c r="L47" s="3431"/>
      <c r="M47" s="3452">
        <f>'数据-取费表'!B2</f>
        <v>45952</v>
      </c>
      <c r="N47" s="3452"/>
      <c r="O47" s="3452"/>
    </row>
    <row r="48" spans="1:15" ht="25.5">
      <c r="A48" s="3400" t="s">
        <v>1335</v>
      </c>
      <c r="B48" s="3383"/>
      <c r="C48" s="3383"/>
      <c r="D48" s="12">
        <f ca="1">IF(H48="情况1",0,IF(H48="情况2",D52,IF(H48="情况3",D53,IF(H48="情况4",D54))))</f>
        <v>5852</v>
      </c>
      <c r="E48" s="1234" t="str">
        <f>IF(H48="情况4","(销售额-原购置价)×税（费）率","销售额×税（费）率")</f>
        <v>销售额×税（费）率</v>
      </c>
      <c r="F48" s="2312">
        <f>IF(H48="情况1","免征",'数据-取费表'!B41)</f>
        <v>5.6000000000000001E-2</v>
      </c>
      <c r="G48" s="2313" t="s">
        <v>1336</v>
      </c>
      <c r="H48" s="2314" t="s">
        <v>3987</v>
      </c>
      <c r="I48" s="1645"/>
      <c r="J48" s="2287">
        <v>3</v>
      </c>
      <c r="K48" s="3431" t="s">
        <v>1337</v>
      </c>
      <c r="L48" s="3431"/>
      <c r="M48" s="3453">
        <f ca="1">H101</f>
        <v>109723</v>
      </c>
      <c r="N48" s="3453"/>
      <c r="O48" s="3453"/>
    </row>
    <row r="49" spans="1:35" ht="25.5" customHeight="1">
      <c r="A49" s="2129" t="s">
        <v>1338</v>
      </c>
      <c r="B49" s="3367" t="s">
        <v>1339</v>
      </c>
      <c r="C49" s="3367"/>
      <c r="D49" s="1456">
        <v>0</v>
      </c>
      <c r="E49" s="309" t="s">
        <v>1340</v>
      </c>
      <c r="F49" s="2210" t="s">
        <v>28</v>
      </c>
      <c r="G49" s="3437"/>
      <c r="H49" s="2111" t="s">
        <v>2129</v>
      </c>
      <c r="I49" s="2112"/>
      <c r="J49" s="2287">
        <v>4</v>
      </c>
      <c r="K49" s="3431" t="str">
        <f>IF(项目基本情况!E8="房地产抵押价值","房地产抵押价值","抵押担保权已注销时的房地产抵押价值")</f>
        <v>房地产抵押价值</v>
      </c>
      <c r="L49" s="3431"/>
      <c r="M49" s="3453">
        <f ca="1">IF(项目基本情况!E8="房地产抵押价值",H107,H109)</f>
        <v>109723</v>
      </c>
      <c r="N49" s="3453"/>
      <c r="O49" s="3453"/>
    </row>
    <row r="50" spans="1:35" ht="25.5" customHeight="1">
      <c r="A50" s="2315"/>
      <c r="B50" s="3367" t="s">
        <v>1341</v>
      </c>
      <c r="C50" s="3367"/>
      <c r="D50" s="2166"/>
      <c r="E50" s="316"/>
      <c r="F50" s="2210"/>
      <c r="G50" s="3438"/>
      <c r="H50" s="2113" t="s">
        <v>2130</v>
      </c>
      <c r="I50" s="2112"/>
      <c r="J50" s="3450" t="s">
        <v>1342</v>
      </c>
      <c r="K50" s="3450"/>
      <c r="L50" s="3450"/>
      <c r="M50" s="3450"/>
      <c r="N50" s="3450"/>
      <c r="O50" s="3450"/>
    </row>
    <row r="51" spans="1:35" ht="20.45" customHeight="1">
      <c r="A51" s="2316"/>
      <c r="B51" s="3367" t="s">
        <v>1343</v>
      </c>
      <c r="C51" s="3367"/>
      <c r="D51" s="1002"/>
      <c r="E51" s="312"/>
      <c r="F51" s="2210"/>
      <c r="G51" s="3439"/>
      <c r="H51" s="2113" t="s">
        <v>2131</v>
      </c>
      <c r="I51" s="2112"/>
      <c r="J51" s="2288" t="s">
        <v>1344</v>
      </c>
      <c r="K51" s="3431" t="s">
        <v>1345</v>
      </c>
      <c r="L51" s="3431"/>
      <c r="M51" s="2288" t="s">
        <v>1346</v>
      </c>
      <c r="N51" s="2288" t="s">
        <v>1347</v>
      </c>
      <c r="O51" s="2288" t="s">
        <v>1348</v>
      </c>
    </row>
    <row r="52" spans="1:35" ht="24" customHeight="1">
      <c r="A52" s="2130" t="s">
        <v>1349</v>
      </c>
      <c r="B52" s="3367" t="s">
        <v>1350</v>
      </c>
      <c r="C52" s="3367"/>
      <c r="D52" s="1002">
        <f ca="1">ROUND(D45*'数据-取费表'!B41/(1+'数据-取费表'!C42),0)</f>
        <v>5852</v>
      </c>
      <c r="E52" s="1234" t="s">
        <v>1351</v>
      </c>
      <c r="F52" s="2317">
        <f>'数据-取费表'!B41</f>
        <v>5.6000000000000001E-2</v>
      </c>
      <c r="G52" s="2318"/>
      <c r="H52" s="2308"/>
      <c r="I52" s="1646"/>
      <c r="J52" s="2287">
        <v>1</v>
      </c>
      <c r="K52" s="3432" t="s">
        <v>1352</v>
      </c>
      <c r="L52" s="3432"/>
      <c r="M52" s="2289">
        <f ca="1">D48</f>
        <v>5852</v>
      </c>
      <c r="N52" s="2287" t="str">
        <f>E48</f>
        <v>销售额×税（费）率</v>
      </c>
      <c r="O52" s="2290">
        <f>F48</f>
        <v>5.6000000000000001E-2</v>
      </c>
    </row>
    <row r="53" spans="1:35" ht="12" customHeight="1">
      <c r="A53" s="2130" t="s">
        <v>1353</v>
      </c>
      <c r="B53" s="3393" t="s">
        <v>2277</v>
      </c>
      <c r="C53" s="3394"/>
      <c r="D53" s="1002">
        <f ca="1">ROUND(D45*'数据-取费表'!B41/(1+'数据-取费表'!C42),0)</f>
        <v>5852</v>
      </c>
      <c r="E53" s="1234" t="s">
        <v>1351</v>
      </c>
      <c r="F53" s="2317">
        <f>'数据-取费表'!B41</f>
        <v>5.6000000000000001E-2</v>
      </c>
      <c r="G53" s="2318"/>
      <c r="H53" s="2308"/>
      <c r="I53" s="1646"/>
      <c r="J53" s="2287">
        <v>2</v>
      </c>
      <c r="K53" s="3432" t="s">
        <v>1354</v>
      </c>
      <c r="L53" s="3432"/>
      <c r="M53" s="2289">
        <f t="shared" ref="M53:O54" ca="1" si="0">D55</f>
        <v>55</v>
      </c>
      <c r="N53" s="2287" t="str">
        <f t="shared" si="0"/>
        <v>销售额×税（费）率</v>
      </c>
      <c r="O53" s="2290">
        <f t="shared" si="0"/>
        <v>5.0000000000000001E-4</v>
      </c>
    </row>
    <row r="54" spans="1:35" ht="12" customHeight="1">
      <c r="A54" s="2130" t="s">
        <v>1355</v>
      </c>
      <c r="B54" s="3393" t="s">
        <v>2278</v>
      </c>
      <c r="C54" s="3394"/>
      <c r="D54" s="1002">
        <f ca="1">C68</f>
        <v>5852</v>
      </c>
      <c r="E54" s="312" t="s">
        <v>1356</v>
      </c>
      <c r="F54" s="2317">
        <f>'数据-取费表'!B41</f>
        <v>5.6000000000000001E-2</v>
      </c>
      <c r="G54" s="2318"/>
      <c r="H54" s="2319"/>
      <c r="I54" s="1646"/>
      <c r="J54" s="2287">
        <v>3</v>
      </c>
      <c r="K54" s="3432" t="s">
        <v>1357</v>
      </c>
      <c r="L54" s="3432"/>
      <c r="M54" s="2289">
        <f t="shared" ca="1" si="0"/>
        <v>16715</v>
      </c>
      <c r="N54" s="2287" t="str">
        <f t="shared" si="0"/>
        <v>增值额×税（费）率</v>
      </c>
      <c r="O54" s="2291" t="str">
        <f t="shared" si="0"/>
        <v>——</v>
      </c>
    </row>
    <row r="55" spans="1:35" ht="24" customHeight="1">
      <c r="A55" s="3382" t="s">
        <v>1358</v>
      </c>
      <c r="B55" s="3383"/>
      <c r="C55" s="3383"/>
      <c r="D55" s="12">
        <f ca="1">IF(H55="个人住宅",0,ROUND(D45*I55,0))</f>
        <v>55</v>
      </c>
      <c r="E55" s="1234" t="s">
        <v>1359</v>
      </c>
      <c r="F55" s="2317">
        <f>IF(H55="正常",I55,"免征")</f>
        <v>5.0000000000000001E-4</v>
      </c>
      <c r="G55" s="2318"/>
      <c r="H55" s="2314" t="s">
        <v>3499</v>
      </c>
      <c r="I55" s="151">
        <f>'数据-取费表'!B49</f>
        <v>5.0000000000000001E-4</v>
      </c>
      <c r="J55" s="2287" t="str">
        <f>IF(H59="非个人房产","",4)</f>
        <v/>
      </c>
      <c r="K55" s="3432" t="str">
        <f>IF(H59="非个人房产","——","个人所得税")</f>
        <v>——</v>
      </c>
      <c r="L55" s="3432"/>
      <c r="M55" s="2292" t="str">
        <f>D59</f>
        <v>——</v>
      </c>
      <c r="N55" s="1860" t="str">
        <f>E59</f>
        <v>——</v>
      </c>
      <c r="O55" s="2293" t="str">
        <f>F59</f>
        <v>——</v>
      </c>
    </row>
    <row r="56" spans="1:35" ht="24.75">
      <c r="A56" s="3382" t="s">
        <v>1360</v>
      </c>
      <c r="B56" s="3383"/>
      <c r="C56" s="3383"/>
      <c r="D56" s="12">
        <f ca="1">IF(H56="个人住宅",D57,D58)</f>
        <v>16715</v>
      </c>
      <c r="E56" s="1234" t="s">
        <v>1361</v>
      </c>
      <c r="F56" s="2317" t="str">
        <f>IF(H56="正常",F58,"免征")</f>
        <v>——</v>
      </c>
      <c r="G56" s="2320" t="s">
        <v>1362</v>
      </c>
      <c r="H56" s="2321" t="s">
        <v>3499</v>
      </c>
      <c r="I56" s="1647"/>
      <c r="J56" s="2287" t="str">
        <f>IF(项目基本情况!K6="上海银行",IF(J55="",4,J55+1),"")</f>
        <v/>
      </c>
      <c r="K56" s="3455" t="str">
        <f>IF(项目基本情况!K6="上海银行","其他处置费用","")</f>
        <v/>
      </c>
      <c r="L56" s="3456"/>
      <c r="M56" s="2289" t="str">
        <f>IF(项目基本情况!K6="上海银行",M69,"")</f>
        <v/>
      </c>
      <c r="N56" s="3455" t="str">
        <f>IF(项目基本情况!K6="上海银行","包含处置中涉及的律师、诉讼、拍卖、评估等费用","")</f>
        <v/>
      </c>
      <c r="O56" s="3458"/>
    </row>
    <row r="57" spans="1:35" ht="12.75">
      <c r="A57" s="2130" t="s">
        <v>1338</v>
      </c>
      <c r="B57" s="3393" t="s">
        <v>1363</v>
      </c>
      <c r="C57" s="3394"/>
      <c r="D57" s="1456">
        <v>0</v>
      </c>
      <c r="E57" s="309" t="s">
        <v>1340</v>
      </c>
      <c r="F57" s="288"/>
      <c r="G57" s="2318"/>
      <c r="H57" s="2322"/>
      <c r="I57" s="1647"/>
      <c r="J57" s="3432">
        <f>IF(AND(J55="",J56=""),4,IF(项目基本情况!K6="上海银行",结果表!J56+1,结果表!J55+1))</f>
        <v>4</v>
      </c>
      <c r="K57" s="3432" t="s">
        <v>1364</v>
      </c>
      <c r="L57" s="2294" t="s">
        <v>1365</v>
      </c>
      <c r="M57" s="2295"/>
      <c r="N57" s="2296">
        <f ca="1">SUMIF(M52:M56,"&lt;9e307")</f>
        <v>22622</v>
      </c>
      <c r="O57" s="2297"/>
      <c r="P57" s="2439">
        <f ca="1">N57/M49</f>
        <v>0.2061737283887608</v>
      </c>
    </row>
    <row r="58" spans="1:35" ht="24.75">
      <c r="A58" s="2130" t="s">
        <v>1349</v>
      </c>
      <c r="B58" s="3393" t="s">
        <v>1366</v>
      </c>
      <c r="C58" s="3367"/>
      <c r="D58" s="12">
        <f ca="1">IF(H58="转让取得",C81,C97)</f>
        <v>16715</v>
      </c>
      <c r="E58" s="1234" t="s">
        <v>1361</v>
      </c>
      <c r="F58" s="288" t="s">
        <v>28</v>
      </c>
      <c r="G58" s="2318"/>
      <c r="H58" s="2321" t="s">
        <v>3988</v>
      </c>
      <c r="I58" s="1647"/>
      <c r="J58" s="3432"/>
      <c r="K58" s="3432"/>
      <c r="L58" s="2294" t="s">
        <v>1367</v>
      </c>
      <c r="M58" s="2298"/>
      <c r="N58" s="2299" t="str">
        <f ca="1">NUMBERSTRING(INT(N57*10000),2)&amp;"元整"</f>
        <v>贰亿贰仟陆佰贰拾贰万元整</v>
      </c>
      <c r="O58" s="2300"/>
    </row>
    <row r="59" spans="1:35" ht="24.75" thickBot="1">
      <c r="A59" s="3435" t="s">
        <v>1368</v>
      </c>
      <c r="B59" s="3436"/>
      <c r="C59" s="3436"/>
      <c r="D59" s="2323" t="str">
        <f>IF(H59="非个人房产","——",IF(H59="个人住宅（满五唯一有凭证）",0,IF(H59="个人其他（无凭证）",ROUND(D45/(1+'数据-取费表'!C42)*F59,0),ROUND(C67*F59,0))))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1362</v>
      </c>
      <c r="H59" s="2115" t="s">
        <v>3989</v>
      </c>
      <c r="I59" s="2114" t="s">
        <v>2132</v>
      </c>
      <c r="J59" s="3433">
        <f>J57+1</f>
        <v>5</v>
      </c>
      <c r="K59" s="3432" t="s">
        <v>1369</v>
      </c>
      <c r="L59" s="2287" t="s">
        <v>1365</v>
      </c>
      <c r="M59" s="2301"/>
      <c r="N59" s="2302">
        <f ca="1">M49-N57</f>
        <v>87101</v>
      </c>
      <c r="O59" s="2303"/>
    </row>
    <row r="60" spans="1:35" ht="12" customHeight="1">
      <c r="A60" s="1648"/>
      <c r="B60" s="636"/>
      <c r="C60" s="636"/>
      <c r="D60" s="636"/>
      <c r="E60" s="1444"/>
      <c r="F60" s="1647"/>
      <c r="G60" s="1647"/>
      <c r="H60" s="145"/>
      <c r="I60" s="115"/>
      <c r="J60" s="3434"/>
      <c r="K60" s="3432"/>
      <c r="L60" s="2294" t="s">
        <v>1367</v>
      </c>
      <c r="M60" s="2298"/>
      <c r="N60" s="2299" t="str">
        <f ca="1">NUMBERSTRING(INT(N59*10000),2)&amp;"元整"</f>
        <v>捌亿柒仟壹佰零壹万元整</v>
      </c>
      <c r="O60" s="2300"/>
    </row>
    <row r="61" spans="1:35" ht="13.5" thickBot="1">
      <c r="A61" s="3380" t="s">
        <v>1370</v>
      </c>
      <c r="B61" s="3380"/>
      <c r="C61" s="3380"/>
      <c r="D61" s="3380"/>
      <c r="E61" s="3380"/>
      <c r="F61" s="1647"/>
      <c r="G61" s="1647"/>
      <c r="H61" s="145"/>
      <c r="I61" s="115"/>
      <c r="J61" s="2287">
        <f>J59+1</f>
        <v>6</v>
      </c>
      <c r="K61" s="3432" t="s">
        <v>1371</v>
      </c>
      <c r="L61" s="3432"/>
      <c r="M61" s="2304"/>
      <c r="N61" s="2305">
        <f ca="1">ROUND(N59*10000/'数据-汇总表'!E3,0)</f>
        <v>19264</v>
      </c>
      <c r="O61" s="2306"/>
    </row>
    <row r="62" spans="1:35" ht="12.75">
      <c r="A62" s="3398" t="s">
        <v>1372</v>
      </c>
      <c r="B62" s="3399"/>
      <c r="C62" s="1842"/>
      <c r="D62" s="1842" t="s">
        <v>1373</v>
      </c>
      <c r="E62" s="152" t="s">
        <v>1374</v>
      </c>
      <c r="F62" s="1647"/>
      <c r="G62" s="1647"/>
      <c r="H62" s="145"/>
      <c r="I62" s="115"/>
    </row>
    <row r="63" spans="1:35" ht="12.75">
      <c r="A63" s="159" t="s">
        <v>330</v>
      </c>
      <c r="B63" s="153" t="s">
        <v>1375</v>
      </c>
      <c r="C63" s="2327">
        <f ca="1">ROUND((C64+C65)/(1+'数据-取费表'!C42),0)</f>
        <v>104498</v>
      </c>
      <c r="D63" s="153"/>
      <c r="E63" s="154"/>
      <c r="F63" s="1647"/>
      <c r="G63" s="1647"/>
      <c r="H63" s="145"/>
      <c r="I63" s="115"/>
      <c r="J63" s="3457" t="s">
        <v>1376</v>
      </c>
      <c r="K63" s="1223" t="s">
        <v>1377</v>
      </c>
      <c r="L63" s="1223">
        <f ca="1">IF(M49&gt;10000,M49*0.5%,IF(AND(M49&gt;1000,M49&lt;=10000),M49*1%,IF(AND(M49&gt;100,M49&lt;=1000),M49*3%,IF(AND(M49&gt;10,M49&lt;=100),M49*5%,M49*8%))))</f>
        <v>548.61500000000001</v>
      </c>
      <c r="M63" s="288">
        <f ca="1">ROUND(L63,1)</f>
        <v>548.6</v>
      </c>
      <c r="N63" s="2307"/>
      <c r="Z63" s="1600"/>
      <c r="AI63" s="1539"/>
    </row>
    <row r="64" spans="1:35" ht="14.25" customHeight="1">
      <c r="A64" s="155" t="s">
        <v>325</v>
      </c>
      <c r="B64" s="156" t="s">
        <v>1378</v>
      </c>
      <c r="C64" s="2328">
        <f ca="1">D45</f>
        <v>109723</v>
      </c>
      <c r="D64" s="156" t="s">
        <v>26</v>
      </c>
      <c r="E64" s="158"/>
      <c r="F64" s="1647"/>
      <c r="G64" s="1647"/>
      <c r="H64" s="145"/>
      <c r="I64" s="115"/>
      <c r="J64" s="3457"/>
      <c r="K64" s="1223" t="s">
        <v>1379</v>
      </c>
      <c r="L64" s="1223">
        <f ca="1">IF(M49&gt;2000,M49*0.5%,IF(AND(M49&gt;1000,M49&lt;=2000),M49*0.6%,IF(AND(M49&gt;500,M49&lt;=1000),M49*0.7%,IF(AND(M49&gt;200,M49&lt;=500),M49*0.8%,IF(AND(M49&gt;100,M49&lt;=200),M49*0.9%,IF(AND(M49&gt;50,M49&lt;=100),M49*1%,IF(AND(M49&gt;20,M49&lt;=50),M49*1.5%,IF(AND(M49&gt;10,M49&lt;=20),M49*2%,IF(AND(M49&gt;1,M49&lt;=10),M49*2.5%)))))))))</f>
        <v>548.61500000000001</v>
      </c>
      <c r="M64" s="288">
        <f t="shared" ref="M64:M65" ca="1" si="1">ROUND(L64,1)</f>
        <v>548.6</v>
      </c>
      <c r="N64" s="2308" t="s">
        <v>1380</v>
      </c>
      <c r="Z64" s="1600"/>
      <c r="AI64" s="1539"/>
    </row>
    <row r="65" spans="1:35" ht="14.25" customHeight="1">
      <c r="A65" s="155" t="s">
        <v>326</v>
      </c>
      <c r="B65" s="156" t="s">
        <v>1381</v>
      </c>
      <c r="C65" s="2329"/>
      <c r="D65" s="156"/>
      <c r="E65" s="158"/>
      <c r="F65" s="1647"/>
      <c r="G65" s="1647"/>
      <c r="H65" s="145"/>
      <c r="I65" s="115"/>
      <c r="J65" s="3457"/>
      <c r="K65" s="1223" t="s">
        <v>1382</v>
      </c>
      <c r="L65" s="1223">
        <f ca="1">IF(M49&gt;1000,M49*0.1%,IF(AND(M49&gt;500,M49&lt;=1000),M49*0.5%,IF(AND(M49&gt;50,M49&lt;=500),M49*1%,IF(AND(M49&gt;1,M49&lt;=50),M49*1.5%))))</f>
        <v>109.723</v>
      </c>
      <c r="M65" s="288">
        <f t="shared" ca="1" si="1"/>
        <v>109.7</v>
      </c>
      <c r="N65" s="2308" t="s">
        <v>1380</v>
      </c>
      <c r="Z65" s="1600"/>
      <c r="AI65" s="1539"/>
    </row>
    <row r="66" spans="1:35" ht="14.25" customHeight="1">
      <c r="A66" s="159" t="s">
        <v>327</v>
      </c>
      <c r="B66" s="160" t="s">
        <v>1383</v>
      </c>
      <c r="C66" s="2330"/>
      <c r="D66" s="160" t="s">
        <v>26</v>
      </c>
      <c r="E66" s="1229" t="s">
        <v>668</v>
      </c>
      <c r="F66" s="1647"/>
      <c r="G66" s="1647"/>
      <c r="H66" s="145"/>
      <c r="I66" s="115"/>
      <c r="J66" s="3457"/>
      <c r="K66" s="1223" t="s">
        <v>1384</v>
      </c>
      <c r="L66" s="1223">
        <f ca="1">M49*0.5%</f>
        <v>548.61500000000001</v>
      </c>
      <c r="M66" s="288">
        <f ca="1">IF(L66&gt;0.5,0.5,ROUND(L66,0))</f>
        <v>0.5</v>
      </c>
      <c r="N66" s="2308" t="s">
        <v>1385</v>
      </c>
      <c r="Z66" s="1600"/>
      <c r="AI66" s="1539"/>
    </row>
    <row r="67" spans="1:35" ht="14.25" customHeight="1">
      <c r="A67" s="159" t="s">
        <v>328</v>
      </c>
      <c r="B67" s="160" t="s">
        <v>1386</v>
      </c>
      <c r="C67" s="2331">
        <f ca="1">C63-C66</f>
        <v>104498</v>
      </c>
      <c r="D67" s="156" t="s">
        <v>26</v>
      </c>
      <c r="E67" s="158"/>
      <c r="F67" s="1647"/>
      <c r="G67" s="1647"/>
      <c r="H67" s="145"/>
      <c r="I67" s="115"/>
      <c r="J67" s="3457"/>
      <c r="K67" s="1223" t="s">
        <v>1387</v>
      </c>
      <c r="L67" s="1223">
        <f ca="1">IF(M49&gt;=10000,(8.25+(M49-10000)*0.01%),IF(AND(M49&gt;=8000,M49&lt;10000),(7.85+(M49-8000)*0.02%),IF(AND(M49&gt;=5000,M49&lt;8000),(6.65+(M49-5000)*0.04%),IF(AND(M49&gt;=2000,M49&lt;5000),(4.25+(PM49-2000)*0.08%),IF(AND(M49&gt;=1000,M49&lt;2000),(2.75+(M49-1000)*0.15%),IF(AND(M49&gt;=100,M49&lt;1000),(0.5+(M49-100)*0.25%),IF(AND(M49&gt;0,M49&lt;100),M49*0.5%)))))))</f>
        <v>18.222300000000001</v>
      </c>
      <c r="M67" s="288">
        <f ca="1">ROUND(L67*0.9,1)</f>
        <v>16.399999999999999</v>
      </c>
      <c r="N67" s="2307"/>
      <c r="Z67" s="1600"/>
      <c r="AI67" s="1539"/>
    </row>
    <row r="68" spans="1:35" ht="14.25" customHeight="1" thickBot="1">
      <c r="A68" s="162" t="s">
        <v>329</v>
      </c>
      <c r="B68" s="163" t="s">
        <v>1388</v>
      </c>
      <c r="C68" s="2332">
        <f ca="1">IF(C67&lt;=0,0,ROUND(C67*D68,0))</f>
        <v>5852</v>
      </c>
      <c r="D68" s="2333">
        <f>'数据-取费表'!B41</f>
        <v>5.6000000000000001E-2</v>
      </c>
      <c r="E68" s="164"/>
      <c r="F68" s="1647"/>
      <c r="G68" s="1647"/>
      <c r="H68" s="145"/>
      <c r="I68" s="115"/>
      <c r="J68" s="3457"/>
      <c r="K68" s="1223" t="s">
        <v>1389</v>
      </c>
      <c r="L68" s="1223">
        <f ca="1">IF(M49&gt;10000,M49*0.5%,IF(AND(M49&gt;5000,M49&lt;=10000),M49*1%,IF(AND(M49&gt;1000,M49&lt;=5000),M49*2%,IF(AND(M49&gt;200,M49&lt;=1000),M49*3%,M49*5%))))</f>
        <v>548.61500000000001</v>
      </c>
      <c r="M68" s="288">
        <f ca="1">ROUND(L68,1)</f>
        <v>548.6</v>
      </c>
      <c r="N68" s="2307"/>
      <c r="Z68" s="1600"/>
      <c r="AI68" s="1539"/>
    </row>
    <row r="69" spans="1:35" ht="16.5" customHeight="1">
      <c r="A69" s="1649"/>
      <c r="B69" s="1650"/>
      <c r="C69" s="1651"/>
      <c r="D69" s="1652"/>
      <c r="E69" s="1653"/>
      <c r="F69" s="1444"/>
      <c r="G69" s="1444"/>
      <c r="H69" s="1445"/>
      <c r="I69" s="636"/>
      <c r="J69" s="3457"/>
      <c r="K69" s="1223" t="s">
        <v>1390</v>
      </c>
      <c r="L69" s="1223"/>
      <c r="M69" s="288">
        <f ca="1">ROUND(SUM(M63:M68),0)</f>
        <v>1772</v>
      </c>
      <c r="N69" s="2309">
        <f ca="1">M69/M49</f>
        <v>1.6149758938417653E-2</v>
      </c>
      <c r="Z69" s="1600"/>
      <c r="AI69" s="1539"/>
    </row>
    <row r="70" spans="1:35" s="632" customFormat="1" ht="15" thickBot="1">
      <c r="A70" s="3419" t="s">
        <v>1391</v>
      </c>
      <c r="B70" s="3420"/>
      <c r="C70" s="3420"/>
      <c r="D70" s="3420"/>
      <c r="E70" s="3420"/>
      <c r="F70" s="3420"/>
      <c r="G70" s="3420"/>
      <c r="H70" s="3420"/>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398" t="s">
        <v>1372</v>
      </c>
      <c r="B71" s="3399"/>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f ca="1">ROUND(D45/(1+'数据-取费表'!C42),0)</f>
        <v>104498</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f ca="1">C74+C78</f>
        <v>627</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393" t="s">
        <v>1399</v>
      </c>
      <c r="F76" s="3367"/>
      <c r="G76" s="3367"/>
      <c r="H76" s="3418"/>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f ca="1">ROUND(D45*D78/(1+'数据-取费表'!C42),0)</f>
        <v>627</v>
      </c>
      <c r="D78" s="2340">
        <f>'数据-取费表'!B43</f>
        <v>6.000000000000001E-3</v>
      </c>
      <c r="E78" s="3377" t="s">
        <v>1403</v>
      </c>
      <c r="F78" s="3378"/>
      <c r="G78" s="3378"/>
      <c r="H78" s="338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1404</v>
      </c>
      <c r="C79" s="2331">
        <f ca="1">C72-C73</f>
        <v>103871</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f ca="1">IF(C79&lt;=0,0,C79/C73)</f>
        <v>165.66347687400318</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f ca="1">ROUND(IF(C79&lt;=0,0,IF(C80&gt;=200%,C79*60%-C73*35%,IF(C80&gt;=100%,C79*50%-C73*15%,IF(C80&gt;=50%,C79*40%-C73*5%,IF(C80&lt;50%,C79*30%,0))))),0)</f>
        <v>62103</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419" t="s">
        <v>1407</v>
      </c>
      <c r="B83" s="3420"/>
      <c r="C83" s="3420"/>
      <c r="D83" s="3420"/>
      <c r="E83" s="3420"/>
      <c r="F83" s="3420"/>
      <c r="G83" s="3420"/>
      <c r="H83" s="3420"/>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398" t="s">
        <v>1372</v>
      </c>
      <c r="B84" s="3399"/>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f ca="1">ROUND(D45/(1+'数据-取费表'!C42),0)</f>
        <v>104498</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f ca="1">IF(H88="仅含出让金",C87+C90+C91+C92+C93+C94,C87+C91+C92+C93+C94)</f>
        <v>55743.002500000002</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19722.002499999999</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f>ROUND((4642*'数据-汇总表'!F19+4149*'数据-汇总表'!F20)/10000,4)</f>
        <v>19138.002499999999</v>
      </c>
      <c r="D88" s="2340"/>
      <c r="E88" s="179" t="s">
        <v>1410</v>
      </c>
      <c r="F88" s="2125"/>
      <c r="G88" s="180" t="s">
        <v>1411</v>
      </c>
      <c r="H88" s="1661" t="s">
        <v>3990</v>
      </c>
      <c r="I88" s="1658"/>
      <c r="J88" s="2285" t="s">
        <v>2274</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584</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459" t="s">
        <v>2124</v>
      </c>
      <c r="H90" s="3460"/>
      <c r="I90" s="1658"/>
      <c r="J90" s="2285" t="s">
        <v>2275</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 ca="1">IF(H91="——",成本法!C33,I91)</f>
        <v>22675</v>
      </c>
      <c r="D91" s="2340"/>
      <c r="E91" s="3377" t="s">
        <v>1416</v>
      </c>
      <c r="F91" s="3378"/>
      <c r="G91" s="3378"/>
      <c r="H91" s="1662" t="s">
        <v>43</v>
      </c>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 ca="1">ROUND((C87+C90+C91)*D92,0)</f>
        <v>4240</v>
      </c>
      <c r="D92" s="2346">
        <v>0.1</v>
      </c>
      <c r="E92" s="3377" t="s">
        <v>1419</v>
      </c>
      <c r="F92" s="3378"/>
      <c r="G92" s="3378"/>
      <c r="H92" s="3387"/>
      <c r="I92" s="1658"/>
      <c r="J92" s="2286" t="s">
        <v>2276</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f ca="1">ROUND(D45*D93/(1+'数据-取费表'!C42),0)</f>
        <v>627</v>
      </c>
      <c r="D93" s="2340">
        <f>'数据-取费表'!B43</f>
        <v>6.000000000000001E-3</v>
      </c>
      <c r="E93" s="3377" t="s">
        <v>1403</v>
      </c>
      <c r="F93" s="3378"/>
      <c r="G93" s="3378"/>
      <c r="H93" s="338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 ca="1">ROUND((C87+C90+C91)*D94,0)</f>
        <v>8479</v>
      </c>
      <c r="D94" s="2340">
        <v>0.2</v>
      </c>
      <c r="E94" s="3388" t="s">
        <v>1423</v>
      </c>
      <c r="F94" s="3389"/>
      <c r="G94" s="3389"/>
      <c r="H94" s="3390"/>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1404</v>
      </c>
      <c r="C95" s="2331">
        <f ca="1">ROUND(C85-C86,0)</f>
        <v>48755</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f ca="1">IF(C95&lt;=0,0,C95/C86)</f>
        <v>0.87463892889515593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f ca="1">ROUND(IF(C95&lt;=0,0,IF(C96&gt;=200%,C95*60%-C86*35%,IF(C96&gt;=100%,C95*50%-C86*15%,IF(C96&gt;=50%,C95*40%-C86*5%,IF(C96&lt;50%,C95*30%,0))))),0)</f>
        <v>16715</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361" t="s">
        <v>1425</v>
      </c>
      <c r="B100" s="3362"/>
      <c r="C100" s="3362"/>
      <c r="D100" s="3379"/>
      <c r="E100" s="3362" t="s">
        <v>1426</v>
      </c>
      <c r="F100" s="3362"/>
      <c r="G100" s="3362"/>
      <c r="H100" s="3379"/>
      <c r="I100" s="115"/>
    </row>
    <row r="101" spans="1:35" ht="18.75" customHeight="1">
      <c r="A101" s="3440" t="s">
        <v>1427</v>
      </c>
      <c r="B101" s="3441"/>
      <c r="C101" s="2348" t="str">
        <f>C4</f>
        <v>成本法</v>
      </c>
      <c r="D101" s="2349" t="str">
        <f>D4</f>
        <v>收益法（汇总）</v>
      </c>
      <c r="E101" s="3454" t="s">
        <v>1428</v>
      </c>
      <c r="F101" s="3411"/>
      <c r="G101" s="1664" t="s">
        <v>1429</v>
      </c>
      <c r="H101" s="2358">
        <f ca="1">H118</f>
        <v>109723</v>
      </c>
      <c r="I101" s="115"/>
    </row>
    <row r="102" spans="1:35" ht="18.75" customHeight="1">
      <c r="A102" s="3413" t="s">
        <v>1430</v>
      </c>
      <c r="B102" s="2347" t="s">
        <v>1429</v>
      </c>
      <c r="C102" s="2348">
        <f ca="1">IF(D32="楼面单价",ROUND(C19,0),C19)</f>
        <v>106044</v>
      </c>
      <c r="D102" s="2349">
        <f ca="1">IF(D32="楼面单价",ROUND(D19,0),D19)</f>
        <v>113401</v>
      </c>
      <c r="E102" s="3454"/>
      <c r="F102" s="3411"/>
      <c r="G102" s="1664" t="s">
        <v>1431</v>
      </c>
      <c r="H102" s="2318">
        <f ca="1">I118</f>
        <v>24267</v>
      </c>
      <c r="I102" s="115"/>
    </row>
    <row r="103" spans="1:35" ht="42.75" customHeight="1">
      <c r="A103" s="3413"/>
      <c r="B103" s="2347" t="s">
        <v>1431</v>
      </c>
      <c r="C103" s="2350">
        <f ca="1">C20</f>
        <v>23454</v>
      </c>
      <c r="D103" s="2351">
        <f ca="1">D20</f>
        <v>25081</v>
      </c>
      <c r="E103" s="3448" t="s">
        <v>1432</v>
      </c>
      <c r="F103" s="3449"/>
      <c r="G103" s="1665" t="s">
        <v>1433</v>
      </c>
      <c r="H103" s="2358">
        <f>IF(D36="正常操作",H104+H105+H106,H105+H106)</f>
        <v>0</v>
      </c>
      <c r="I103" s="115"/>
    </row>
    <row r="104" spans="1:35" ht="18.75" customHeight="1">
      <c r="A104" s="3413" t="s">
        <v>1434</v>
      </c>
      <c r="B104" s="2352" t="s">
        <v>1429</v>
      </c>
      <c r="C104" s="2353">
        <f ca="1">H118</f>
        <v>109723</v>
      </c>
      <c r="D104" s="2354"/>
      <c r="E104" s="1533" t="s">
        <v>1435</v>
      </c>
      <c r="F104" s="1526"/>
      <c r="G104" s="1665" t="s">
        <v>1433</v>
      </c>
      <c r="H104" s="2359">
        <f>IF(D36="同一抵押权人同一抵押物续贷",C36&amp;"（续贷，未扣减，详见特别提示）",C36)</f>
        <v>0</v>
      </c>
      <c r="I104" s="115"/>
    </row>
    <row r="105" spans="1:35" ht="18.75" customHeight="1" thickBot="1">
      <c r="A105" s="3414"/>
      <c r="B105" s="2355" t="s">
        <v>1431</v>
      </c>
      <c r="C105" s="2356">
        <f ca="1">I118</f>
        <v>24267</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410" t="str">
        <f>IF(项目基本情况!E8="已注销","——","3.房地产抵押价值")</f>
        <v>3.房地产抵押价值</v>
      </c>
      <c r="F107" s="3411"/>
      <c r="G107" s="1664" t="s">
        <v>1429</v>
      </c>
      <c r="H107" s="2358">
        <f ca="1">IF(E107="——","——",H101-H103)</f>
        <v>109723</v>
      </c>
      <c r="I107" s="115"/>
    </row>
    <row r="108" spans="1:35" ht="18.75" customHeight="1">
      <c r="A108" s="115"/>
      <c r="B108" s="115"/>
      <c r="C108" s="115"/>
      <c r="D108" s="115"/>
      <c r="E108" s="3410"/>
      <c r="F108" s="3411"/>
      <c r="G108" s="1664" t="s">
        <v>1431</v>
      </c>
      <c r="H108" s="2318">
        <f ca="1">IF(H107=H101,H102,ROUND(H107*10000/'数据-汇总表'!E3,0))</f>
        <v>24267</v>
      </c>
      <c r="I108" s="115"/>
    </row>
    <row r="109" spans="1:35" ht="18.75" customHeight="1">
      <c r="A109" s="115"/>
      <c r="B109" s="115"/>
      <c r="C109" s="115"/>
      <c r="D109" s="115"/>
      <c r="E109" s="3410" t="str">
        <f>IF(项目基本情况!E8="已注销及未注销","4.抵押担保权已注销时的房地产抵押价值",IF(项目基本情况!E8="已注销","3.抵押担保权已注销时的房地产抵押价值","——"))</f>
        <v>——</v>
      </c>
      <c r="F109" s="3411"/>
      <c r="G109" s="1664" t="s">
        <v>1429</v>
      </c>
      <c r="H109" s="2361" t="str">
        <f>IF(E109="——","——",H101-H105-H106)</f>
        <v>——</v>
      </c>
      <c r="I109" s="115"/>
    </row>
    <row r="110" spans="1:35" ht="18.75" customHeight="1">
      <c r="A110" s="115"/>
      <c r="B110" s="115"/>
      <c r="C110" s="115"/>
      <c r="D110" s="115"/>
      <c r="E110" s="3410"/>
      <c r="F110" s="3411"/>
      <c r="G110" s="1664" t="s">
        <v>1431</v>
      </c>
      <c r="H110" s="2318" t="str">
        <f>IF(H109="——","——",ROUND(H109*10000/'数据-汇总表'!E3,0))</f>
        <v>——</v>
      </c>
      <c r="I110" s="115"/>
    </row>
    <row r="111" spans="1:35" ht="18.75" customHeight="1">
      <c r="A111" s="115"/>
      <c r="B111" s="115"/>
      <c r="C111" s="115"/>
      <c r="D111" s="115"/>
      <c r="E111" s="3442" t="str">
        <f>IF(项目基本情况!E9="抵押净值",IF(OR(项目基本情况!E8="已注销",项目基本情况!E8="房地产抵押价值"),"4.抵押净值","5.抵押净值"),"——")</f>
        <v>——</v>
      </c>
      <c r="F111" s="3412"/>
      <c r="G111" s="1664" t="s">
        <v>1429</v>
      </c>
      <c r="H111" s="2358" t="str">
        <f>IF(E111="——","——",N59)</f>
        <v>——</v>
      </c>
      <c r="I111" s="115"/>
    </row>
    <row r="112" spans="1:35" ht="18.75" customHeight="1" thickBot="1">
      <c r="A112" s="115"/>
      <c r="B112" s="115"/>
      <c r="C112" s="115"/>
      <c r="D112" s="115"/>
      <c r="E112" s="3443"/>
      <c r="F112" s="3444"/>
      <c r="G112" s="1667" t="s">
        <v>1431</v>
      </c>
      <c r="H112" s="2362" t="str">
        <f>IF(E111="——","——",N61)</f>
        <v>——</v>
      </c>
      <c r="I112" s="115"/>
    </row>
    <row r="113" spans="1:27" ht="18.75" customHeight="1">
      <c r="A113" s="115"/>
      <c r="B113" s="115"/>
      <c r="C113" s="115"/>
      <c r="D113" s="115"/>
      <c r="E113" s="3415" t="s">
        <v>1437</v>
      </c>
      <c r="F113" s="3415"/>
      <c r="G113" s="3415"/>
      <c r="H113" s="3415"/>
      <c r="I113" s="115"/>
    </row>
    <row r="114" spans="1:27" ht="3.75" customHeight="1">
      <c r="A114" s="636"/>
      <c r="B114" s="636"/>
      <c r="C114" s="636"/>
      <c r="D114" s="636"/>
      <c r="E114" s="1648"/>
      <c r="F114" s="1648"/>
      <c r="G114" s="1648"/>
      <c r="H114" s="1648"/>
      <c r="I114" s="636"/>
    </row>
    <row r="115" spans="1:27" ht="18.75" customHeight="1">
      <c r="A115" s="3425" t="s">
        <v>1439</v>
      </c>
      <c r="B115" s="3426"/>
      <c r="C115" s="3426"/>
      <c r="D115" s="3426"/>
      <c r="E115" s="3426"/>
      <c r="F115" s="3426"/>
      <c r="G115" s="3426"/>
      <c r="H115" s="3426"/>
      <c r="I115" s="3427"/>
    </row>
    <row r="116" spans="1:27" ht="27" customHeight="1">
      <c r="A116" s="3381" t="s">
        <v>1440</v>
      </c>
      <c r="B116" s="3416" t="s">
        <v>1441</v>
      </c>
      <c r="C116" s="3416" t="s">
        <v>1442</v>
      </c>
      <c r="D116" s="3429" t="s">
        <v>1443</v>
      </c>
      <c r="E116" s="3430"/>
      <c r="F116" s="3424" t="s">
        <v>1444</v>
      </c>
      <c r="G116" s="3424"/>
      <c r="H116" s="3381" t="s">
        <v>1445</v>
      </c>
      <c r="I116" s="3381"/>
    </row>
    <row r="117" spans="1:27" ht="18.75" customHeight="1">
      <c r="A117" s="3381"/>
      <c r="B117" s="3417"/>
      <c r="C117" s="3417"/>
      <c r="D117" s="2127" t="s">
        <v>1446</v>
      </c>
      <c r="E117" s="2127" t="s">
        <v>1447</v>
      </c>
      <c r="F117" s="2127" t="s">
        <v>1446</v>
      </c>
      <c r="G117" s="2127" t="s">
        <v>1448</v>
      </c>
      <c r="H117" s="2127" t="s">
        <v>1446</v>
      </c>
      <c r="I117" s="2127" t="s">
        <v>1448</v>
      </c>
    </row>
    <row r="118" spans="1:27" ht="24.75" customHeight="1">
      <c r="A118" s="2363" t="str">
        <f>项目基本情况!S2</f>
        <v>北京市房地产</v>
      </c>
      <c r="B118" s="2127">
        <f>M18</f>
        <v>45214.01</v>
      </c>
      <c r="C118" s="2127">
        <f>M19</f>
        <v>37658.28</v>
      </c>
      <c r="D118" s="2127">
        <f ca="1">ROUND(IF(D32="总价",C34,E118*B118/10000),0)</f>
        <v>80976</v>
      </c>
      <c r="E118" s="2127">
        <f ca="1">ROUND(IF(C33="自定义",IF(D32="楼面单价",C34,D118*10000/B118),I118-G118),0)</f>
        <v>17909</v>
      </c>
      <c r="F118" s="2127">
        <f ca="1">ROUND(IF(D32="总价",C35,G118*B118/10000),0)</f>
        <v>28747</v>
      </c>
      <c r="G118" s="2127">
        <f ca="1">ROUND(IF(D32="楼面单价",C35,F118*10000/B118),0)</f>
        <v>6358</v>
      </c>
      <c r="H118" s="2127">
        <f ca="1">ROUND(IF(D32="总价",C32,I118*B118/10000),0)</f>
        <v>109723</v>
      </c>
      <c r="I118" s="2127">
        <f ca="1">ROUND(IF(D32="楼面单价",C32,H118*10000/B118),0)</f>
        <v>24267</v>
      </c>
    </row>
    <row r="119" spans="1:27" ht="18.75" customHeight="1">
      <c r="A119" s="3381" t="s">
        <v>1449</v>
      </c>
      <c r="B119" s="3381"/>
      <c r="C119" s="3381"/>
      <c r="D119" s="3421" t="str">
        <f ca="1">NUMBERSTRING(INT(D118*10000),2)&amp;"元整"</f>
        <v>捌亿零玖佰柒拾陆万元整</v>
      </c>
      <c r="E119" s="3423"/>
      <c r="F119" s="3421" t="str">
        <f ca="1">NUMBERSTRING(INT(F118*10000),2)&amp;"元整"</f>
        <v>贰亿捌仟柒佰肆拾柒万元整</v>
      </c>
      <c r="G119" s="3423"/>
      <c r="H119" s="3421" t="str">
        <f ca="1">NUMBERSTRING(INT(H118*10000),2)&amp;"元整"</f>
        <v>壹拾亿玖仟柒佰贰拾叁万元整</v>
      </c>
      <c r="I119" s="3423"/>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421" t="s">
        <v>1449</v>
      </c>
      <c r="B121" s="3422"/>
      <c r="C121" s="3423"/>
      <c r="D121" s="3421" t="str">
        <f>IF(D120=0,"零元整",NUMBERSTRING(INT(D120*10000),2)&amp;"元整")</f>
        <v>零元整</v>
      </c>
      <c r="E121" s="3422"/>
      <c r="F121" s="3422"/>
      <c r="G121" s="3422"/>
      <c r="H121" s="3422"/>
      <c r="I121" s="3423"/>
      <c r="AA121" s="674"/>
    </row>
    <row r="122" spans="1:27" ht="18.75" customHeight="1">
      <c r="A122" s="3412" t="str">
        <f>IF(项目基本情况!B9="房地产市场价值","",MID(E107,3,LEN(E107)-2))</f>
        <v>房地产抵押价值</v>
      </c>
      <c r="B122" s="3412"/>
      <c r="C122" s="3412"/>
      <c r="D122" s="3445">
        <f ca="1">H107</f>
        <v>109723</v>
      </c>
      <c r="E122" s="3446"/>
      <c r="F122" s="3446"/>
      <c r="G122" s="3446"/>
      <c r="H122" s="3446"/>
      <c r="I122" s="3447"/>
      <c r="AA122" s="674"/>
    </row>
    <row r="123" spans="1:27" ht="18.75" customHeight="1">
      <c r="A123" s="3381" t="s">
        <v>1449</v>
      </c>
      <c r="B123" s="3381"/>
      <c r="C123" s="3381"/>
      <c r="D123" s="3421" t="str">
        <f ca="1">NUMBERSTRING(INT(D122*10000),2)&amp;"元整"</f>
        <v>壹拾亿玖仟柒佰贰拾叁万元整</v>
      </c>
      <c r="E123" s="3422"/>
      <c r="F123" s="3422"/>
      <c r="G123" s="3422"/>
      <c r="H123" s="3422"/>
      <c r="I123" s="3423"/>
      <c r="AA123" s="674"/>
    </row>
    <row r="124" spans="1:27" ht="18.75" customHeight="1">
      <c r="A124" s="3412" t="str">
        <f>IF(项目基本情况!B9="房地产市场价值","",MID(E109,3,LEN(E109)-2))</f>
        <v/>
      </c>
      <c r="B124" s="3412"/>
      <c r="C124" s="3412"/>
      <c r="D124" s="3445" t="str">
        <f>H109</f>
        <v>——</v>
      </c>
      <c r="E124" s="3446"/>
      <c r="F124" s="3446"/>
      <c r="G124" s="3446"/>
      <c r="H124" s="3446"/>
      <c r="I124" s="3447"/>
      <c r="AA124" s="674"/>
    </row>
    <row r="125" spans="1:27" ht="18.75" customHeight="1">
      <c r="A125" s="3381" t="s">
        <v>1449</v>
      </c>
      <c r="B125" s="3381"/>
      <c r="C125" s="3381"/>
      <c r="D125" s="3421" t="e">
        <f>NUMBERSTRING(INT(D124*10000),2)&amp;"元整"</f>
        <v>#VALUE!</v>
      </c>
      <c r="E125" s="3422"/>
      <c r="F125" s="3422"/>
      <c r="G125" s="3422"/>
      <c r="H125" s="3422"/>
      <c r="I125" s="3423"/>
      <c r="AA125" s="674"/>
    </row>
    <row r="126" spans="1:27" ht="18.75" customHeight="1">
      <c r="A126" s="3412" t="str">
        <f>IF(项目基本情况!B9="房地产市场价值","",MID(E111,3,LEN(E111)-2))</f>
        <v/>
      </c>
      <c r="B126" s="3412"/>
      <c r="C126" s="3412"/>
      <c r="D126" s="3445" t="str">
        <f>H111</f>
        <v>——</v>
      </c>
      <c r="E126" s="3446"/>
      <c r="F126" s="3446"/>
      <c r="G126" s="3446"/>
      <c r="H126" s="3446"/>
      <c r="I126" s="3447"/>
      <c r="AA126" s="674"/>
    </row>
    <row r="127" spans="1:27" ht="18.75" customHeight="1">
      <c r="A127" s="3381" t="s">
        <v>1449</v>
      </c>
      <c r="B127" s="3381"/>
      <c r="C127" s="3381"/>
      <c r="D127" s="3421" t="e">
        <f>NUMBERSTRING(INT(D126*10000),2)&amp;"元整"</f>
        <v>#VALUE!</v>
      </c>
      <c r="E127" s="3422"/>
      <c r="F127" s="3422"/>
      <c r="G127" s="3422"/>
      <c r="H127" s="3422"/>
      <c r="I127" s="3423"/>
      <c r="AA127" s="674"/>
    </row>
    <row r="128" spans="1:27" ht="21.75" customHeight="1">
      <c r="A128" s="3428" t="s">
        <v>1450</v>
      </c>
      <c r="B128" s="3428"/>
      <c r="C128" s="3428"/>
      <c r="D128" s="3428"/>
      <c r="E128" s="3428"/>
      <c r="F128" s="3428"/>
      <c r="G128" s="3428"/>
      <c r="H128" s="3428"/>
      <c r="I128" s="3428"/>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C5:D7">
    <cfRule type="cellIs" dxfId="166" priority="10" stopIfTrue="1" operator="equal">
      <formula>25</formula>
    </cfRule>
  </conditionalFormatting>
  <conditionalFormatting sqref="C8:D13">
    <cfRule type="cellIs" dxfId="165" priority="8" stopIfTrue="1" operator="equal">
      <formula>15</formula>
    </cfRule>
  </conditionalFormatting>
  <conditionalFormatting sqref="C14:D16">
    <cfRule type="cellIs" dxfId="164" priority="6" stopIfTrue="1" operator="equal">
      <formula>30</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J22" sqref="J2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1458</v>
      </c>
      <c r="B1" s="1352"/>
      <c r="C1" s="184"/>
      <c r="D1" s="184"/>
      <c r="E1" s="184"/>
      <c r="F1" s="184"/>
      <c r="G1" s="1040">
        <f>MATCH(B1,'数据-取费表'!A6:A16,0)+5</f>
        <v>8</v>
      </c>
    </row>
    <row r="2" spans="1:9" s="186" customFormat="1" ht="18" customHeight="1">
      <c r="A2" s="187" t="s">
        <v>1459</v>
      </c>
      <c r="B2" s="188">
        <f ca="1">IF(D2="——",C52,C52-E2)</f>
        <v>106044</v>
      </c>
      <c r="C2" s="185" t="s">
        <v>1460</v>
      </c>
      <c r="D2" s="1688" t="s">
        <v>43</v>
      </c>
      <c r="E2" s="1067" t="e">
        <f ca="1">SUMIF(INDIRECT("'"&amp;G2&amp;"'"&amp;"!A:A"),"承租人权益价值",INDIRECT("'"&amp;G2&amp;"'"&amp;"!c:c"))</f>
        <v>#REF!</v>
      </c>
      <c r="F2" s="1689" t="s">
        <v>1460</v>
      </c>
      <c r="G2" s="1690"/>
    </row>
    <row r="3" spans="1:9" s="186" customFormat="1" ht="18" customHeight="1" thickBot="1">
      <c r="A3" s="189" t="s">
        <v>1461</v>
      </c>
      <c r="B3" s="190">
        <f ca="1">ROUND(B2*10000/(IF(B1="",'数据-汇总表'!E3,INDIRECT("'数据-取费表'!k"&amp;$G$1))),0)</f>
        <v>23454</v>
      </c>
      <c r="C3" s="185" t="s">
        <v>1462</v>
      </c>
      <c r="D3" s="185"/>
      <c r="E3" s="185"/>
      <c r="F3" s="185"/>
      <c r="G3" s="185"/>
    </row>
    <row r="4" spans="1:9" s="194" customFormat="1" ht="15.75">
      <c r="A4" s="191" t="s">
        <v>1463</v>
      </c>
      <c r="B4" s="192"/>
      <c r="C4" s="192"/>
      <c r="D4" s="192"/>
      <c r="E4" s="192"/>
      <c r="F4" s="192"/>
      <c r="G4" s="193"/>
    </row>
    <row r="5" spans="1:9" s="200" customFormat="1" ht="13.5" customHeight="1">
      <c r="A5" s="241" t="s">
        <v>1464</v>
      </c>
      <c r="B5" s="196" t="s">
        <v>1465</v>
      </c>
      <c r="C5" s="197">
        <f ca="1">C6+C7+C8</f>
        <v>57915</v>
      </c>
      <c r="D5" s="197" t="s">
        <v>1466</v>
      </c>
      <c r="E5" s="198" t="s">
        <v>1467</v>
      </c>
      <c r="F5" s="198" t="s">
        <v>1468</v>
      </c>
      <c r="G5" s="199"/>
    </row>
    <row r="6" spans="1:9" s="200" customFormat="1" ht="13.5" customHeight="1">
      <c r="A6" s="714" t="s">
        <v>1469</v>
      </c>
      <c r="B6" s="201" t="s">
        <v>1470</v>
      </c>
      <c r="C6" s="202">
        <f ca="1">'基准地价（汇总）'!B2</f>
        <v>56201</v>
      </c>
      <c r="D6" s="203"/>
      <c r="E6" s="204"/>
      <c r="F6" s="204"/>
      <c r="G6" s="205"/>
    </row>
    <row r="7" spans="1:9" s="200" customFormat="1" ht="13.5" customHeight="1">
      <c r="A7" s="714" t="s">
        <v>1471</v>
      </c>
      <c r="B7" s="201" t="s">
        <v>1472</v>
      </c>
      <c r="C7" s="206">
        <f ca="1">ROUND(C6*F7,0)</f>
        <v>1714</v>
      </c>
      <c r="D7" s="206"/>
      <c r="E7" s="204"/>
      <c r="F7" s="207">
        <f>IF(项目基本情况!B8="出让",0,'数据-取费表'!B48+'数据-取费表'!B49)</f>
        <v>3.0499999999999999E-2</v>
      </c>
      <c r="G7" s="205"/>
    </row>
    <row r="8" spans="1:9" s="209" customFormat="1">
      <c r="A8" s="714" t="s">
        <v>1473</v>
      </c>
      <c r="B8" s="201" t="s">
        <v>1474</v>
      </c>
      <c r="C8" s="206">
        <f>IF(G8="已包含在土地购买价格中","0",IF(B1="",'数据-取费表'!B29,IF(G9="全部缴纳",C9+C10,H9)))</f>
        <v>0</v>
      </c>
      <c r="D8" s="208"/>
      <c r="E8" s="206"/>
      <c r="F8" s="207"/>
      <c r="G8" s="1691" t="s">
        <v>3952</v>
      </c>
    </row>
    <row r="9" spans="1:9" s="200" customFormat="1" ht="13.5" customHeight="1">
      <c r="A9" s="715" t="s">
        <v>355</v>
      </c>
      <c r="B9" s="210" t="s">
        <v>1475</v>
      </c>
      <c r="C9" s="211">
        <f ca="1">ROUND(D9*E9/10000,0)</f>
        <v>0</v>
      </c>
      <c r="D9" s="777">
        <f ca="1">IF(B1="",'数据-汇总表'!E5,IF(INDIRECT("'数据-取费表'!c"&amp;$G$1)="住宅",INDIRECT("'数据-取费表'!k"&amp;$G$1),0))</f>
        <v>0</v>
      </c>
      <c r="E9" s="211">
        <f>'数据-取费表'!B27</f>
        <v>160</v>
      </c>
      <c r="F9" s="207"/>
      <c r="G9" s="1692" t="s">
        <v>3953</v>
      </c>
      <c r="H9" s="1048"/>
      <c r="I9" s="1693" t="s">
        <v>1476</v>
      </c>
    </row>
    <row r="10" spans="1:9" s="200" customFormat="1" ht="13.5" customHeight="1">
      <c r="A10" s="715" t="s">
        <v>356</v>
      </c>
      <c r="B10" s="210" t="s">
        <v>1477</v>
      </c>
      <c r="C10" s="211">
        <f ca="1">ROUND(D10*E10/10000,0)</f>
        <v>904</v>
      </c>
      <c r="D10" s="777">
        <f ca="1">IF(B1="",'数据-汇总表'!E6,IF(INDIRECT("'数据-取费表'!c"&amp;$G$1)="住宅",INDIRECT("'数据-取费表'!s"&amp;$G$1),INDIRECT("'数据-取费表'!k"&amp;$G$1)+INDIRECT("'数据-取费表'!s"&amp;$G$1)))</f>
        <v>45214.01</v>
      </c>
      <c r="E10" s="211">
        <f>'数据-取费表'!B28</f>
        <v>200</v>
      </c>
      <c r="F10" s="207"/>
      <c r="G10" s="212"/>
    </row>
    <row r="11" spans="1:9" s="200" customFormat="1" ht="13.5" hidden="1" customHeight="1">
      <c r="A11" s="213" t="s">
        <v>4</v>
      </c>
      <c r="B11" s="201" t="s">
        <v>1478</v>
      </c>
      <c r="C11" s="197"/>
      <c r="D11" s="204"/>
      <c r="E11" s="204"/>
      <c r="F11" s="204"/>
      <c r="G11" s="205"/>
    </row>
    <row r="12" spans="1:9" s="200" customFormat="1" ht="13.5" hidden="1" customHeight="1">
      <c r="A12" s="213" t="s">
        <v>5</v>
      </c>
      <c r="B12" s="201" t="s">
        <v>1479</v>
      </c>
      <c r="C12" s="197">
        <v>0</v>
      </c>
      <c r="D12" s="204"/>
      <c r="E12" s="214"/>
      <c r="F12" s="207">
        <v>3.0499999999999999E-2</v>
      </c>
      <c r="G12" s="205"/>
    </row>
    <row r="13" spans="1:9" s="200" customFormat="1" ht="13.5" hidden="1" customHeight="1">
      <c r="A13" s="213" t="s">
        <v>6</v>
      </c>
      <c r="B13" s="201" t="s">
        <v>1480</v>
      </c>
      <c r="C13" s="197"/>
      <c r="D13" s="204"/>
      <c r="E13" s="204"/>
      <c r="F13" s="204"/>
      <c r="G13" s="205"/>
    </row>
    <row r="14" spans="1:9" s="200" customFormat="1" ht="13.5" hidden="1" customHeight="1">
      <c r="A14" s="213" t="s">
        <v>7</v>
      </c>
      <c r="B14" s="201" t="s">
        <v>1481</v>
      </c>
      <c r="C14" s="197"/>
      <c r="D14" s="204"/>
      <c r="E14" s="204"/>
      <c r="F14" s="204"/>
      <c r="G14" s="205" t="s">
        <v>1482</v>
      </c>
    </row>
    <row r="15" spans="1:9" s="200" customFormat="1" ht="13.5" hidden="1" customHeight="1">
      <c r="A15" s="213" t="s">
        <v>8</v>
      </c>
      <c r="B15" s="201" t="s">
        <v>1483</v>
      </c>
      <c r="C15" s="206"/>
      <c r="D15" s="204"/>
      <c r="E15" s="204"/>
      <c r="F15" s="204"/>
      <c r="G15" s="205" t="s">
        <v>1484</v>
      </c>
    </row>
    <row r="16" spans="1:9" s="200" customFormat="1" ht="13.5" hidden="1" customHeight="1">
      <c r="A16" s="213" t="s">
        <v>9</v>
      </c>
      <c r="B16" s="201" t="s">
        <v>1481</v>
      </c>
      <c r="C16" s="206"/>
      <c r="D16" s="204"/>
      <c r="E16" s="204"/>
      <c r="F16" s="204"/>
      <c r="G16" s="205"/>
    </row>
    <row r="17" spans="1:7" s="200" customFormat="1" ht="13.5" hidden="1" customHeight="1">
      <c r="A17" s="213" t="s">
        <v>10</v>
      </c>
      <c r="B17" s="201" t="s">
        <v>1485</v>
      </c>
      <c r="C17" s="215"/>
      <c r="D17" s="215"/>
      <c r="E17" s="215"/>
      <c r="F17" s="215"/>
      <c r="G17" s="205" t="s">
        <v>1484</v>
      </c>
    </row>
    <row r="18" spans="1:7" s="200" customFormat="1" ht="13.5" hidden="1" customHeight="1">
      <c r="A18" s="213" t="s">
        <v>11</v>
      </c>
      <c r="B18" s="201" t="s">
        <v>1486</v>
      </c>
      <c r="C18" s="206">
        <v>0</v>
      </c>
      <c r="D18" s="204"/>
      <c r="E18" s="204"/>
      <c r="F18" s="207">
        <v>3.0499999999999999E-2</v>
      </c>
      <c r="G18" s="205" t="s">
        <v>1487</v>
      </c>
    </row>
    <row r="19" spans="1:7" s="209" customFormat="1" ht="13.5" customHeight="1">
      <c r="A19" s="241" t="s">
        <v>1488</v>
      </c>
      <c r="B19" s="196" t="s">
        <v>1489</v>
      </c>
      <c r="C19" s="197" t="str">
        <f>IF(G19="已包含在土地取得成本中","0",ROUND(D19*E19/10000,0))</f>
        <v>0</v>
      </c>
      <c r="D19" s="198">
        <f ca="1">D9+D10</f>
        <v>45214.01</v>
      </c>
      <c r="E19" s="197">
        <f>'数据-取费表'!B31</f>
        <v>200</v>
      </c>
      <c r="F19" s="217"/>
      <c r="G19" s="1691" t="s">
        <v>3954</v>
      </c>
    </row>
    <row r="20" spans="1:7" s="200" customFormat="1" ht="13.5" customHeight="1">
      <c r="A20" s="241" t="s">
        <v>1490</v>
      </c>
      <c r="B20" s="196" t="s">
        <v>1491</v>
      </c>
      <c r="C20" s="218">
        <f ca="1">ROUND((C5+C19)*F20,0)</f>
        <v>1158</v>
      </c>
      <c r="D20" s="218"/>
      <c r="E20" s="218"/>
      <c r="F20" s="219">
        <f>'数据-取费表'!B37</f>
        <v>0.02</v>
      </c>
      <c r="G20" s="220" t="s">
        <v>1492</v>
      </c>
    </row>
    <row r="21" spans="1:7" s="200" customFormat="1" ht="13.5" customHeight="1">
      <c r="A21" s="241" t="s">
        <v>1493</v>
      </c>
      <c r="B21" s="196" t="s">
        <v>1494</v>
      </c>
      <c r="C21" s="221">
        <f>F21</f>
        <v>0.02</v>
      </c>
      <c r="D21" s="222" t="s">
        <v>1495</v>
      </c>
      <c r="E21" s="218"/>
      <c r="F21" s="219">
        <f>'数据-取费表'!B38</f>
        <v>0.02</v>
      </c>
      <c r="G21" s="220" t="s">
        <v>1496</v>
      </c>
    </row>
    <row r="22" spans="1:7" s="200" customFormat="1" ht="13.5" customHeight="1">
      <c r="A22" s="241" t="s">
        <v>1497</v>
      </c>
      <c r="B22" s="196" t="s">
        <v>1498</v>
      </c>
      <c r="C22" s="1019">
        <f ca="1">ROUND(SUM(C23:C25),0)</f>
        <v>3718</v>
      </c>
      <c r="D22" s="221">
        <f ca="1">C26</f>
        <v>5.9999999999999995E-4</v>
      </c>
      <c r="E22" s="222" t="s">
        <v>1495</v>
      </c>
      <c r="F22" s="223">
        <f ca="1">'数据-取费表'!B40</f>
        <v>3.1300000000000001E-2</v>
      </c>
      <c r="G22" s="220" t="str">
        <f>IF('数据-取费表'!B22&lt;=1,"单利计息","复利计息")</f>
        <v>复利计息</v>
      </c>
    </row>
    <row r="23" spans="1:7" s="200" customFormat="1" ht="13.5" customHeight="1">
      <c r="A23" s="716" t="s">
        <v>1499</v>
      </c>
      <c r="B23" s="201" t="s">
        <v>1500</v>
      </c>
      <c r="C23" s="1020">
        <f ca="1">ROUND(IF('数据-取费表'!B22&lt;=1,C5*F22*'数据-取费表'!B23,C5*(POWER((1+F22),'数据-取费表'!B23)-1)),0)</f>
        <v>3682</v>
      </c>
      <c r="D23" s="224"/>
      <c r="E23" s="224"/>
      <c r="F23" s="225"/>
      <c r="G23" s="226" t="s">
        <v>1501</v>
      </c>
    </row>
    <row r="24" spans="1:7" s="200" customFormat="1" ht="13.5" customHeight="1">
      <c r="A24" s="716" t="s">
        <v>1502</v>
      </c>
      <c r="B24" s="201" t="s">
        <v>1503</v>
      </c>
      <c r="C24" s="1020">
        <f ca="1">ROUND(IF('数据-取费表'!B22&lt;=1,C19*F22*('数据-取费表'!B19/2+'数据-取费表'!B21),C19*(POWER((1+F22),('数据-取费表'!B19/2+'数据-取费表'!B21))-1)),0)</f>
        <v>0</v>
      </c>
      <c r="D24" s="224"/>
      <c r="E24" s="224"/>
      <c r="F24" s="225"/>
      <c r="G24" s="226" t="s">
        <v>1504</v>
      </c>
    </row>
    <row r="25" spans="1:7" s="200" customFormat="1" ht="24">
      <c r="A25" s="716" t="s">
        <v>1505</v>
      </c>
      <c r="B25" s="201" t="s">
        <v>1506</v>
      </c>
      <c r="C25" s="1020">
        <f ca="1">ROUND(IF('数据-取费表'!B22&lt;=1,C20*F22*'数据-取费表'!B23/2,C20*(POWER((1+F22),'数据-取费表'!B23/2)-1)),0)</f>
        <v>36</v>
      </c>
      <c r="D25" s="224"/>
      <c r="E25" s="227"/>
      <c r="F25" s="225"/>
      <c r="G25" s="228" t="s">
        <v>1507</v>
      </c>
    </row>
    <row r="26" spans="1:7" s="200" customFormat="1">
      <c r="A26" s="716" t="s">
        <v>350</v>
      </c>
      <c r="B26" s="201" t="s">
        <v>1508</v>
      </c>
      <c r="C26" s="224">
        <f ca="1">ROUND(IF('数据-取费表'!B22&lt;=1,F21*F22*'数据-取费表'!B23/2,F21*(POWER((1+F22),'数据-取费表'!B23/2)-1)),4)</f>
        <v>5.9999999999999995E-4</v>
      </c>
      <c r="D26" s="224"/>
      <c r="E26" s="227"/>
      <c r="F26" s="225"/>
      <c r="G26" s="229"/>
    </row>
    <row r="27" spans="1:7" s="200" customFormat="1" ht="24.75">
      <c r="A27" s="241" t="s">
        <v>1509</v>
      </c>
      <c r="B27" s="230" t="s">
        <v>1510</v>
      </c>
      <c r="C27" s="231">
        <f ca="1">C28</f>
        <v>9452</v>
      </c>
      <c r="D27" s="221">
        <f ca="1">C29</f>
        <v>3.2000000000000002E-3</v>
      </c>
      <c r="E27" s="222" t="s">
        <v>1511</v>
      </c>
      <c r="F27" s="232">
        <f ca="1">IF(B1="",'数据-取费表'!Q16,INDIRECT("'数据-取费表'!q"&amp;$G$1))</f>
        <v>0.16</v>
      </c>
      <c r="G27" s="233" t="s">
        <v>1512</v>
      </c>
    </row>
    <row r="28" spans="1:7" s="200" customFormat="1" ht="13.5" customHeight="1">
      <c r="A28" s="716" t="s">
        <v>346</v>
      </c>
      <c r="B28" s="234" t="s">
        <v>1513</v>
      </c>
      <c r="C28" s="235">
        <f ca="1">ROUND((C5+C19+C20)*F27*'数据-取费表'!B21/'数据-取费表'!B20,0)</f>
        <v>9452</v>
      </c>
      <c r="D28" s="221"/>
      <c r="E28" s="222"/>
      <c r="F28" s="232"/>
      <c r="G28" s="233"/>
    </row>
    <row r="29" spans="1:7" s="200" customFormat="1" ht="13.5" customHeight="1">
      <c r="A29" s="716" t="s">
        <v>347</v>
      </c>
      <c r="B29" s="234" t="s">
        <v>1514</v>
      </c>
      <c r="C29" s="224">
        <f ca="1">ROUND(C21*F27*'数据-取费表'!B21/'数据-取费表'!B20,4)</f>
        <v>3.2000000000000002E-3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78278</v>
      </c>
      <c r="D31" s="216"/>
      <c r="E31" s="197"/>
      <c r="F31" s="236"/>
      <c r="G31" s="220" t="s">
        <v>1519</v>
      </c>
    </row>
    <row r="32" spans="1:7" s="194" customFormat="1" ht="15.75">
      <c r="A32" s="238" t="s">
        <v>1520</v>
      </c>
      <c r="B32" s="239"/>
      <c r="C32" s="239"/>
      <c r="D32" s="239"/>
      <c r="E32" s="239"/>
      <c r="F32" s="239"/>
      <c r="G32" s="240"/>
    </row>
    <row r="33" spans="1:7" s="200" customFormat="1" ht="13.5" customHeight="1">
      <c r="A33" s="241" t="s">
        <v>337</v>
      </c>
      <c r="B33" s="196" t="s">
        <v>1521</v>
      </c>
      <c r="C33" s="242">
        <f ca="1">SUM(C34:C38)</f>
        <v>22675</v>
      </c>
      <c r="D33" s="218"/>
      <c r="E33" s="198"/>
      <c r="F33" s="227"/>
      <c r="G33" s="220"/>
    </row>
    <row r="34" spans="1:7" s="244" customFormat="1" ht="13.5" customHeight="1">
      <c r="A34" s="716" t="s">
        <v>346</v>
      </c>
      <c r="B34" s="201" t="s">
        <v>1522</v>
      </c>
      <c r="C34" s="206">
        <f ca="1">IF(B1="",IF(F34=100%,'数据-取费表'!M16,'数据-取费表'!O16),IF(F34=100%,INDIRECT("'数据-取费表'!m"&amp;$G$1)+INDIRECT("'数据-取费表'!t"&amp;$G$1),INDIRECT("'数据-取费表'!o"&amp;$G$1)+INDIRECT("'数据-取费表'!aq"&amp;$G$1)))</f>
        <v>20347</v>
      </c>
      <c r="D34" s="203"/>
      <c r="E34" s="206"/>
      <c r="F34" s="243">
        <f ca="1">IF('数据-取费表'!B24=0,1,IF(B1="",'数据-取费表'!N16,INDIRECT("'数据-取费表'!n"&amp;$G$1)))</f>
        <v>1</v>
      </c>
      <c r="G34" s="205" t="s">
        <v>1523</v>
      </c>
    </row>
    <row r="35" spans="1:7" ht="13.5" customHeight="1">
      <c r="A35" s="716" t="s">
        <v>351</v>
      </c>
      <c r="B35" s="201" t="s">
        <v>1524</v>
      </c>
      <c r="C35" s="206">
        <f ca="1">ROUND(C34*F35,0)</f>
        <v>1017</v>
      </c>
      <c r="D35" s="206"/>
      <c r="E35" s="206"/>
      <c r="F35" s="245">
        <f>'数据-取费表'!B33</f>
        <v>0.05</v>
      </c>
      <c r="G35" s="205" t="s">
        <v>1525</v>
      </c>
    </row>
    <row r="36" spans="1:7" ht="24">
      <c r="A36" s="716" t="s">
        <v>352</v>
      </c>
      <c r="B36" s="201" t="s">
        <v>1526</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1527</v>
      </c>
    </row>
    <row r="37" spans="1:7" s="244" customFormat="1" ht="13.5" customHeight="1">
      <c r="A37" s="716" t="s">
        <v>353</v>
      </c>
      <c r="B37" s="201" t="s">
        <v>1528</v>
      </c>
      <c r="C37" s="235">
        <f ca="1">ROUND(E37*D37*F34/10000,0)</f>
        <v>904</v>
      </c>
      <c r="D37" s="203">
        <f ca="1">D19</f>
        <v>45214.01</v>
      </c>
      <c r="E37" s="235">
        <f>'数据-取费表'!B35</f>
        <v>200</v>
      </c>
      <c r="F37" s="245"/>
      <c r="G37" s="247" t="s">
        <v>1529</v>
      </c>
    </row>
    <row r="38" spans="1:7" ht="13.5" customHeight="1">
      <c r="A38" s="716" t="s">
        <v>354</v>
      </c>
      <c r="B38" s="201" t="s">
        <v>1530</v>
      </c>
      <c r="C38" s="206">
        <f ca="1">ROUND(C34*F38,0)</f>
        <v>407</v>
      </c>
      <c r="D38" s="206"/>
      <c r="E38" s="206"/>
      <c r="F38" s="245">
        <f>'数据-取费表'!B36</f>
        <v>0.02</v>
      </c>
      <c r="G38" s="205" t="s">
        <v>1525</v>
      </c>
    </row>
    <row r="39" spans="1:7" s="200" customFormat="1" ht="13.5" customHeight="1">
      <c r="A39" s="241" t="s">
        <v>1531</v>
      </c>
      <c r="B39" s="196" t="s">
        <v>1532</v>
      </c>
      <c r="C39" s="218">
        <f ca="1">ROUND(C33*F20,0)</f>
        <v>454</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724</v>
      </c>
      <c r="D41" s="221">
        <f ca="1">C44</f>
        <v>5.9999999999999995E-4</v>
      </c>
      <c r="E41" s="222" t="s">
        <v>1536</v>
      </c>
      <c r="F41" s="223">
        <f ca="1">F22</f>
        <v>3.1300000000000001E-2</v>
      </c>
      <c r="G41" s="220" t="str">
        <f>IF('数据-取费表'!B22&lt;=1,"单利计息","复利计息")</f>
        <v>复利计息</v>
      </c>
    </row>
    <row r="42" spans="1:7" ht="13.5" customHeight="1">
      <c r="A42" s="716" t="s">
        <v>346</v>
      </c>
      <c r="B42" s="201" t="s">
        <v>1540</v>
      </c>
      <c r="C42" s="224">
        <f ca="1">ROUND(IF('数据-取费表'!B22&lt;=1,C33*F22*'数据-取费表'!B21/2,C33*(POWER((1+F22),'数据-取费表'!B21/2)-1)),0)</f>
        <v>710</v>
      </c>
      <c r="D42" s="224"/>
      <c r="E42" s="224"/>
      <c r="F42" s="225"/>
      <c r="G42" s="3461" t="s">
        <v>1541</v>
      </c>
    </row>
    <row r="43" spans="1:7" ht="13.5" customHeight="1">
      <c r="A43" s="716" t="s">
        <v>347</v>
      </c>
      <c r="B43" s="201" t="s">
        <v>1542</v>
      </c>
      <c r="C43" s="224">
        <f ca="1">ROUND(IF('数据-取费表'!B22&lt;=1,C39*F22*'数据-取费表'!B21/2,C39*(POWER((1+F22),'数据-取费表'!B21/2)-1)),0)</f>
        <v>14</v>
      </c>
      <c r="D43" s="224"/>
      <c r="E43" s="224"/>
      <c r="F43" s="225"/>
      <c r="G43" s="3462"/>
    </row>
    <row r="44" spans="1:7" ht="13.5" customHeight="1">
      <c r="A44" s="716" t="s">
        <v>348</v>
      </c>
      <c r="B44" s="201" t="s">
        <v>1543</v>
      </c>
      <c r="C44" s="224">
        <f ca="1">ROUND(IF('数据-取费表'!B22&lt;=1,C40*F22*'数据-取费表'!B21/2,C40*(POWER((1+F22),'数据-取费表'!B21/2)-1)),4)</f>
        <v>5.9999999999999995E-4</v>
      </c>
      <c r="D44" s="224"/>
      <c r="E44" s="224"/>
      <c r="F44" s="225"/>
      <c r="G44" s="3463"/>
    </row>
    <row r="45" spans="1:7" s="200" customFormat="1" ht="13.5" customHeight="1">
      <c r="A45" s="241" t="s">
        <v>1544</v>
      </c>
      <c r="B45" s="230" t="s">
        <v>1510</v>
      </c>
      <c r="C45" s="231">
        <f ca="1">C46</f>
        <v>3701</v>
      </c>
      <c r="D45" s="221">
        <f ca="1">C47</f>
        <v>3.2000000000000002E-3</v>
      </c>
      <c r="E45" s="222" t="s">
        <v>1536</v>
      </c>
      <c r="F45" s="232">
        <f ca="1">F27</f>
        <v>0.16</v>
      </c>
      <c r="G45" s="233" t="s">
        <v>1545</v>
      </c>
    </row>
    <row r="46" spans="1:7" s="200" customFormat="1" ht="13.5" customHeight="1">
      <c r="A46" s="716" t="s">
        <v>346</v>
      </c>
      <c r="B46" s="234" t="s">
        <v>1546</v>
      </c>
      <c r="C46" s="235">
        <f ca="1">ROUND((C33+C39)*F27,0)</f>
        <v>3701</v>
      </c>
      <c r="D46" s="249"/>
      <c r="E46" s="222"/>
      <c r="F46" s="232"/>
      <c r="G46" s="233"/>
    </row>
    <row r="47" spans="1:7" s="200" customFormat="1" ht="13.5" customHeight="1">
      <c r="A47" s="716" t="s">
        <v>347</v>
      </c>
      <c r="B47" s="234" t="s">
        <v>1547</v>
      </c>
      <c r="C47" s="224">
        <f ca="1">ROUND(C40*F27,4)</f>
        <v>3.2000000000000002E-3</v>
      </c>
      <c r="D47" s="249"/>
      <c r="E47" s="222"/>
      <c r="F47" s="232"/>
      <c r="G47" s="233"/>
    </row>
    <row r="48" spans="1:7" s="200" customFormat="1" ht="13.5" customHeight="1">
      <c r="A48" s="241" t="s">
        <v>1509</v>
      </c>
      <c r="B48" s="196" t="s">
        <v>1548</v>
      </c>
      <c r="C48" s="221">
        <f>ROUND(F30/(1+'数据-取费表'!C42),4)</f>
        <v>5.33E-2</v>
      </c>
      <c r="D48" s="222" t="s">
        <v>1536</v>
      </c>
      <c r="E48" s="218"/>
      <c r="F48" s="223">
        <f>F30</f>
        <v>5.6000000000000001E-2</v>
      </c>
      <c r="G48" s="220" t="s">
        <v>1549</v>
      </c>
    </row>
    <row r="49" spans="1:7" ht="16.5" customHeight="1">
      <c r="A49" s="241" t="s">
        <v>1515</v>
      </c>
      <c r="B49" s="196" t="s">
        <v>1550</v>
      </c>
      <c r="C49" s="218">
        <f ca="1">ROUND((C33+C39+C41+C45)/(1-C40-D41-D45-C48),0)</f>
        <v>29856</v>
      </c>
      <c r="D49" s="218"/>
      <c r="E49" s="218"/>
      <c r="F49" s="250"/>
      <c r="G49" s="220" t="s">
        <v>1551</v>
      </c>
    </row>
    <row r="50" spans="1:7" s="244" customFormat="1" ht="24">
      <c r="A50" s="241" t="s">
        <v>1552</v>
      </c>
      <c r="B50" s="196" t="s">
        <v>1553</v>
      </c>
      <c r="C50" s="218"/>
      <c r="D50" s="218"/>
      <c r="E50" s="218"/>
      <c r="F50" s="250">
        <f>IF('数据-取费表'!B24=0,'数据-取费表'!N16,1)</f>
        <v>0.93</v>
      </c>
      <c r="G50" s="233" t="s">
        <v>1554</v>
      </c>
    </row>
    <row r="51" spans="1:7" ht="16.5" customHeight="1">
      <c r="A51" s="241" t="s">
        <v>1555</v>
      </c>
      <c r="B51" s="196" t="s">
        <v>1556</v>
      </c>
      <c r="C51" s="218">
        <f ca="1">ROUND(C49*F50,0)</f>
        <v>27766</v>
      </c>
      <c r="D51" s="218"/>
      <c r="E51" s="218"/>
      <c r="F51" s="250"/>
      <c r="G51" s="220" t="s">
        <v>1557</v>
      </c>
    </row>
    <row r="52" spans="1:7" s="194" customFormat="1" ht="16.5" thickBot="1">
      <c r="A52" s="251" t="s">
        <v>1558</v>
      </c>
      <c r="B52" s="252"/>
      <c r="C52" s="253">
        <f ca="1">C31+C51</f>
        <v>106044</v>
      </c>
      <c r="D52" s="252"/>
      <c r="E52" s="252"/>
      <c r="F52" s="252"/>
      <c r="G52" s="254"/>
    </row>
    <row r="55" spans="1:7" ht="15">
      <c r="B55" s="256" t="s">
        <v>1559</v>
      </c>
      <c r="C55" s="257"/>
    </row>
    <row r="56" spans="1:7">
      <c r="B56" s="259" t="s">
        <v>799</v>
      </c>
      <c r="C56" s="261">
        <f ca="1">1-C57</f>
        <v>0.73799999999999999</v>
      </c>
    </row>
    <row r="57" spans="1:7">
      <c r="B57" s="259" t="s">
        <v>800</v>
      </c>
      <c r="C57" s="260">
        <f ca="1">ROUND(C51/C52,3)</f>
        <v>0.26200000000000001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895</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896</v>
      </c>
    </row>
    <row r="6" spans="1:1" ht="18.75">
      <c r="A6" s="1362" t="s">
        <v>897</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估价对象为北京市房地产，为所有。根据《国有土地使用证》[]，估价对象（分摊）出让国有建设用地使用权面积为37658.28平方米，建筑面积为45214.01平方米。</v>
      </c>
    </row>
    <row r="8" spans="1:1" ht="57.75">
      <c r="A8" s="1363" t="s">
        <v>898</v>
      </c>
    </row>
    <row r="9" spans="1:1" ht="18.75">
      <c r="A9" s="1362" t="s">
        <v>899</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估价对象为北京市房地产,属开发建设的，该项目尚在开发建设中。根据《国有土地使用证》[]，估价对象（分摊）出让国有建设用地使用权面积为37658.28平方米，规划建筑面积为45214.01平方米。</v>
      </c>
    </row>
    <row r="11" spans="1:1" ht="76.5">
      <c r="A11" s="1363" t="s">
        <v>900</v>
      </c>
    </row>
    <row r="12" spans="1:1" ht="18.75">
      <c r="A12" s="1361" t="s">
        <v>901</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902</v>
      </c>
    </row>
    <row r="15" spans="1:1" ht="18">
      <c r="A15" s="1364" t="str">
        <f>TEXT(项目基本情况!D3,"yyyy年m月d日;;")&amp;IF(项目基本情况!D3=项目基本情况!B3,"（评估专业人员实地查勘之日）","")</f>
        <v>2025年10月22日（评估专业人员实地查勘之日）</v>
      </c>
    </row>
    <row r="16" spans="1:1" ht="18.75">
      <c r="A16" s="1359" t="s">
        <v>903</v>
      </c>
    </row>
    <row r="17" spans="1:1" ht="75">
      <c r="A17" s="1360" t="s">
        <v>904</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893</v>
      </c>
    </row>
    <row r="24" spans="1:1" ht="18">
      <c r="A24" s="1365" t="str">
        <f>"本次评估采用的主估价方法为"&amp;结果表!K4&amp;"和"&amp;结果表!L4&amp;"。"</f>
        <v>本次评估采用的主估价方法为成本法和收益法。</v>
      </c>
    </row>
    <row r="25" spans="1:1" ht="18">
      <c r="A25" s="1365"/>
    </row>
    <row r="26" spans="1:1" ht="18.75">
      <c r="A26" s="1366" t="s">
        <v>894</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1458</v>
      </c>
      <c r="B1" s="1352"/>
      <c r="C1" s="1694" t="s">
        <v>1560</v>
      </c>
      <c r="D1" s="184"/>
      <c r="E1" s="184"/>
      <c r="F1" s="184"/>
      <c r="G1" s="1040">
        <f>MATCH(B1,'数据-取费表'!A6:A16,0)+5</f>
        <v>8</v>
      </c>
      <c r="H1" s="977" t="str">
        <f>IF(ISERROR(FIND("住宅",B1)),"非住宅","住宅")</f>
        <v>非住宅</v>
      </c>
    </row>
    <row r="2" spans="1:8" s="186" customFormat="1" ht="18" customHeight="1">
      <c r="A2" s="187" t="s">
        <v>1459</v>
      </c>
      <c r="B2" s="3095">
        <f ca="1">ROUND(IF(D2="——",C52/10000,C52/10000-E2),4)</f>
        <v>30209.215800000002</v>
      </c>
      <c r="C2" s="185" t="s">
        <v>1460</v>
      </c>
      <c r="D2" s="1688" t="s">
        <v>43</v>
      </c>
      <c r="E2" s="1067" t="e">
        <f ca="1">SUMIF(INDIRECT("'"&amp;G2&amp;"'"&amp;"!A:A"),"承租人权益价值",INDIRECT("'"&amp;G2&amp;"'"&amp;"!c:c"))</f>
        <v>#REF!</v>
      </c>
      <c r="F2" s="1689" t="s">
        <v>1460</v>
      </c>
      <c r="G2" s="1690"/>
    </row>
    <row r="3" spans="1:8" s="186" customFormat="1" ht="18" customHeight="1" thickBot="1">
      <c r="A3" s="189" t="s">
        <v>1461</v>
      </c>
      <c r="B3" s="190">
        <f ca="1">ROUND(B2*10000/(IF(B1="",'数据-汇总表'!E3,INDIRECT("'数据-取费表'!k"&amp;$G$1))),0)</f>
        <v>6681</v>
      </c>
      <c r="C3" s="185" t="s">
        <v>1462</v>
      </c>
      <c r="D3" s="185"/>
      <c r="E3" s="185"/>
      <c r="F3" s="185"/>
      <c r="G3" s="185"/>
    </row>
    <row r="4" spans="1:8" s="194" customFormat="1" ht="15.75">
      <c r="A4" s="191" t="s">
        <v>1463</v>
      </c>
      <c r="B4" s="192"/>
      <c r="C4" s="192"/>
      <c r="D4" s="192"/>
      <c r="E4" s="192"/>
      <c r="F4" s="192"/>
      <c r="G4" s="193"/>
    </row>
    <row r="5" spans="1:8" s="200" customFormat="1" ht="13.5" customHeight="1">
      <c r="A5" s="241" t="s">
        <v>1464</v>
      </c>
      <c r="B5" s="196" t="s">
        <v>1465</v>
      </c>
      <c r="C5" s="197">
        <f ca="1">C6+C7+C8</f>
        <v>9042802</v>
      </c>
      <c r="D5" s="197" t="s">
        <v>1466</v>
      </c>
      <c r="E5" s="198" t="s">
        <v>1467</v>
      </c>
      <c r="F5" s="198" t="s">
        <v>1468</v>
      </c>
      <c r="G5" s="199"/>
    </row>
    <row r="6" spans="1:8" s="200" customFormat="1" ht="13.5" customHeight="1">
      <c r="A6" s="714" t="s">
        <v>1469</v>
      </c>
      <c r="B6" s="201" t="s">
        <v>1470</v>
      </c>
      <c r="C6" s="202"/>
      <c r="D6" s="203"/>
      <c r="E6" s="204"/>
      <c r="F6" s="204"/>
      <c r="G6" s="205"/>
    </row>
    <row r="7" spans="1:8" s="200" customFormat="1" ht="13.5" customHeight="1">
      <c r="A7" s="714" t="s">
        <v>1471</v>
      </c>
      <c r="B7" s="201" t="s">
        <v>1472</v>
      </c>
      <c r="C7" s="206">
        <f>ROUND(C6*F7,0)</f>
        <v>0</v>
      </c>
      <c r="D7" s="206"/>
      <c r="E7" s="204"/>
      <c r="F7" s="207">
        <f>IF(项目基本情况!B8="出让",0,'数据-取费表'!B48+'数据-取费表'!B49)</f>
        <v>3.0499999999999999E-2</v>
      </c>
      <c r="G7" s="205"/>
    </row>
    <row r="8" spans="1:8" s="209" customFormat="1">
      <c r="A8" s="714" t="s">
        <v>1473</v>
      </c>
      <c r="B8" s="201" t="s">
        <v>1474</v>
      </c>
      <c r="C8" s="206">
        <f ca="1">IF(G8="已包含在土地购买价格中",0,C9+C10)</f>
        <v>9042802</v>
      </c>
      <c r="D8" s="208"/>
      <c r="E8" s="206"/>
      <c r="F8" s="207"/>
      <c r="G8" s="1691"/>
    </row>
    <row r="9" spans="1:8" s="200" customFormat="1" ht="13.5" customHeight="1">
      <c r="A9" s="715" t="s">
        <v>355</v>
      </c>
      <c r="B9" s="210" t="s">
        <v>1475</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1477</v>
      </c>
      <c r="C10" s="211">
        <f ca="1">ROUND(D10*E10,0)</f>
        <v>9042802</v>
      </c>
      <c r="D10" s="777">
        <f ca="1">IF(B1="",'数据-汇总表'!E6,IF(INDIRECT("'数据-取费表'!c"&amp;$G$1)="住宅",INDIRECT("'数据-取费表'!s"&amp;$G$1),INDIRECT("'数据-取费表'!k"&amp;$G$1)+INDIRECT("'数据-取费表'!s"&amp;$G$1)))</f>
        <v>45214.01</v>
      </c>
      <c r="E10" s="211">
        <f>'数据-取费表'!B28</f>
        <v>200</v>
      </c>
      <c r="F10" s="207"/>
      <c r="G10" s="212"/>
    </row>
    <row r="11" spans="1:8" s="200" customFormat="1" ht="13.5" hidden="1" customHeight="1">
      <c r="A11" s="213" t="s">
        <v>4</v>
      </c>
      <c r="B11" s="201" t="s">
        <v>1478</v>
      </c>
      <c r="C11" s="197"/>
      <c r="D11" s="204"/>
      <c r="E11" s="204"/>
      <c r="F11" s="204"/>
      <c r="G11" s="205"/>
    </row>
    <row r="12" spans="1:8" s="200" customFormat="1" ht="13.5" hidden="1" customHeight="1">
      <c r="A12" s="213" t="s">
        <v>5</v>
      </c>
      <c r="B12" s="201" t="s">
        <v>1561</v>
      </c>
      <c r="C12" s="197">
        <v>0</v>
      </c>
      <c r="D12" s="204"/>
      <c r="E12" s="214"/>
      <c r="F12" s="207">
        <v>3.0499999999999999E-2</v>
      </c>
      <c r="G12" s="205"/>
    </row>
    <row r="13" spans="1:8" s="200" customFormat="1" ht="13.5" hidden="1" customHeight="1">
      <c r="A13" s="213" t="s">
        <v>6</v>
      </c>
      <c r="B13" s="201" t="s">
        <v>1562</v>
      </c>
      <c r="C13" s="197"/>
      <c r="D13" s="204"/>
      <c r="E13" s="204"/>
      <c r="F13" s="204"/>
      <c r="G13" s="205"/>
    </row>
    <row r="14" spans="1:8" s="200" customFormat="1" ht="13.5" hidden="1" customHeight="1">
      <c r="A14" s="213" t="s">
        <v>7</v>
      </c>
      <c r="B14" s="201" t="s">
        <v>1474</v>
      </c>
      <c r="C14" s="197"/>
      <c r="D14" s="204"/>
      <c r="E14" s="204"/>
      <c r="F14" s="204"/>
      <c r="G14" s="205" t="s">
        <v>1563</v>
      </c>
    </row>
    <row r="15" spans="1:8" s="200" customFormat="1" ht="13.5" hidden="1" customHeight="1">
      <c r="A15" s="213" t="s">
        <v>8</v>
      </c>
      <c r="B15" s="201" t="s">
        <v>1564</v>
      </c>
      <c r="C15" s="206"/>
      <c r="D15" s="204"/>
      <c r="E15" s="204"/>
      <c r="F15" s="204"/>
      <c r="G15" s="205" t="s">
        <v>1565</v>
      </c>
    </row>
    <row r="16" spans="1:8" s="200" customFormat="1" ht="13.5" hidden="1" customHeight="1">
      <c r="A16" s="213" t="s">
        <v>9</v>
      </c>
      <c r="B16" s="201" t="s">
        <v>1474</v>
      </c>
      <c r="C16" s="206"/>
      <c r="D16" s="204"/>
      <c r="E16" s="204"/>
      <c r="F16" s="204"/>
      <c r="G16" s="205"/>
    </row>
    <row r="17" spans="1:7" s="200" customFormat="1" ht="13.5" hidden="1" customHeight="1">
      <c r="A17" s="213" t="s">
        <v>10</v>
      </c>
      <c r="B17" s="201" t="s">
        <v>1566</v>
      </c>
      <c r="C17" s="215"/>
      <c r="D17" s="215"/>
      <c r="E17" s="215"/>
      <c r="F17" s="215"/>
      <c r="G17" s="205" t="s">
        <v>1565</v>
      </c>
    </row>
    <row r="18" spans="1:7" s="200" customFormat="1" ht="13.5" hidden="1" customHeight="1">
      <c r="A18" s="213" t="s">
        <v>11</v>
      </c>
      <c r="B18" s="201" t="s">
        <v>1567</v>
      </c>
      <c r="C18" s="206">
        <v>0</v>
      </c>
      <c r="D18" s="204"/>
      <c r="E18" s="204"/>
      <c r="F18" s="207">
        <v>3.0499999999999999E-2</v>
      </c>
      <c r="G18" s="205" t="s">
        <v>1568</v>
      </c>
    </row>
    <row r="19" spans="1:7" s="209" customFormat="1" ht="13.5" customHeight="1">
      <c r="A19" s="241" t="s">
        <v>1569</v>
      </c>
      <c r="B19" s="196" t="s">
        <v>1570</v>
      </c>
      <c r="C19" s="197">
        <f ca="1">IF(G19="已包含在土地取得成本中","0",ROUND(D19*E19,0))</f>
        <v>9042802</v>
      </c>
      <c r="D19" s="198">
        <f ca="1">D9+D10</f>
        <v>45214.01</v>
      </c>
      <c r="E19" s="197">
        <f>'数据-取费表'!B31</f>
        <v>200</v>
      </c>
      <c r="F19" s="217"/>
      <c r="G19" s="1691"/>
    </row>
    <row r="20" spans="1:7" s="200" customFormat="1" ht="13.5" customHeight="1">
      <c r="A20" s="241" t="s">
        <v>1571</v>
      </c>
      <c r="B20" s="196" t="s">
        <v>1572</v>
      </c>
      <c r="C20" s="218">
        <f ca="1">ROUND((C5+C19)*F20,0)</f>
        <v>361712</v>
      </c>
      <c r="D20" s="218"/>
      <c r="E20" s="218"/>
      <c r="F20" s="219">
        <f>'数据-取费表'!B37</f>
        <v>0.02</v>
      </c>
      <c r="G20" s="220" t="s">
        <v>1573</v>
      </c>
    </row>
    <row r="21" spans="1:7" s="200" customFormat="1" ht="13.5" customHeight="1">
      <c r="A21" s="241" t="s">
        <v>1574</v>
      </c>
      <c r="B21" s="196" t="s">
        <v>1575</v>
      </c>
      <c r="C21" s="221">
        <f>F21</f>
        <v>0.02</v>
      </c>
      <c r="D21" s="222" t="s">
        <v>1576</v>
      </c>
      <c r="E21" s="218"/>
      <c r="F21" s="219">
        <f>'数据-取费表'!B38</f>
        <v>0.02</v>
      </c>
      <c r="G21" s="220" t="s">
        <v>1577</v>
      </c>
    </row>
    <row r="22" spans="1:7" s="200" customFormat="1" ht="13.5" customHeight="1">
      <c r="A22" s="241" t="s">
        <v>1578</v>
      </c>
      <c r="B22" s="196" t="s">
        <v>1579</v>
      </c>
      <c r="C22" s="218">
        <f ca="1">ROUND(SUM(C23:C25),0)</f>
        <v>1161200</v>
      </c>
      <c r="D22" s="221">
        <f ca="1">C26</f>
        <v>5.9999999999999995E-4</v>
      </c>
      <c r="E22" s="222" t="s">
        <v>1576</v>
      </c>
      <c r="F22" s="223">
        <f ca="1">'数据-取费表'!B40</f>
        <v>3.1300000000000001E-2</v>
      </c>
      <c r="G22" s="220" t="str">
        <f>IF('数据-取费表'!B22&lt;=1,"单利计息","复利计息")</f>
        <v>复利计息</v>
      </c>
    </row>
    <row r="23" spans="1:7" s="200" customFormat="1" ht="13.5" customHeight="1">
      <c r="A23" s="716" t="s">
        <v>1469</v>
      </c>
      <c r="B23" s="201" t="s">
        <v>1580</v>
      </c>
      <c r="C23" s="224">
        <f ca="1">ROUND(IF('数据-取费表'!B22&lt;=1,C5*F22*'数据-取费表'!B22,C5*(POWER((1+F22),'数据-取费表'!B22)-1)),0)</f>
        <v>574939</v>
      </c>
      <c r="D23" s="224"/>
      <c r="E23" s="224"/>
      <c r="F23" s="225"/>
      <c r="G23" s="226" t="s">
        <v>1581</v>
      </c>
    </row>
    <row r="24" spans="1:7" s="200" customFormat="1" ht="13.5" customHeight="1">
      <c r="A24" s="716" t="s">
        <v>1471</v>
      </c>
      <c r="B24" s="201" t="s">
        <v>1582</v>
      </c>
      <c r="C24" s="224">
        <f ca="1">ROUND(IF('数据-取费表'!B22&lt;=1,C19*F22*('数据-取费表'!B19/2+'数据-取费表'!B20),C19*(POWER((1+F22),('数据-取费表'!B19/2+'数据-取费表'!B20))-1)),0)</f>
        <v>574939</v>
      </c>
      <c r="D24" s="224"/>
      <c r="E24" s="224"/>
      <c r="F24" s="225"/>
      <c r="G24" s="226" t="s">
        <v>1583</v>
      </c>
    </row>
    <row r="25" spans="1:7" s="200" customFormat="1" ht="24">
      <c r="A25" s="716" t="s">
        <v>1473</v>
      </c>
      <c r="B25" s="201" t="s">
        <v>1584</v>
      </c>
      <c r="C25" s="224">
        <f ca="1">ROUND(IF('数据-取费表'!B22&lt;=1,C20*F22*'数据-取费表'!B22/2,C20*(POWER((1+F22),'数据-取费表'!B22/2)-1)),0)</f>
        <v>11322</v>
      </c>
      <c r="D25" s="224"/>
      <c r="E25" s="227"/>
      <c r="F25" s="225"/>
      <c r="G25" s="228" t="s">
        <v>1585</v>
      </c>
    </row>
    <row r="26" spans="1:7" s="200" customFormat="1">
      <c r="A26" s="716" t="s">
        <v>350</v>
      </c>
      <c r="B26" s="201" t="s">
        <v>1508</v>
      </c>
      <c r="C26" s="224">
        <f ca="1">ROUND(IF('数据-取费表'!B22&lt;=1,F21*F22*'数据-取费表'!B22/2,F21*(POWER((1+F22),'数据-取费表'!B22/2)-1)),4)</f>
        <v>5.9999999999999995E-4</v>
      </c>
      <c r="D26" s="224"/>
      <c r="E26" s="227"/>
      <c r="F26" s="225"/>
      <c r="G26" s="229"/>
    </row>
    <row r="27" spans="1:7" s="200" customFormat="1" ht="24.75">
      <c r="A27" s="241" t="s">
        <v>1509</v>
      </c>
      <c r="B27" s="230" t="s">
        <v>1510</v>
      </c>
      <c r="C27" s="231">
        <f ca="1">C28</f>
        <v>2951571</v>
      </c>
      <c r="D27" s="221">
        <f ca="1">C29</f>
        <v>3.2000000000000002E-3</v>
      </c>
      <c r="E27" s="222" t="s">
        <v>1511</v>
      </c>
      <c r="F27" s="232">
        <f ca="1">IF(B1="",'数据-取费表'!Q16,INDIRECT("'数据-取费表'!q"&amp;$G$1))</f>
        <v>0.16</v>
      </c>
      <c r="G27" s="233" t="s">
        <v>1512</v>
      </c>
    </row>
    <row r="28" spans="1:7" s="200" customFormat="1" ht="13.5" customHeight="1">
      <c r="A28" s="716" t="s">
        <v>346</v>
      </c>
      <c r="B28" s="234" t="s">
        <v>1513</v>
      </c>
      <c r="C28" s="235">
        <f ca="1">ROUND((C5+C19+C20)*F27,0)</f>
        <v>2951571</v>
      </c>
      <c r="D28" s="221"/>
      <c r="E28" s="222"/>
      <c r="F28" s="232"/>
      <c r="G28" s="233"/>
    </row>
    <row r="29" spans="1:7" s="200" customFormat="1" ht="13.5" customHeight="1">
      <c r="A29" s="716" t="s">
        <v>347</v>
      </c>
      <c r="B29" s="234" t="s">
        <v>1514</v>
      </c>
      <c r="C29" s="224">
        <f ca="1">ROUND(C21*F27,4)</f>
        <v>3.2000000000000002E-3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24444779</v>
      </c>
      <c r="D31" s="216"/>
      <c r="E31" s="197"/>
      <c r="F31" s="236"/>
      <c r="G31" s="220" t="s">
        <v>1519</v>
      </c>
    </row>
    <row r="32" spans="1:7" s="194" customFormat="1" ht="15.75">
      <c r="A32" s="238" t="s">
        <v>1586</v>
      </c>
      <c r="B32" s="239"/>
      <c r="C32" s="239"/>
      <c r="D32" s="239"/>
      <c r="E32" s="239"/>
      <c r="F32" s="239"/>
      <c r="G32" s="240"/>
    </row>
    <row r="33" spans="1:7" s="200" customFormat="1" ht="13.5" customHeight="1">
      <c r="A33" s="241" t="s">
        <v>337</v>
      </c>
      <c r="B33" s="196" t="s">
        <v>1587</v>
      </c>
      <c r="C33" s="242">
        <f ca="1">SUM(C34:C38)</f>
        <v>226748260</v>
      </c>
      <c r="D33" s="218"/>
      <c r="E33" s="198"/>
      <c r="F33" s="227"/>
      <c r="G33" s="220"/>
    </row>
    <row r="34" spans="1:7" s="244" customFormat="1" ht="13.5" customHeight="1">
      <c r="A34" s="716" t="s">
        <v>346</v>
      </c>
      <c r="B34" s="201" t="s">
        <v>1522</v>
      </c>
      <c r="C34" s="206">
        <f ca="1">ROUND(IF(B1="",SUMPRODUCT('数据-取费表'!K6:K14,'数据-取费表'!L6:L14),INDIRECT("'数据-取费表'!l"&amp;$G$1)*INDIRECT("'数据-取费表'!k"&amp;$G$1)+'数据-取费表'!L14*INDIRECT("'数据-取费表'!S"&amp;$G$1)),0)</f>
        <v>203463045</v>
      </c>
      <c r="D34" s="203"/>
      <c r="E34" s="206"/>
      <c r="F34" s="243"/>
      <c r="G34" s="205"/>
    </row>
    <row r="35" spans="1:7" ht="13.5" customHeight="1">
      <c r="A35" s="716" t="s">
        <v>351</v>
      </c>
      <c r="B35" s="201" t="s">
        <v>1524</v>
      </c>
      <c r="C35" s="206">
        <f ca="1">ROUND(C34*F35,0)</f>
        <v>10173152</v>
      </c>
      <c r="D35" s="206"/>
      <c r="E35" s="206"/>
      <c r="F35" s="245">
        <f>'数据-取费表'!B33</f>
        <v>0.05</v>
      </c>
      <c r="G35" s="205" t="s">
        <v>1525</v>
      </c>
    </row>
    <row r="36" spans="1:7" ht="24">
      <c r="A36" s="716" t="s">
        <v>352</v>
      </c>
      <c r="B36" s="201" t="s">
        <v>1526</v>
      </c>
      <c r="C36" s="206">
        <f ca="1">ROUND(IF(B1="",SUM('数据-取费表'!AP6:AP13)*F36,IF(INDIRECT("'数据-取费表'!c"&amp;$G$1)="住宅",INDIRECT("'数据-取费表'!k"&amp;$G$1)*INDIRECT("'数据-取费表'!l"&amp;$G$1)*F36,0)),0)</f>
        <v>0</v>
      </c>
      <c r="D36" s="206"/>
      <c r="E36" s="206"/>
      <c r="F36" s="245">
        <f>'数据-取费表'!B34</f>
        <v>0</v>
      </c>
      <c r="G36" s="246" t="s">
        <v>1527</v>
      </c>
    </row>
    <row r="37" spans="1:7" s="244" customFormat="1" ht="13.5" customHeight="1">
      <c r="A37" s="716" t="s">
        <v>353</v>
      </c>
      <c r="B37" s="201" t="s">
        <v>1528</v>
      </c>
      <c r="C37" s="235">
        <f ca="1">ROUND(E37*D37,0)</f>
        <v>9042802</v>
      </c>
      <c r="D37" s="203">
        <f ca="1">D19</f>
        <v>45214.01</v>
      </c>
      <c r="E37" s="235">
        <f>'数据-取费表'!B35</f>
        <v>200</v>
      </c>
      <c r="F37" s="245"/>
      <c r="G37" s="247"/>
    </row>
    <row r="38" spans="1:7" ht="13.5" customHeight="1">
      <c r="A38" s="716" t="s">
        <v>354</v>
      </c>
      <c r="B38" s="201" t="s">
        <v>1530</v>
      </c>
      <c r="C38" s="206">
        <f ca="1">ROUND(C34*F38,0)</f>
        <v>4069261</v>
      </c>
      <c r="D38" s="206"/>
      <c r="E38" s="206"/>
      <c r="F38" s="245">
        <f>'数据-取费表'!B36</f>
        <v>0.02</v>
      </c>
      <c r="G38" s="205" t="s">
        <v>1525</v>
      </c>
    </row>
    <row r="39" spans="1:7" s="200" customFormat="1" ht="13.5" customHeight="1">
      <c r="A39" s="241" t="s">
        <v>1531</v>
      </c>
      <c r="B39" s="196" t="s">
        <v>1532</v>
      </c>
      <c r="C39" s="218">
        <f ca="1">ROUND(C33*F20,0)</f>
        <v>4534965</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7239165</v>
      </c>
      <c r="D41" s="221">
        <f ca="1">C44</f>
        <v>5.9999999999999995E-4</v>
      </c>
      <c r="E41" s="222" t="s">
        <v>1536</v>
      </c>
      <c r="F41" s="223">
        <f ca="1">F22</f>
        <v>3.1300000000000001E-2</v>
      </c>
      <c r="G41" s="220" t="str">
        <f>IF('数据-取费表'!B22&lt;=1,"单利计息","复利计息")</f>
        <v>复利计息</v>
      </c>
    </row>
    <row r="42" spans="1:7" ht="13.5" customHeight="1">
      <c r="A42" s="716" t="s">
        <v>346</v>
      </c>
      <c r="B42" s="201" t="s">
        <v>1540</v>
      </c>
      <c r="C42" s="224">
        <f ca="1">ROUND(IF('数据-取费表'!B22&lt;=1,C33*F22*'数据-取费表'!B20/2,C33*(POWER((1+F22),'数据-取费表'!B20/2)-1)),0)</f>
        <v>7097221</v>
      </c>
      <c r="D42" s="224"/>
      <c r="E42" s="224"/>
      <c r="F42" s="225"/>
      <c r="G42" s="3461" t="s">
        <v>1588</v>
      </c>
    </row>
    <row r="43" spans="1:7" ht="13.5" customHeight="1">
      <c r="A43" s="716" t="s">
        <v>347</v>
      </c>
      <c r="B43" s="201" t="s">
        <v>1542</v>
      </c>
      <c r="C43" s="224">
        <f ca="1">ROUND(IF('数据-取费表'!B22&lt;=1,C39*F22*'数据-取费表'!B20/2,C39*(POWER((1+F22),'数据-取费表'!B20/2)-1)),0)</f>
        <v>141944</v>
      </c>
      <c r="D43" s="224"/>
      <c r="E43" s="224"/>
      <c r="F43" s="225"/>
      <c r="G43" s="3462"/>
    </row>
    <row r="44" spans="1:7" ht="13.5" customHeight="1">
      <c r="A44" s="716" t="s">
        <v>348</v>
      </c>
      <c r="B44" s="201" t="s">
        <v>1543</v>
      </c>
      <c r="C44" s="224">
        <f ca="1">ROUND(IF('数据-取费表'!B22&lt;=1,C40*F22*'数据-取费表'!B20/2,C40*(POWER((1+F22),'数据-取费表'!B20/2)-1)),4)</f>
        <v>5.9999999999999995E-4</v>
      </c>
      <c r="D44" s="224"/>
      <c r="E44" s="224"/>
      <c r="F44" s="225"/>
      <c r="G44" s="3463"/>
    </row>
    <row r="45" spans="1:7" s="200" customFormat="1" ht="13.5" customHeight="1">
      <c r="A45" s="241" t="s">
        <v>1544</v>
      </c>
      <c r="B45" s="230" t="s">
        <v>1510</v>
      </c>
      <c r="C45" s="231">
        <f ca="1">C46</f>
        <v>37005316</v>
      </c>
      <c r="D45" s="221">
        <f ca="1">C47</f>
        <v>3.2000000000000002E-3</v>
      </c>
      <c r="E45" s="222" t="s">
        <v>1536</v>
      </c>
      <c r="F45" s="232">
        <f ca="1">F27</f>
        <v>0.16</v>
      </c>
      <c r="G45" s="233" t="s">
        <v>1545</v>
      </c>
    </row>
    <row r="46" spans="1:7" s="200" customFormat="1" ht="13.5" customHeight="1">
      <c r="A46" s="716" t="s">
        <v>346</v>
      </c>
      <c r="B46" s="234" t="s">
        <v>1546</v>
      </c>
      <c r="C46" s="235">
        <f ca="1">ROUND((C33+C39)*F27,0)</f>
        <v>37005316</v>
      </c>
      <c r="D46" s="249"/>
      <c r="E46" s="222"/>
      <c r="F46" s="232"/>
      <c r="G46" s="233"/>
    </row>
    <row r="47" spans="1:7" s="200" customFormat="1" ht="13.5" customHeight="1">
      <c r="A47" s="716" t="s">
        <v>347</v>
      </c>
      <c r="B47" s="234" t="s">
        <v>1547</v>
      </c>
      <c r="C47" s="224">
        <f ca="1">ROUND(C40*F27,4)</f>
        <v>3.2000000000000002E-3</v>
      </c>
      <c r="D47" s="249"/>
      <c r="E47" s="222"/>
      <c r="F47" s="232"/>
      <c r="G47" s="233"/>
    </row>
    <row r="48" spans="1:7" s="200" customFormat="1" ht="13.5" customHeight="1">
      <c r="A48" s="241" t="s">
        <v>1509</v>
      </c>
      <c r="B48" s="196" t="s">
        <v>1548</v>
      </c>
      <c r="C48" s="248">
        <f>ROUND(F30/(1+'数据-取费表'!C42),4)</f>
        <v>5.33E-2</v>
      </c>
      <c r="D48" s="222" t="s">
        <v>1536</v>
      </c>
      <c r="E48" s="218"/>
      <c r="F48" s="223">
        <f>F30</f>
        <v>5.6000000000000001E-2</v>
      </c>
      <c r="G48" s="220" t="s">
        <v>1549</v>
      </c>
    </row>
    <row r="49" spans="1:7" ht="16.5" customHeight="1">
      <c r="A49" s="241" t="s">
        <v>1515</v>
      </c>
      <c r="B49" s="196" t="s">
        <v>1589</v>
      </c>
      <c r="C49" s="218">
        <f ca="1">ROUND((C33+C39+C41+C45)/(1-C40-D41-D45-C48),0)</f>
        <v>298545569</v>
      </c>
      <c r="D49" s="218"/>
      <c r="E49" s="218"/>
      <c r="F49" s="250"/>
      <c r="G49" s="220" t="s">
        <v>1551</v>
      </c>
    </row>
    <row r="50" spans="1:7" s="244" customFormat="1">
      <c r="A50" s="241" t="s">
        <v>1552</v>
      </c>
      <c r="B50" s="196" t="s">
        <v>1553</v>
      </c>
      <c r="C50" s="218"/>
      <c r="D50" s="218"/>
      <c r="E50" s="218"/>
      <c r="F50" s="250">
        <f>IF('数据-取费表'!B24=0,'数据-取费表'!N16,1)</f>
        <v>0.93</v>
      </c>
      <c r="G50" s="233"/>
    </row>
    <row r="51" spans="1:7" ht="16.5" customHeight="1">
      <c r="A51" s="241" t="s">
        <v>1555</v>
      </c>
      <c r="B51" s="196" t="s">
        <v>1590</v>
      </c>
      <c r="C51" s="218">
        <f ca="1">ROUND(C49*F50,0)</f>
        <v>277647379</v>
      </c>
      <c r="D51" s="218"/>
      <c r="E51" s="218"/>
      <c r="F51" s="250"/>
      <c r="G51" s="220" t="s">
        <v>1557</v>
      </c>
    </row>
    <row r="52" spans="1:7" s="194" customFormat="1" ht="16.5" thickBot="1">
      <c r="A52" s="251" t="s">
        <v>1558</v>
      </c>
      <c r="B52" s="252"/>
      <c r="C52" s="253">
        <f ca="1">C31+C51</f>
        <v>302092158</v>
      </c>
      <c r="D52" s="252"/>
      <c r="E52" s="252"/>
      <c r="F52" s="252"/>
      <c r="G52" s="254"/>
    </row>
    <row r="55" spans="1:7" ht="15">
      <c r="B55" s="256" t="s">
        <v>1559</v>
      </c>
      <c r="C55" s="257"/>
    </row>
    <row r="56" spans="1:7">
      <c r="B56" s="259" t="s">
        <v>799</v>
      </c>
      <c r="C56" s="261">
        <f ca="1">1-C57</f>
        <v>8.0999999999999961E-2</v>
      </c>
    </row>
    <row r="57" spans="1:7">
      <c r="B57" s="259" t="s">
        <v>800</v>
      </c>
      <c r="C57" s="260">
        <f ca="1">ROUND(C51/C52,3)</f>
        <v>0.91900000000000004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1591</v>
      </c>
      <c r="B1" s="115"/>
      <c r="C1" s="1088"/>
      <c r="D1" s="1087"/>
      <c r="E1" s="2541"/>
      <c r="F1" s="2541"/>
      <c r="G1" s="2425"/>
      <c r="H1" s="2541"/>
      <c r="I1" s="2541"/>
      <c r="J1" s="2541"/>
      <c r="K1" s="2542">
        <f>MATCH(C1,'数据-取费表'!A6:A16,0)+5</f>
        <v>8</v>
      </c>
    </row>
    <row r="2" spans="1:33" ht="18" customHeight="1">
      <c r="A2" s="187" t="s">
        <v>1459</v>
      </c>
      <c r="B2" s="190">
        <f ca="1">C32</f>
        <v>-1040</v>
      </c>
      <c r="C2" s="262" t="s">
        <v>1592</v>
      </c>
      <c r="D2" s="262"/>
      <c r="E2" s="2541"/>
      <c r="F2" s="2541"/>
      <c r="G2" s="2541"/>
      <c r="H2" s="2541"/>
      <c r="I2" s="2541"/>
      <c r="J2" s="2541"/>
      <c r="K2" s="2541"/>
    </row>
    <row r="3" spans="1:33" ht="18" customHeight="1" thickBot="1">
      <c r="A3" s="189" t="s">
        <v>1461</v>
      </c>
      <c r="B3" s="190">
        <f ca="1">ROUND(B2*10000/IF(C1="",'数据-汇总表'!E3,INDIRECT("'数据-取费表'!K"&amp;$K$1)),0)</f>
        <v>-230</v>
      </c>
      <c r="C3" s="262" t="s">
        <v>1593</v>
      </c>
      <c r="D3" s="262"/>
      <c r="E3" s="2541"/>
      <c r="F3" s="2541"/>
      <c r="G3" s="2541"/>
      <c r="H3" s="2541"/>
      <c r="I3" s="2541"/>
      <c r="J3" s="2541"/>
      <c r="K3" s="2541"/>
    </row>
    <row r="4" spans="1:33" s="721" customFormat="1" ht="16.5" customHeight="1">
      <c r="A4" s="718" t="s">
        <v>1594</v>
      </c>
      <c r="B4" s="719"/>
      <c r="C4" s="757">
        <f>SUM(C8:K8)</f>
        <v>0</v>
      </c>
      <c r="D4" s="719"/>
      <c r="E4" s="719"/>
      <c r="F4" s="719"/>
      <c r="G4" s="719"/>
      <c r="H4" s="719"/>
      <c r="I4" s="719"/>
      <c r="J4" s="719"/>
      <c r="K4" s="720"/>
    </row>
    <row r="5" spans="1:33" s="725" customFormat="1" ht="15">
      <c r="A5" s="722" t="s">
        <v>1595</v>
      </c>
      <c r="B5" s="723" t="s">
        <v>1596</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1597</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1598</v>
      </c>
      <c r="B7" s="117" t="s">
        <v>1599</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1600</v>
      </c>
      <c r="B8" s="150" t="s">
        <v>1601</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1602</v>
      </c>
      <c r="B9" s="719"/>
      <c r="C9" s="719"/>
      <c r="D9" s="719"/>
      <c r="E9" s="719"/>
      <c r="F9" s="719"/>
      <c r="G9" s="719"/>
      <c r="H9" s="719"/>
      <c r="I9" s="719"/>
      <c r="J9" s="719"/>
      <c r="K9" s="720"/>
    </row>
    <row r="10" spans="1:33" s="733" customFormat="1" ht="13.5" customHeight="1">
      <c r="A10" s="722" t="s">
        <v>1603</v>
      </c>
      <c r="B10" s="5" t="s">
        <v>1604</v>
      </c>
      <c r="C10" s="729" t="s">
        <v>1605</v>
      </c>
      <c r="D10" s="730" t="s">
        <v>1606</v>
      </c>
      <c r="E10" s="730" t="s">
        <v>1607</v>
      </c>
      <c r="F10" s="730" t="s">
        <v>1608</v>
      </c>
      <c r="G10" s="5"/>
      <c r="H10" s="731"/>
      <c r="I10" s="731"/>
      <c r="J10" s="731"/>
      <c r="K10" s="732"/>
    </row>
    <row r="11" spans="1:33" s="737" customFormat="1" ht="13.5" customHeight="1">
      <c r="A11" s="734" t="s">
        <v>635</v>
      </c>
      <c r="B11" s="735" t="s">
        <v>1609</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1610</v>
      </c>
      <c r="C12" s="21">
        <f ca="1">ROUND(C11*F12,0)</f>
        <v>0</v>
      </c>
      <c r="D12" s="736"/>
      <c r="E12" s="132"/>
      <c r="F12" s="746">
        <f>'数据-取费表'!B33</f>
        <v>0.05</v>
      </c>
      <c r="G12" s="5" t="s">
        <v>1611</v>
      </c>
      <c r="H12" s="731"/>
      <c r="I12" s="731"/>
      <c r="J12" s="731"/>
      <c r="K12" s="732"/>
    </row>
    <row r="13" spans="1:33" s="737" customFormat="1" ht="13.5" customHeight="1">
      <c r="A13" s="734" t="s">
        <v>637</v>
      </c>
      <c r="B13" s="735" t="s">
        <v>1612</v>
      </c>
      <c r="C13" s="21">
        <f ca="1">ROUND(IF(C1="",SUMIF('数据-取费表'!C:C,"住宅",'数据-取费表'!P:P)*F13,IF(INDIRECT("'数据-取费表'!c"&amp;$K$1)="住宅",INDIRECT("'数据-取费表'!P"&amp;$K$1)*F13,0)),0)</f>
        <v>0</v>
      </c>
      <c r="D13" s="778"/>
      <c r="E13" s="132"/>
      <c r="F13" s="746">
        <f>'数据-取费表'!B34</f>
        <v>0</v>
      </c>
      <c r="G13" s="5" t="s">
        <v>1613</v>
      </c>
      <c r="H13" s="731"/>
      <c r="I13" s="731"/>
      <c r="J13" s="731"/>
      <c r="K13" s="732"/>
    </row>
    <row r="14" spans="1:33" s="739" customFormat="1" ht="13.5" customHeight="1">
      <c r="A14" s="734" t="s">
        <v>638</v>
      </c>
      <c r="B14" s="735" t="s">
        <v>1614</v>
      </c>
      <c r="C14" s="21">
        <f ca="1">ROUND(D14*E14*F11/10000,0)</f>
        <v>0</v>
      </c>
      <c r="D14" s="778">
        <f ca="1">IF(C1="",'数据-汇总表'!E3,INDIRECT("'数据-取费表'!K"&amp;$K$1)+INDIRECT("'数据-取费表'!S"&amp;$K$1))</f>
        <v>45214.01</v>
      </c>
      <c r="E14" s="21">
        <f>'数据-取费表'!B35</f>
        <v>200</v>
      </c>
      <c r="F14" s="738"/>
      <c r="G14" s="5" t="s">
        <v>1615</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1616</v>
      </c>
      <c r="C15" s="745">
        <f ca="1">ROUND(C11*F15,0)</f>
        <v>0</v>
      </c>
      <c r="D15" s="740"/>
      <c r="E15" s="745"/>
      <c r="F15" s="746">
        <f>'数据-取费表'!B36</f>
        <v>0.02</v>
      </c>
      <c r="G15" s="117" t="s">
        <v>1617</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1618</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1619</v>
      </c>
      <c r="C17" s="21">
        <f ca="1">ROUND(D17*E17/10000,0)</f>
        <v>0</v>
      </c>
      <c r="D17" s="778">
        <f ca="1">D14</f>
        <v>45214.01</v>
      </c>
      <c r="E17" s="21">
        <f>'数据-取费表'!B32</f>
        <v>0</v>
      </c>
      <c r="F17" s="740"/>
      <c r="G17" s="117" t="s">
        <v>1620</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1621</v>
      </c>
      <c r="C18" s="21">
        <f ca="1">C19+C20-IF(C1="",'数据-取费表'!B29,IF(G18="已全部缴纳",C19+C20,H18))</f>
        <v>904</v>
      </c>
      <c r="D18" s="778"/>
      <c r="E18" s="21"/>
      <c r="F18" s="738"/>
      <c r="G18" s="1697"/>
      <c r="H18" s="1084"/>
      <c r="I18" s="1698" t="s">
        <v>1622</v>
      </c>
      <c r="J18" s="741"/>
      <c r="K18" s="742"/>
    </row>
    <row r="19" spans="1:33" s="737" customFormat="1" ht="13.5" customHeight="1">
      <c r="A19" s="734" t="s">
        <v>360</v>
      </c>
      <c r="B19" s="735" t="s">
        <v>1623</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1624</v>
      </c>
      <c r="C20" s="21">
        <f ca="1">ROUND(D20*E20/10000,0)</f>
        <v>904</v>
      </c>
      <c r="D20" s="778">
        <f ca="1">IF(C1="",'数据-汇总表'!E6,IF(INDIRECT("'数据-取费表'!c"&amp;$K$1)="住宅",INDIRECT("'数据-取费表'!s"&amp;$K$1),INDIRECT("'数据-取费表'!k"&amp;$K$1)+INDIRECT("'数据-取费表'!s"&amp;$K$1)))</f>
        <v>45214.01</v>
      </c>
      <c r="E20" s="21">
        <f>'数据-取费表'!B28</f>
        <v>200</v>
      </c>
      <c r="F20" s="738"/>
      <c r="G20" s="12"/>
      <c r="H20" s="743"/>
      <c r="I20" s="743"/>
      <c r="J20" s="743"/>
      <c r="K20" s="744"/>
    </row>
    <row r="21" spans="1:33" s="737" customFormat="1" ht="13.5" customHeight="1">
      <c r="A21" s="726" t="s">
        <v>357</v>
      </c>
      <c r="B21" s="747" t="s">
        <v>1625</v>
      </c>
      <c r="C21" s="748">
        <f ca="1">C16+C17+C18</f>
        <v>904</v>
      </c>
      <c r="D21" s="749"/>
      <c r="E21" s="267"/>
      <c r="F21" s="267"/>
      <c r="G21" s="117" t="s">
        <v>1626</v>
      </c>
      <c r="H21" s="741"/>
      <c r="I21" s="741"/>
      <c r="J21" s="741"/>
      <c r="K21" s="742"/>
    </row>
    <row r="22" spans="1:33" s="737" customFormat="1" ht="13.5" customHeight="1">
      <c r="A22" s="726" t="s">
        <v>1598</v>
      </c>
      <c r="B22" s="747" t="s">
        <v>1627</v>
      </c>
      <c r="C22" s="748">
        <f ca="1">ROUND(C21*F22,0)</f>
        <v>18</v>
      </c>
      <c r="D22" s="267"/>
      <c r="E22" s="267"/>
      <c r="F22" s="750">
        <f>'数据-取费表'!B37</f>
        <v>0.02</v>
      </c>
      <c r="G22" s="5" t="s">
        <v>1628</v>
      </c>
      <c r="H22" s="731"/>
      <c r="I22" s="731"/>
      <c r="J22" s="731"/>
      <c r="K22" s="732"/>
    </row>
    <row r="23" spans="1:33" s="737" customFormat="1" ht="13.5" customHeight="1">
      <c r="A23" s="726" t="s">
        <v>1600</v>
      </c>
      <c r="B23" s="747" t="s">
        <v>1629</v>
      </c>
      <c r="C23" s="748">
        <f ca="1">ROUND(C4*F23*F11,0)</f>
        <v>0</v>
      </c>
      <c r="D23" s="267"/>
      <c r="E23" s="267"/>
      <c r="F23" s="750">
        <f>'数据-取费表'!B38</f>
        <v>0.02</v>
      </c>
      <c r="G23" s="5" t="s">
        <v>1630</v>
      </c>
      <c r="H23" s="731"/>
      <c r="I23" s="731"/>
      <c r="J23" s="731"/>
      <c r="K23" s="732"/>
    </row>
    <row r="24" spans="1:33" s="737" customFormat="1" ht="13.5" customHeight="1">
      <c r="A24" s="726" t="s">
        <v>1631</v>
      </c>
      <c r="B24" s="747" t="s">
        <v>1632</v>
      </c>
      <c r="C24" s="266">
        <f>ROUND(F24/(1+'数据-取费表'!C42),4)</f>
        <v>2.9000000000000001E-2</v>
      </c>
      <c r="D24" s="267" t="s">
        <v>12</v>
      </c>
      <c r="E24" s="267"/>
      <c r="F24" s="750">
        <f>IF(项目基本情况!B8="出让",0,'数据-取费表'!B48+'数据-取费表'!B49)</f>
        <v>3.0499999999999999E-2</v>
      </c>
      <c r="G24" s="5" t="s">
        <v>1633</v>
      </c>
      <c r="H24" s="752"/>
      <c r="I24" s="752"/>
      <c r="J24" s="752"/>
      <c r="K24" s="55"/>
    </row>
    <row r="25" spans="1:33" s="737" customFormat="1" ht="13.5" customHeight="1">
      <c r="A25" s="726" t="s">
        <v>1634</v>
      </c>
      <c r="B25" s="749" t="s">
        <v>1635</v>
      </c>
      <c r="C25" s="1021">
        <f ca="1">C27</f>
        <v>0</v>
      </c>
      <c r="D25" s="266">
        <f ca="1">C26</f>
        <v>0</v>
      </c>
      <c r="E25" s="268" t="s">
        <v>12</v>
      </c>
      <c r="F25" s="269">
        <f ca="1">'数据-取费表'!B40</f>
        <v>3.1300000000000001E-2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1636</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1637</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1638</v>
      </c>
      <c r="B28" s="1700" t="s">
        <v>1639</v>
      </c>
      <c r="C28" s="273">
        <f ca="1">C30</f>
        <v>148</v>
      </c>
      <c r="D28" s="266">
        <f ca="1">C29</f>
        <v>0</v>
      </c>
      <c r="E28" s="268" t="s">
        <v>12</v>
      </c>
      <c r="F28" s="274">
        <f ca="1">IF(C1="",'数据-取费表'!Q16,INDIRECT("'数据-取费表'!q"&amp;$K$1))</f>
        <v>0.16</v>
      </c>
      <c r="G28" s="751"/>
      <c r="H28" s="752"/>
      <c r="I28" s="752"/>
      <c r="J28" s="752"/>
      <c r="K28" s="55"/>
    </row>
    <row r="29" spans="1:33" s="277" customFormat="1" ht="13.5" customHeight="1">
      <c r="A29" s="734" t="s">
        <v>358</v>
      </c>
      <c r="B29" s="755" t="s">
        <v>1640</v>
      </c>
      <c r="C29" s="270">
        <f ca="1">ROUND((1+C24)*F28*'数据-取费表'!B24/'数据-取费表'!B20,4)</f>
        <v>0</v>
      </c>
      <c r="D29" s="270"/>
      <c r="E29" s="271"/>
      <c r="F29" s="276"/>
      <c r="G29" s="117" t="s">
        <v>1641</v>
      </c>
      <c r="H29" s="741"/>
      <c r="I29" s="741"/>
      <c r="J29" s="741"/>
      <c r="K29" s="742"/>
    </row>
    <row r="30" spans="1:33" s="277" customFormat="1" ht="13.5" customHeight="1">
      <c r="A30" s="734" t="s">
        <v>359</v>
      </c>
      <c r="B30" s="755" t="s">
        <v>1642</v>
      </c>
      <c r="C30" s="278">
        <f ca="1">ROUND((C21+C22+C23)*F28,0)</f>
        <v>148</v>
      </c>
      <c r="D30" s="270"/>
      <c r="E30" s="271"/>
      <c r="F30" s="276"/>
      <c r="G30" s="117"/>
      <c r="H30" s="741"/>
      <c r="I30" s="741"/>
      <c r="J30" s="741"/>
      <c r="K30" s="742"/>
    </row>
    <row r="31" spans="1:33" s="737" customFormat="1" ht="13.5" customHeight="1" thickBot="1">
      <c r="A31" s="1701" t="s">
        <v>1643</v>
      </c>
      <c r="B31" s="765" t="s">
        <v>1644</v>
      </c>
      <c r="C31" s="766">
        <f>ROUND(C4*F31/(1+'数据-取费表'!C42),0)</f>
        <v>0</v>
      </c>
      <c r="D31" s="767"/>
      <c r="E31" s="768"/>
      <c r="F31" s="769">
        <f>'数据-取费表'!B41</f>
        <v>5.6000000000000001E-2</v>
      </c>
      <c r="G31" s="770" t="s">
        <v>1645</v>
      </c>
      <c r="H31" s="771"/>
      <c r="I31" s="771"/>
      <c r="J31" s="771"/>
      <c r="K31" s="772"/>
    </row>
    <row r="32" spans="1:33" s="733" customFormat="1" ht="13.5" customHeight="1" thickBot="1">
      <c r="A32" s="442" t="s">
        <v>1646</v>
      </c>
      <c r="B32" s="761"/>
      <c r="C32" s="762">
        <f ca="1">ROUND((C4-C21-C22-C23-C25-C28-C31)/(1+C24+D25+D28),0)</f>
        <v>-1040</v>
      </c>
      <c r="D32" s="761"/>
      <c r="E32" s="761"/>
      <c r="F32" s="761"/>
      <c r="G32" s="763" t="s">
        <v>1647</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I12" sqref="I12"/>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7681.7400000000007</v>
      </c>
      <c r="E1" s="1819"/>
      <c r="F1" s="1819"/>
      <c r="G1" s="1819"/>
      <c r="H1" s="1819"/>
      <c r="I1" s="1819"/>
      <c r="J1" s="1819"/>
      <c r="K1" s="1034"/>
      <c r="L1" s="1820" t="s">
        <v>1925</v>
      </c>
      <c r="M1" s="790">
        <f>SUMPRODUCT((区片价!B5:B9=I2)*(区片价!C3:G3=E2)*(区片价!C5:G9))</f>
        <v>0</v>
      </c>
      <c r="N1" s="793">
        <f>SUMPRODUCT((因素修正幅度!B5:B9=I2)*(因素修正幅度!C3:G3=E2)*(因素修正幅度!C5:G9))</f>
        <v>0</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f>C30</f>
        <v>11710</v>
      </c>
      <c r="C2" s="1823" t="s">
        <v>1932</v>
      </c>
      <c r="D2" s="156" t="s">
        <v>1933</v>
      </c>
      <c r="E2" s="3093" t="s">
        <v>670</v>
      </c>
      <c r="F2" s="156" t="s">
        <v>1934</v>
      </c>
      <c r="G2" s="157" t="str">
        <f>IF(E2="商业",项目基本情况!B37,IF(E2="办公",项目基本情况!C37,IF(E2="住宅",项目基本情况!D37,IF(E2="工业",项目基本情况!E37,项目基本情况!F37))))</f>
        <v>六级</v>
      </c>
      <c r="H2" s="156" t="s">
        <v>1935</v>
      </c>
      <c r="I2" s="157" t="str">
        <f>IF(E2="商业",项目基本情况!B38,IF(E2="办公",项目基本情况!C38,IF(E2="住宅",项目基本情况!D38,IF(E2="工业",项目基本情况!E38,项目基本情况!F38))))</f>
        <v>Ⅵ-09</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15610</v>
      </c>
      <c r="U2" s="1108">
        <f>评估范围!L31</f>
        <v>6831.4950000000008</v>
      </c>
      <c r="V2" s="3036">
        <f>ROUND(T2*U2/10000,0)</f>
        <v>10664</v>
      </c>
      <c r="W2" s="1111"/>
      <c r="X2" s="1111"/>
      <c r="Y2" s="1111"/>
      <c r="Z2" s="1111"/>
      <c r="AA2" s="1111"/>
      <c r="AB2" s="1111"/>
      <c r="AC2" s="1112"/>
      <c r="AD2" s="1113"/>
      <c r="AE2" s="1113"/>
      <c r="AF2" s="1113"/>
      <c r="AG2" s="1113"/>
      <c r="AH2" s="1113"/>
      <c r="AI2" s="1113"/>
      <c r="AJ2" s="1114"/>
    </row>
    <row r="3" spans="1:36" ht="15.75">
      <c r="A3" s="189" t="s">
        <v>1937</v>
      </c>
      <c r="B3" s="190">
        <f>ROUND(B2*10000/D1,0)</f>
        <v>15244</v>
      </c>
      <c r="C3" s="1823" t="s">
        <v>1938</v>
      </c>
      <c r="D3" s="156" t="s">
        <v>1939</v>
      </c>
      <c r="E3" s="3091" t="s">
        <v>2423</v>
      </c>
      <c r="F3" s="1825" t="s">
        <v>3955</v>
      </c>
      <c r="G3" s="690">
        <f>IF(F3="宗地容积率",'数据-汇总表'!I4,IF(F3="估价对象容积率",'数据-汇总表'!I6,'数据-汇总表'!I7))</f>
        <v>1.2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12304</v>
      </c>
      <c r="U3" s="1108">
        <f>评估范围!M31</f>
        <v>850.245</v>
      </c>
      <c r="V3" s="3036">
        <f t="shared" ref="V3:V16" si="1">ROUND(T3*U3/10000,0)</f>
        <v>1046</v>
      </c>
      <c r="W3" s="1111"/>
      <c r="X3" s="1111"/>
      <c r="Y3" s="1111"/>
      <c r="Z3" s="1111"/>
      <c r="AA3" s="1111"/>
      <c r="AB3" s="1111"/>
      <c r="AC3" s="1112"/>
      <c r="AD3" s="1113"/>
      <c r="AE3" s="1113"/>
      <c r="AF3" s="1113"/>
      <c r="AG3" s="1113"/>
      <c r="AH3" s="1113"/>
      <c r="AI3" s="1113"/>
      <c r="AJ3" s="1114"/>
    </row>
    <row r="4" spans="1:36" ht="15.75">
      <c r="A4" s="3471"/>
      <c r="B4" s="3472"/>
      <c r="C4" s="3472"/>
      <c r="D4" s="3473"/>
      <c r="E4" s="3473"/>
      <c r="F4" s="3473"/>
      <c r="G4" s="3473"/>
      <c r="H4" s="3473"/>
      <c r="I4" s="3473"/>
      <c r="J4" s="3474"/>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10399</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10430</v>
      </c>
      <c r="D5" s="1230">
        <f>ROUND(C6*C17+C20,0)</f>
        <v>10430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9171</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10430</v>
      </c>
      <c r="D6" s="1838"/>
      <c r="E6" s="1839"/>
      <c r="F6" s="1839"/>
      <c r="G6" s="1840"/>
      <c r="H6" s="1840"/>
      <c r="I6" s="1840"/>
      <c r="J6" s="1841"/>
      <c r="K6" s="1270"/>
      <c r="L6" s="1824" t="s">
        <v>1948</v>
      </c>
      <c r="M6" s="791">
        <f>SUMPRODUCT((区片价!B127:B189=I2)*(区片价!C3:G3=E2)*(区片价!C127:G189))</f>
        <v>10430</v>
      </c>
      <c r="N6" s="793">
        <f>SUMPRODUCT((因素修正幅度!B127:B189=I2)*(因素修正幅度!C3:G3=E2)*(因素修正幅度!C127:G189))</f>
        <v>0.105</v>
      </c>
      <c r="O6" s="1034"/>
      <c r="P6" s="1034"/>
      <c r="Q6" s="1034"/>
      <c r="R6" s="1107">
        <v>5</v>
      </c>
      <c r="S6" s="3036">
        <f>ROUND(SUMPRODUCT((B106:B110=R6)*(C105:N105=G2)*(C106:N110)),4)</f>
        <v>0.84799999999999998</v>
      </c>
      <c r="T6" s="3036">
        <f t="shared" si="0"/>
        <v>8814</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3221</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1952</v>
      </c>
      <c r="X7" s="1109" t="str">
        <f>G2</f>
        <v>六级</v>
      </c>
      <c r="Y7" s="1109" t="s">
        <v>1953</v>
      </c>
      <c r="Z7" s="1110">
        <f>G3</f>
        <v>1.2</v>
      </c>
      <c r="AA7" s="1111"/>
      <c r="AB7" s="1111"/>
      <c r="AC7" s="1112"/>
      <c r="AD7" s="1113"/>
      <c r="AE7" s="1113"/>
      <c r="AF7" s="1113"/>
      <c r="AG7" s="1113"/>
      <c r="AH7" s="1113"/>
      <c r="AI7" s="1113"/>
      <c r="AJ7" s="1114"/>
    </row>
    <row r="8" spans="1:36" ht="25.5">
      <c r="A8" s="2982"/>
      <c r="B8" s="156" t="s">
        <v>1954</v>
      </c>
      <c r="C8" s="1847" t="s">
        <v>3956</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468" t="s">
        <v>1957</v>
      </c>
      <c r="X8" s="3469"/>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2"/>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470"/>
      <c r="X9" s="3037" t="s">
        <v>3250</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470"/>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3222</v>
      </c>
      <c r="B12" s="2986" t="s">
        <v>3223</v>
      </c>
      <c r="C12" s="2987">
        <v>1</v>
      </c>
      <c r="D12" s="2988" t="s">
        <v>3224</v>
      </c>
      <c r="E12" s="2989" t="s">
        <v>3225</v>
      </c>
      <c r="F12" s="2990"/>
      <c r="G12" s="2991"/>
      <c r="H12" s="2991"/>
      <c r="I12" s="2991"/>
      <c r="J12" s="2992"/>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3226</v>
      </c>
      <c r="B13" s="1855" t="s">
        <v>1979</v>
      </c>
      <c r="C13" s="693">
        <f>ROUND(C16*D16*E16*F16*G16*H16*I16*J16,4)</f>
        <v>0</v>
      </c>
      <c r="D13" s="1856" t="s">
        <v>1980</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1982</v>
      </c>
      <c r="C14" s="1861" t="s">
        <v>1983</v>
      </c>
      <c r="D14" s="1239" t="s">
        <v>1984</v>
      </c>
      <c r="E14" s="27" t="s">
        <v>1985</v>
      </c>
      <c r="F14" s="2993" t="s">
        <v>3227</v>
      </c>
      <c r="G14" s="2993" t="s">
        <v>3227</v>
      </c>
      <c r="H14" s="2993" t="s">
        <v>3227</v>
      </c>
      <c r="I14" s="2993" t="s">
        <v>3227</v>
      </c>
      <c r="J14" s="2993" t="s">
        <v>3227</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3228</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1986</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3229</v>
      </c>
      <c r="B17" s="3000" t="s">
        <v>3230</v>
      </c>
      <c r="C17" s="3009">
        <f>ROUND(IF(OR(E2="工业",E2="公共服务"),1,IF(AND(E18=0,E19=0),1,IF(AND(E18=J24,E19=G19),0.8,IF(E19=0,1+E17*(-0.2),1+E17*G17*(-0.2))))),4)</f>
        <v>1</v>
      </c>
      <c r="D17" s="3001" t="s">
        <v>3231</v>
      </c>
      <c r="E17" s="3009">
        <f>ROUND(G18/I18,2)</f>
        <v>0</v>
      </c>
      <c r="F17" s="3001" t="s">
        <v>3234</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3232</v>
      </c>
      <c r="E18" s="2334"/>
      <c r="F18" s="3003" t="s">
        <v>3235</v>
      </c>
      <c r="G18" s="3007">
        <f>ROUND(1-(1/(POWER(1+G24,E18))),4)</f>
        <v>0</v>
      </c>
      <c r="H18" s="3003" t="s">
        <v>3237</v>
      </c>
      <c r="I18" s="3007">
        <f>ROUND(1-(1/(POWER(1+G24,J24))),4)</f>
        <v>0.88249999999999995</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3233</v>
      </c>
      <c r="E19" s="3016"/>
      <c r="F19" s="3017" t="s">
        <v>3236</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75" t="s">
        <v>3238</v>
      </c>
      <c r="B20" s="153" t="s">
        <v>1991</v>
      </c>
      <c r="C20" s="3004">
        <f>ROUND(IF(F21="与级别开发程度一致",0,(G21-E21)/C21),0)</f>
        <v>0</v>
      </c>
      <c r="D20" s="3019" t="s">
        <v>1995</v>
      </c>
      <c r="E20" s="3020"/>
      <c r="F20" s="3481" t="s">
        <v>1992</v>
      </c>
      <c r="G20" s="3482"/>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476"/>
      <c r="B21" s="1979" t="s">
        <v>1994</v>
      </c>
      <c r="C21" s="1980">
        <f>IF(E3="M4科研用地",SUMPRODUCT((修正!A2:A7=E3)*(修正!B1:M1=G2)*(修正!B2:M7)),SUMPRODUCT((修正!A2:A7=E2)*(修正!B1:M1=G2)*(修正!B2:M7)))</f>
        <v>2.5</v>
      </c>
      <c r="D21" s="173" t="str">
        <f>IF(OR(G2="八级",G2="九级",G2="十级",G2="十一级",G2="十二级"),"五通一平","七通一平")</f>
        <v>七通一平</v>
      </c>
      <c r="E21" s="1970">
        <f>SUMPRODUCT((修正!B1:M1=G2)*(修正!B17:M17))</f>
        <v>315</v>
      </c>
      <c r="F21" s="1971" t="s">
        <v>3957</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73" t="s">
        <v>1999</v>
      </c>
      <c r="E23" s="699">
        <v>44197</v>
      </c>
      <c r="F23" s="1873" t="s">
        <v>2000</v>
      </c>
      <c r="G23" s="700">
        <f>'数据-取费表'!B2</f>
        <v>45952</v>
      </c>
      <c r="H23" s="3021" t="s">
        <v>3958</v>
      </c>
      <c r="I23" s="3022" t="str">
        <f>IF(H23="季度增幅（自定义）",SUMIF(N25:N28,E2,O25:O28),"")</f>
        <v/>
      </c>
      <c r="J23" s="3112" t="s">
        <v>3959</v>
      </c>
      <c r="K23" s="1039"/>
      <c r="L23" s="1874" t="s">
        <v>2001</v>
      </c>
      <c r="M23" s="1219">
        <f>ROUND(SUMIF(地价!B2:G2,E2,地价!B16:G16),0)</f>
        <v>350</v>
      </c>
      <c r="N23" s="1875" t="s">
        <v>2002</v>
      </c>
      <c r="O23" s="701">
        <f>ROUNDDOWN(DATEDIF(E23,G23,"M")/3,0)</f>
        <v>19</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f>ROUND(POWER(1+G24,J24-I24)*(POWER(1+G24,I24)-1)/(POWER(1+G24,J24)-1),4)</f>
        <v>0.94820000000000004</v>
      </c>
      <c r="D24" s="1879" t="s">
        <v>2004</v>
      </c>
      <c r="E24" s="1226">
        <f>存贷款利率!E28/100</f>
        <v>4.3499999999999997E-2</v>
      </c>
      <c r="F24" s="1879" t="s">
        <v>1996</v>
      </c>
      <c r="G24" s="706">
        <f>SUMIF(M30:Q30,E2,M33:Q33)</f>
        <v>5.5E-2</v>
      </c>
      <c r="H24" s="1879" t="s">
        <v>2005</v>
      </c>
      <c r="I24" s="707">
        <f>SUMIF('数据-取费表'!C6:C15,E2,'数据-取费表'!F6:F15)/COUNTIF('数据-取费表'!C6:C15,E2)</f>
        <v>33.86</v>
      </c>
      <c r="J24" s="708">
        <f>IF(E2="住宅",70,IF(E2="商业",40,50))</f>
        <v>40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3960</v>
      </c>
      <c r="C25" s="454">
        <f>IF(B25="容积率修正",IF(G3&lt;10,D26,J26),C27)</f>
        <v>1.5019</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3239</v>
      </c>
      <c r="D26" s="1241">
        <f>IF(E26=G26,F26,IF(G3&lt;10,ROUND(F26+(H26-F26)*(G3-E26)/(G26-E26),4),"——"))</f>
        <v>1.1711</v>
      </c>
      <c r="E26" s="690">
        <f>ROUNDDOWN(G3,1)</f>
        <v>1.2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690">
        <f>ROUNDUP(G3,1)</f>
        <v>1.2</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889" t="s">
        <v>3240</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1.5019</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1.0250999999999999</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f>IF(B25="容积率修正",E33+SUM(E37:E42),SUM(V2:V16)+SUM(E37:E42))</f>
        <v>11710</v>
      </c>
      <c r="D30" s="1902"/>
      <c r="E30" s="1819"/>
      <c r="F30" s="1903"/>
      <c r="G30" s="1819"/>
      <c r="H30" s="1819"/>
      <c r="I30" s="1819"/>
      <c r="J30" s="1904"/>
      <c r="K30" s="1034"/>
      <c r="L30" s="3028" t="s">
        <v>1933</v>
      </c>
      <c r="M30" s="3029" t="s">
        <v>1987</v>
      </c>
      <c r="N30" s="3029" t="s">
        <v>1988</v>
      </c>
      <c r="O30" s="3029" t="s">
        <v>1989</v>
      </c>
      <c r="P30" s="3029" t="s">
        <v>1990</v>
      </c>
      <c r="Q30" s="3032" t="s">
        <v>3244</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f>E34+SUM(I37:I42)</f>
        <v>0</v>
      </c>
      <c r="D31" s="1906"/>
      <c r="E31" s="1907"/>
      <c r="F31" s="1908"/>
      <c r="G31" s="1907"/>
      <c r="H31" s="1907"/>
      <c r="I31" s="1907"/>
      <c r="J31" s="1909"/>
      <c r="K31" s="1034"/>
      <c r="L31" s="3030" t="s">
        <v>1993</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1" t="s">
        <v>1996</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f>ROUND(C5*C22*C23*C24*C25*C28,0)</f>
        <v>15610</v>
      </c>
      <c r="D33" s="1917">
        <f>'数据-汇总表'!F19</f>
        <v>7681.7400000000007</v>
      </c>
      <c r="E33" s="709">
        <f>ROUND(C33*D33/10000,0)</f>
        <v>11991</v>
      </c>
      <c r="F33" s="3023" t="s">
        <v>3242</v>
      </c>
      <c r="G33" s="1918"/>
      <c r="H33" s="1918"/>
      <c r="I33" s="1918"/>
      <c r="J33" s="1919"/>
      <c r="K33" s="1034"/>
      <c r="L33" s="3026" t="s">
        <v>3245</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t="e">
        <f>ROUND(IF(E2="工业",C33*M42,IF(B25="楼层修正",SUM(V2:V16)*M41*10000/D34,C33*M41)),0)</f>
        <v>#DIV/0!</v>
      </c>
      <c r="D34" s="1922"/>
      <c r="E34" s="709">
        <f>ROUND(IF(B25="楼层修正",SUM(V2:V16)*M40,C34*D34/10000),0)</f>
        <v>0</v>
      </c>
      <c r="F34" s="1923" t="s">
        <v>2029</v>
      </c>
      <c r="G34" s="1924"/>
      <c r="H34" s="1924"/>
      <c r="I34" s="1924"/>
      <c r="J34" s="1925"/>
      <c r="K34" s="1034"/>
      <c r="L34" s="3026" t="s">
        <v>3246</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4" t="s">
        <v>3243</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3247</v>
      </c>
      <c r="L36" s="3113">
        <f ca="1">'数据-取费表'!B40</f>
        <v>3.1300000000000001E-2</v>
      </c>
      <c r="M36" s="2343">
        <f ca="1">ROUND($L$36*(1+M31),3)</f>
        <v>3.9E-2</v>
      </c>
      <c r="N36" s="2343">
        <f ca="1">ROUND($L$36*(1+N31),3)</f>
        <v>3.7999999999999999E-2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79"/>
      <c r="B37" s="1932" t="s">
        <v>2033</v>
      </c>
      <c r="C37" s="161">
        <f>ROUND(D5*C22*C23*C24*C28*F37,0)</f>
        <v>6236</v>
      </c>
      <c r="D37" s="1917"/>
      <c r="E37" s="157">
        <f>ROUND(C37*D37/10000,0)</f>
        <v>0</v>
      </c>
      <c r="F37" s="157">
        <f>SUMIF(修正!A59:A70,G2,修正!B59:B70)</f>
        <v>0.6</v>
      </c>
      <c r="G37" s="157">
        <f>ROUND(IF(E2="工业",C37*$M$42,C37*$M$41),0)</f>
        <v>1559</v>
      </c>
      <c r="H37" s="157">
        <f>D37</f>
        <v>0</v>
      </c>
      <c r="I37" s="157">
        <f>ROUND(G37*H37/10000,0)</f>
        <v>0</v>
      </c>
      <c r="J37" s="2727"/>
      <c r="K37" s="3034" t="s">
        <v>3248</v>
      </c>
      <c r="L37" s="1941">
        <f ca="1">L36+K38</f>
        <v>3.6299999999999999E-2</v>
      </c>
      <c r="M37" s="2343">
        <f ca="1">ROUND($L$37*(1+M31),3)</f>
        <v>4.4999999999999998E-2</v>
      </c>
      <c r="N37" s="2343">
        <f t="shared" ref="N37:Q37" ca="1" si="3">ROUND($L$37*(1+N31),3)</f>
        <v>4.3999999999999997E-2</v>
      </c>
      <c r="O37" s="2343">
        <f t="shared" ca="1" si="3"/>
        <v>4.2000000000000003E-2</v>
      </c>
      <c r="P37" s="2343">
        <f t="shared" ca="1" si="3"/>
        <v>0.04</v>
      </c>
      <c r="Q37" s="2343">
        <f t="shared" ca="1" si="3"/>
        <v>4.2000000000000003E-2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80"/>
      <c r="B38" s="1861" t="s">
        <v>2034</v>
      </c>
      <c r="C38" s="161">
        <f>ROUND(D5*C22*C23*C24*C28*F38,0)</f>
        <v>3118</v>
      </c>
      <c r="D38" s="1917"/>
      <c r="E38" s="157">
        <f t="shared" ref="E38:E42" si="4">ROUND(C38*D38/10000,0)</f>
        <v>0</v>
      </c>
      <c r="F38" s="157">
        <f>SUMIF(修正!A59:A70,G2,修正!C59:C70)</f>
        <v>0.3</v>
      </c>
      <c r="G38" s="157">
        <f>ROUND(IF(E2="工业",C38*$M$42,C38*$M$41),0)</f>
        <v>780</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80"/>
      <c r="B39" s="1861" t="s">
        <v>3241</v>
      </c>
      <c r="C39" s="161">
        <f>ROUND(D5*C22*C23*C24*C28*F39,0)</f>
        <v>2598</v>
      </c>
      <c r="D39" s="1917"/>
      <c r="E39" s="157">
        <f t="shared" si="4"/>
        <v>0</v>
      </c>
      <c r="F39" s="157">
        <f>SUMIF(修正!A59:A70,G2,修正!D59:D70)</f>
        <v>0.25</v>
      </c>
      <c r="G39" s="157">
        <f>ROUND(IF(E2="工业",C39*$M$42,C39*$M$41),0)</f>
        <v>650</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f>ROUND(D5*C22*C23*C24*C28*F40,0)</f>
        <v>2598</v>
      </c>
      <c r="D40" s="1917"/>
      <c r="E40" s="157">
        <f t="shared" si="4"/>
        <v>0</v>
      </c>
      <c r="F40" s="161">
        <f>SUMIF(修正!A59:A70,G2,修正!E59:E70)</f>
        <v>0.25</v>
      </c>
      <c r="G40" s="157">
        <f>ROUND(IF(E2="工业",C40*$M$42,C40*$M$41),0)</f>
        <v>650</v>
      </c>
      <c r="H40" s="157">
        <f t="shared" si="5"/>
        <v>0</v>
      </c>
      <c r="I40" s="157">
        <f t="shared" si="6"/>
        <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0</v>
      </c>
      <c r="D41" s="1917"/>
      <c r="E41" s="157">
        <f t="shared" si="4"/>
        <v>0</v>
      </c>
      <c r="F41" s="161">
        <f>SUMIF(修正!A59:A70,G2,修正!F59:F70)</f>
        <v>0.25</v>
      </c>
      <c r="G41" s="157">
        <f>ROUND(IF(E2="工业",C41*$M$42,C41*$M$41),0)</f>
        <v>0</v>
      </c>
      <c r="H41" s="157">
        <f t="shared" si="5"/>
        <v>0</v>
      </c>
      <c r="I41" s="157">
        <f t="shared" si="6"/>
        <v>0</v>
      </c>
      <c r="J41" s="919"/>
      <c r="L41" s="3035" t="s">
        <v>3249</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0</v>
      </c>
      <c r="D42" s="1922"/>
      <c r="E42" s="173">
        <f t="shared" si="4"/>
        <v>0</v>
      </c>
      <c r="F42" s="705">
        <f>SUMIF(修正!A59:A70,G2,修正!G59:G70)</f>
        <v>0.15</v>
      </c>
      <c r="G42" s="173">
        <f>ROUND(IF(E2="工业",C42*$M$42,C42*$M$41),0)</f>
        <v>0</v>
      </c>
      <c r="H42" s="173">
        <f t="shared" si="5"/>
        <v>0</v>
      </c>
      <c r="I42" s="173">
        <f t="shared" si="6"/>
        <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2117</v>
      </c>
      <c r="C44" s="326">
        <f>ROUND(POWER(1+E44,H44-G44)*(POWER(1+E44,G44)-1)/(POWER(1+E44,H44)-1),4)</f>
        <v>0</v>
      </c>
      <c r="D44" s="157" t="s">
        <v>1996</v>
      </c>
      <c r="E44" s="1968">
        <f>G24</f>
        <v>5.5E-2</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f>1+E50</f>
        <v>1.0250999999999999</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3961</v>
      </c>
      <c r="D50" s="981">
        <f t="shared" ref="D50:D58" si="7">SUMIF($J$49:$N$49,C50,J50:N50)</f>
        <v>0</v>
      </c>
      <c r="E50" s="684">
        <f>ROUND(SUM(D50:D58),4)</f>
        <v>2.5100000000000001E-2</v>
      </c>
      <c r="F50" s="1652">
        <f>IF(E2="商业",SUMIF(L1:L12,G2,N1:N12),"——")</f>
        <v>0.105</v>
      </c>
      <c r="G50" s="979">
        <f>H50</f>
        <v>1.5699999999999999E-2</v>
      </c>
      <c r="H50" s="982">
        <f t="shared" ref="H50:H58" si="8">IFERROR(ROUNDDOWN($F$50*I50/2,4),"——")</f>
        <v>1.5699999999999999E-2</v>
      </c>
      <c r="I50" s="3041">
        <v>0.3</v>
      </c>
      <c r="J50" s="980">
        <f t="shared" ref="J50:J58" si="9">K50+$G50</f>
        <v>3.1399999999999997E-2</v>
      </c>
      <c r="K50" s="980">
        <f t="shared" ref="K50:K58" si="10">$L50+$G50</f>
        <v>1.5699999999999999E-2</v>
      </c>
      <c r="L50" s="980">
        <v>0</v>
      </c>
      <c r="M50" s="980">
        <f t="shared" ref="M50:N58" si="11">L50-$G50</f>
        <v>-1.5699999999999999E-2</v>
      </c>
      <c r="N50" s="980">
        <f t="shared" si="11"/>
        <v>-3.1399999999999997E-2</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3961</v>
      </c>
      <c r="D51" s="981">
        <f t="shared" si="7"/>
        <v>0</v>
      </c>
      <c r="E51" s="685"/>
      <c r="F51" s="1652"/>
      <c r="G51" s="979">
        <f t="shared" ref="G51:G58" si="12">H51</f>
        <v>1.15E-2</v>
      </c>
      <c r="H51" s="982">
        <f t="shared" si="8"/>
        <v>1.15E-2</v>
      </c>
      <c r="I51" s="3041">
        <v>0.22</v>
      </c>
      <c r="J51" s="980">
        <f t="shared" si="9"/>
        <v>2.3E-2</v>
      </c>
      <c r="K51" s="980">
        <f t="shared" si="10"/>
        <v>1.15E-2</v>
      </c>
      <c r="L51" s="980">
        <v>0</v>
      </c>
      <c r="M51" s="980">
        <f t="shared" si="11"/>
        <v>-1.15E-2</v>
      </c>
      <c r="N51" s="980">
        <f t="shared" si="11"/>
        <v>-2.3E-2</v>
      </c>
      <c r="AA51" s="1035"/>
      <c r="AB51" s="1035"/>
      <c r="AC51" s="1035"/>
      <c r="AD51" s="1035"/>
      <c r="AE51" s="1035"/>
      <c r="AF51" s="1035"/>
      <c r="AG51" s="1035"/>
      <c r="AH51" s="1035"/>
      <c r="AI51" s="1035"/>
      <c r="AJ51" s="1035"/>
      <c r="AK51" s="1035"/>
    </row>
    <row r="52" spans="1:37" s="1034" customFormat="1" ht="36">
      <c r="A52" s="3043" t="s">
        <v>3251</v>
      </c>
      <c r="B52" s="1240">
        <f>估价对象房地状况!C19</f>
        <v>0</v>
      </c>
      <c r="C52" s="1864" t="s">
        <v>3962</v>
      </c>
      <c r="D52" s="981">
        <f t="shared" si="7"/>
        <v>6.3E-3</v>
      </c>
      <c r="E52" s="685"/>
      <c r="F52" s="1652"/>
      <c r="G52" s="979">
        <f t="shared" si="12"/>
        <v>6.3E-3</v>
      </c>
      <c r="H52" s="982">
        <f t="shared" si="8"/>
        <v>6.3E-3</v>
      </c>
      <c r="I52" s="3041">
        <v>0.12</v>
      </c>
      <c r="J52" s="980">
        <f t="shared" si="9"/>
        <v>1.26E-2</v>
      </c>
      <c r="K52" s="980">
        <f t="shared" si="10"/>
        <v>6.3E-3</v>
      </c>
      <c r="L52" s="980">
        <v>0</v>
      </c>
      <c r="M52" s="980">
        <f t="shared" si="11"/>
        <v>-6.3E-3</v>
      </c>
      <c r="N52" s="980">
        <f t="shared" si="11"/>
        <v>-1.26E-2</v>
      </c>
      <c r="AA52" s="1035"/>
      <c r="AB52" s="1035"/>
      <c r="AC52" s="1035"/>
      <c r="AD52" s="1035"/>
      <c r="AE52" s="1035"/>
      <c r="AF52" s="1035"/>
      <c r="AG52" s="1035"/>
      <c r="AH52" s="1035"/>
      <c r="AI52" s="1035"/>
      <c r="AJ52" s="1035"/>
      <c r="AK52" s="1035"/>
    </row>
    <row r="53" spans="1:37" s="1034" customFormat="1" ht="36.75">
      <c r="A53" s="1947" t="s">
        <v>2051</v>
      </c>
      <c r="B53" s="1951" t="s">
        <v>2052</v>
      </c>
      <c r="C53" s="1864" t="s">
        <v>3962</v>
      </c>
      <c r="D53" s="981">
        <f t="shared" si="7"/>
        <v>2.5999999999999999E-3</v>
      </c>
      <c r="E53" s="685"/>
      <c r="F53" s="1652"/>
      <c r="G53" s="979">
        <f t="shared" si="12"/>
        <v>2.5999999999999999E-3</v>
      </c>
      <c r="H53" s="982">
        <f t="shared" si="8"/>
        <v>2.5999999999999999E-3</v>
      </c>
      <c r="I53" s="3041">
        <v>0.05</v>
      </c>
      <c r="J53" s="980">
        <f t="shared" si="9"/>
        <v>5.1999999999999998E-3</v>
      </c>
      <c r="K53" s="980">
        <f t="shared" si="10"/>
        <v>2.5999999999999999E-3</v>
      </c>
      <c r="L53" s="980">
        <v>0</v>
      </c>
      <c r="M53" s="980">
        <f t="shared" si="11"/>
        <v>-2.5999999999999999E-3</v>
      </c>
      <c r="N53" s="980">
        <f t="shared" si="11"/>
        <v>-5.1999999999999998E-3</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3961</v>
      </c>
      <c r="D54" s="981">
        <f t="shared" si="7"/>
        <v>0</v>
      </c>
      <c r="E54" s="685"/>
      <c r="F54" s="1652"/>
      <c r="G54" s="979">
        <f t="shared" si="12"/>
        <v>4.1999999999999997E-3</v>
      </c>
      <c r="H54" s="982">
        <f t="shared" si="8"/>
        <v>4.1999999999999997E-3</v>
      </c>
      <c r="I54" s="3041">
        <v>0.08</v>
      </c>
      <c r="J54" s="980">
        <f t="shared" si="9"/>
        <v>8.3999999999999995E-3</v>
      </c>
      <c r="K54" s="980">
        <f t="shared" si="10"/>
        <v>4.1999999999999997E-3</v>
      </c>
      <c r="L54" s="980">
        <v>0</v>
      </c>
      <c r="M54" s="980">
        <f t="shared" si="11"/>
        <v>-4.1999999999999997E-3</v>
      </c>
      <c r="N54" s="980">
        <f t="shared" si="11"/>
        <v>-8.3999999999999995E-3</v>
      </c>
      <c r="AA54" s="1035"/>
      <c r="AB54" s="1035"/>
      <c r="AC54" s="1035"/>
      <c r="AD54" s="1035"/>
      <c r="AE54" s="1035"/>
      <c r="AF54" s="1035"/>
      <c r="AG54" s="1035"/>
      <c r="AH54" s="1035"/>
      <c r="AI54" s="1035"/>
      <c r="AJ54" s="1035"/>
      <c r="AK54" s="1035"/>
    </row>
    <row r="55" spans="1:37" s="1034" customFormat="1" ht="24">
      <c r="A55" s="1947" t="s">
        <v>2054</v>
      </c>
      <c r="B55" s="1952" t="s">
        <v>2055</v>
      </c>
      <c r="C55" s="1864" t="s">
        <v>3962</v>
      </c>
      <c r="D55" s="981">
        <f t="shared" si="7"/>
        <v>2.5999999999999999E-3</v>
      </c>
      <c r="E55" s="685"/>
      <c r="F55" s="1652"/>
      <c r="G55" s="979">
        <f t="shared" si="12"/>
        <v>2.5999999999999999E-3</v>
      </c>
      <c r="H55" s="982">
        <f t="shared" si="8"/>
        <v>2.5999999999999999E-3</v>
      </c>
      <c r="I55" s="3041">
        <v>0.05</v>
      </c>
      <c r="J55" s="980">
        <f t="shared" si="9"/>
        <v>5.1999999999999998E-3</v>
      </c>
      <c r="K55" s="980">
        <f t="shared" si="10"/>
        <v>2.5999999999999999E-3</v>
      </c>
      <c r="L55" s="980">
        <v>0</v>
      </c>
      <c r="M55" s="980">
        <f t="shared" si="11"/>
        <v>-2.5999999999999999E-3</v>
      </c>
      <c r="N55" s="980">
        <f t="shared" si="11"/>
        <v>-5.1999999999999998E-3</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3962</v>
      </c>
      <c r="D56" s="981">
        <f t="shared" si="7"/>
        <v>2.5999999999999999E-3</v>
      </c>
      <c r="E56" s="685"/>
      <c r="F56" s="1652"/>
      <c r="G56" s="979">
        <f t="shared" si="12"/>
        <v>2.5999999999999999E-3</v>
      </c>
      <c r="H56" s="982">
        <f t="shared" si="8"/>
        <v>2.5999999999999999E-3</v>
      </c>
      <c r="I56" s="3041">
        <v>0.05</v>
      </c>
      <c r="J56" s="980">
        <f t="shared" si="9"/>
        <v>5.1999999999999998E-3</v>
      </c>
      <c r="K56" s="980">
        <f t="shared" si="10"/>
        <v>2.5999999999999999E-3</v>
      </c>
      <c r="L56" s="980">
        <v>0</v>
      </c>
      <c r="M56" s="980">
        <f t="shared" si="11"/>
        <v>-2.5999999999999999E-3</v>
      </c>
      <c r="N56" s="980">
        <f t="shared" si="11"/>
        <v>-5.1999999999999998E-3</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3963</v>
      </c>
      <c r="D57" s="981">
        <f t="shared" si="7"/>
        <v>8.3999999999999995E-3</v>
      </c>
      <c r="E57" s="685"/>
      <c r="F57" s="1652"/>
      <c r="G57" s="979">
        <f t="shared" si="12"/>
        <v>4.1999999999999997E-3</v>
      </c>
      <c r="H57" s="982">
        <f t="shared" si="8"/>
        <v>4.1999999999999997E-3</v>
      </c>
      <c r="I57" s="3041">
        <v>0.08</v>
      </c>
      <c r="J57" s="980">
        <f t="shared" si="9"/>
        <v>8.3999999999999995E-3</v>
      </c>
      <c r="K57" s="980">
        <f t="shared" si="10"/>
        <v>4.1999999999999997E-3</v>
      </c>
      <c r="L57" s="980">
        <v>0</v>
      </c>
      <c r="M57" s="980">
        <f t="shared" si="11"/>
        <v>-4.1999999999999997E-3</v>
      </c>
      <c r="N57" s="980">
        <f t="shared" si="11"/>
        <v>-8.3999999999999995E-3</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3962</v>
      </c>
      <c r="D58" s="981">
        <f t="shared" si="7"/>
        <v>2.5999999999999999E-3</v>
      </c>
      <c r="E58" s="686"/>
      <c r="F58" s="1652"/>
      <c r="G58" s="979">
        <f t="shared" si="12"/>
        <v>2.5999999999999999E-3</v>
      </c>
      <c r="H58" s="982">
        <f t="shared" si="8"/>
        <v>2.5999999999999999E-3</v>
      </c>
      <c r="I58" s="3042">
        <v>0.05</v>
      </c>
      <c r="J58" s="980">
        <f t="shared" si="9"/>
        <v>5.1999999999999998E-3</v>
      </c>
      <c r="K58" s="980">
        <f t="shared" si="10"/>
        <v>2.5999999999999999E-3</v>
      </c>
      <c r="L58" s="980">
        <v>0</v>
      </c>
      <c r="M58" s="980">
        <f t="shared" si="11"/>
        <v>-2.5999999999999999E-3</v>
      </c>
      <c r="N58" s="980">
        <f t="shared" si="11"/>
        <v>-5.1999999999999998E-3</v>
      </c>
      <c r="AA58" s="1035"/>
      <c r="AB58" s="1035"/>
      <c r="AC58" s="1035"/>
      <c r="AD58" s="1035"/>
      <c r="AE58" s="1035"/>
      <c r="AF58" s="1035"/>
      <c r="AG58" s="1035"/>
      <c r="AH58" s="1035"/>
      <c r="AI58" s="1035"/>
      <c r="AJ58" s="1035"/>
      <c r="AK58" s="1035"/>
    </row>
    <row r="59" spans="1:37" s="1034" customFormat="1" ht="15">
      <c r="A59" s="1944" t="s">
        <v>2059</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c r="D61" s="981">
        <f t="shared" ref="D61:D69" si="13">SUMIF($J$60:$N$60,C61,J61:N61)</f>
        <v>0</v>
      </c>
      <c r="E61" s="684">
        <f>ROUND(SUM(D61:D69),4)</f>
        <v>0</v>
      </c>
      <c r="F61" s="1652" t="str">
        <f>IF(E2="办公",SUMIF(L1:L12,G2,N1:N12),"——")</f>
        <v>——</v>
      </c>
      <c r="G61" s="979"/>
      <c r="H61" s="982" t="str">
        <f t="shared" ref="H61:H69" si="14">IFERROR(ROUNDDOWN($F$61*I61/2,4),"——")</f>
        <v>——</v>
      </c>
      <c r="I61" s="3041">
        <v>0.25</v>
      </c>
      <c r="J61" s="980">
        <f t="shared" ref="J61:J69" si="15">K61+$G61</f>
        <v>0</v>
      </c>
      <c r="K61" s="980">
        <f t="shared" ref="K61:K69" si="16">$L61+$G61</f>
        <v>0</v>
      </c>
      <c r="L61" s="980">
        <v>0</v>
      </c>
      <c r="M61" s="980">
        <f t="shared" ref="M61:N69" si="17">L61-$G61</f>
        <v>0</v>
      </c>
      <c r="N61" s="980">
        <f t="shared" si="17"/>
        <v>0</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c r="D62" s="981">
        <f t="shared" si="13"/>
        <v>0</v>
      </c>
      <c r="E62" s="685"/>
      <c r="F62" s="1652"/>
      <c r="G62" s="979"/>
      <c r="H62" s="982" t="str">
        <f t="shared" si="14"/>
        <v>——</v>
      </c>
      <c r="I62" s="3041">
        <v>0.26</v>
      </c>
      <c r="J62" s="980">
        <f t="shared" si="15"/>
        <v>0</v>
      </c>
      <c r="K62" s="980">
        <f t="shared" si="16"/>
        <v>0</v>
      </c>
      <c r="L62" s="980">
        <v>0</v>
      </c>
      <c r="M62" s="980">
        <f t="shared" si="17"/>
        <v>0</v>
      </c>
      <c r="N62" s="980">
        <f t="shared" si="17"/>
        <v>0</v>
      </c>
      <c r="AA62" s="1035"/>
      <c r="AB62" s="1035"/>
      <c r="AC62" s="1035"/>
      <c r="AD62" s="1035"/>
      <c r="AE62" s="1035"/>
      <c r="AF62" s="1035"/>
      <c r="AG62" s="1035"/>
      <c r="AH62" s="1035"/>
      <c r="AI62" s="1035"/>
      <c r="AJ62" s="1035"/>
      <c r="AK62" s="1035"/>
    </row>
    <row r="63" spans="1:37" s="1034" customFormat="1" ht="36">
      <c r="A63" s="3043" t="s">
        <v>3251</v>
      </c>
      <c r="B63" s="1240">
        <f>估价对象房地状况!C19</f>
        <v>0</v>
      </c>
      <c r="C63" s="1864"/>
      <c r="D63" s="981">
        <f t="shared" si="13"/>
        <v>0</v>
      </c>
      <c r="E63" s="685"/>
      <c r="F63" s="1652"/>
      <c r="G63" s="979"/>
      <c r="H63" s="982" t="str">
        <f t="shared" si="14"/>
        <v>——</v>
      </c>
      <c r="I63" s="3041">
        <v>0.11</v>
      </c>
      <c r="J63" s="980">
        <f t="shared" si="15"/>
        <v>0</v>
      </c>
      <c r="K63" s="980">
        <f t="shared" si="16"/>
        <v>0</v>
      </c>
      <c r="L63" s="980">
        <v>0</v>
      </c>
      <c r="M63" s="980">
        <f t="shared" si="17"/>
        <v>0</v>
      </c>
      <c r="N63" s="980">
        <f t="shared" si="17"/>
        <v>0</v>
      </c>
      <c r="AA63" s="1035"/>
      <c r="AB63" s="1035"/>
      <c r="AC63" s="1035"/>
      <c r="AD63" s="1035"/>
      <c r="AE63" s="1035"/>
      <c r="AF63" s="1035"/>
      <c r="AG63" s="1035"/>
      <c r="AH63" s="1035"/>
      <c r="AI63" s="1035"/>
      <c r="AJ63" s="1035"/>
      <c r="AK63" s="1035"/>
    </row>
    <row r="64" spans="1:37" s="1034" customFormat="1" ht="36.75">
      <c r="A64" s="1947" t="s">
        <v>2051</v>
      </c>
      <c r="B64" s="1951" t="s">
        <v>2052</v>
      </c>
      <c r="C64" s="1864"/>
      <c r="D64" s="981">
        <f t="shared" si="13"/>
        <v>0</v>
      </c>
      <c r="E64" s="685"/>
      <c r="F64" s="1652"/>
      <c r="G64" s="979"/>
      <c r="H64" s="982" t="str">
        <f t="shared" si="14"/>
        <v>——</v>
      </c>
      <c r="I64" s="3041">
        <v>0.05</v>
      </c>
      <c r="J64" s="980">
        <f t="shared" si="15"/>
        <v>0</v>
      </c>
      <c r="K64" s="980">
        <f t="shared" si="16"/>
        <v>0</v>
      </c>
      <c r="L64" s="980">
        <v>0</v>
      </c>
      <c r="M64" s="980">
        <f t="shared" si="17"/>
        <v>0</v>
      </c>
      <c r="N64" s="980">
        <f t="shared" si="17"/>
        <v>0</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c r="D65" s="981">
        <f t="shared" si="13"/>
        <v>0</v>
      </c>
      <c r="E65" s="685"/>
      <c r="F65" s="1652"/>
      <c r="G65" s="979"/>
      <c r="H65" s="982" t="str">
        <f t="shared" si="14"/>
        <v>——</v>
      </c>
      <c r="I65" s="3041">
        <v>0.05</v>
      </c>
      <c r="J65" s="980">
        <f t="shared" si="15"/>
        <v>0</v>
      </c>
      <c r="K65" s="980">
        <f t="shared" si="16"/>
        <v>0</v>
      </c>
      <c r="L65" s="980">
        <v>0</v>
      </c>
      <c r="M65" s="980">
        <f t="shared" si="17"/>
        <v>0</v>
      </c>
      <c r="N65" s="980">
        <f t="shared" si="17"/>
        <v>0</v>
      </c>
      <c r="AA65" s="1035"/>
      <c r="AB65" s="1035"/>
      <c r="AC65" s="1035"/>
      <c r="AD65" s="1035"/>
      <c r="AE65" s="1035"/>
      <c r="AF65" s="1035"/>
      <c r="AG65" s="1035"/>
      <c r="AH65" s="1035"/>
      <c r="AI65" s="1035"/>
      <c r="AJ65" s="1035"/>
      <c r="AK65" s="1035"/>
    </row>
    <row r="66" spans="1:37" s="1034" customFormat="1" ht="24">
      <c r="A66" s="1947" t="s">
        <v>2054</v>
      </c>
      <c r="B66" s="1952" t="s">
        <v>2055</v>
      </c>
      <c r="C66" s="1864"/>
      <c r="D66" s="981">
        <f t="shared" si="13"/>
        <v>0</v>
      </c>
      <c r="E66" s="685"/>
      <c r="F66" s="1652"/>
      <c r="G66" s="979"/>
      <c r="H66" s="982" t="str">
        <f t="shared" si="14"/>
        <v>——</v>
      </c>
      <c r="I66" s="3041">
        <v>0.06</v>
      </c>
      <c r="J66" s="980">
        <f t="shared" si="15"/>
        <v>0</v>
      </c>
      <c r="K66" s="980">
        <f t="shared" si="16"/>
        <v>0</v>
      </c>
      <c r="L66" s="980">
        <v>0</v>
      </c>
      <c r="M66" s="980">
        <f t="shared" si="17"/>
        <v>0</v>
      </c>
      <c r="N66" s="980">
        <f t="shared" si="17"/>
        <v>0</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c r="D67" s="981">
        <f t="shared" si="13"/>
        <v>0</v>
      </c>
      <c r="E67" s="685"/>
      <c r="F67" s="1652"/>
      <c r="G67" s="979"/>
      <c r="H67" s="982" t="str">
        <f t="shared" si="14"/>
        <v>——</v>
      </c>
      <c r="I67" s="3041">
        <v>0.06</v>
      </c>
      <c r="J67" s="980">
        <f t="shared" si="15"/>
        <v>0</v>
      </c>
      <c r="K67" s="980">
        <f t="shared" si="16"/>
        <v>0</v>
      </c>
      <c r="L67" s="980">
        <v>0</v>
      </c>
      <c r="M67" s="980">
        <f t="shared" si="17"/>
        <v>0</v>
      </c>
      <c r="N67" s="980">
        <f t="shared" si="17"/>
        <v>0</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c r="D68" s="981">
        <f t="shared" si="13"/>
        <v>0</v>
      </c>
      <c r="E68" s="685"/>
      <c r="F68" s="1652"/>
      <c r="G68" s="979"/>
      <c r="H68" s="982" t="str">
        <f t="shared" si="14"/>
        <v>——</v>
      </c>
      <c r="I68" s="3041">
        <v>0.09</v>
      </c>
      <c r="J68" s="980">
        <f t="shared" si="15"/>
        <v>0</v>
      </c>
      <c r="K68" s="980">
        <f t="shared" si="16"/>
        <v>0</v>
      </c>
      <c r="L68" s="980">
        <v>0</v>
      </c>
      <c r="M68" s="980">
        <f t="shared" si="17"/>
        <v>0</v>
      </c>
      <c r="N68" s="980">
        <f t="shared" si="17"/>
        <v>0</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c r="D69" s="981">
        <f t="shared" si="13"/>
        <v>0</v>
      </c>
      <c r="E69" s="686"/>
      <c r="F69" s="1652"/>
      <c r="G69" s="979"/>
      <c r="H69" s="982" t="str">
        <f t="shared" si="14"/>
        <v>——</v>
      </c>
      <c r="I69" s="3042">
        <v>7.0000000000000007E-2</v>
      </c>
      <c r="J69" s="980">
        <f t="shared" si="15"/>
        <v>0</v>
      </c>
      <c r="K69" s="980">
        <f t="shared" si="16"/>
        <v>0</v>
      </c>
      <c r="L69" s="980">
        <v>0</v>
      </c>
      <c r="M69" s="980">
        <f t="shared" si="17"/>
        <v>0</v>
      </c>
      <c r="N69" s="980">
        <f t="shared" si="17"/>
        <v>0</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8">SUMIF($J$71:$N$71,C72,J72:N72)</f>
        <v>0</v>
      </c>
      <c r="E72" s="684">
        <f>ROUND(SUM(D72:D80),4)</f>
        <v>0</v>
      </c>
      <c r="F72" s="1652" t="str">
        <f>IF(E2="住宅",SUMIF(L1:L12,G2,N1:N12),"——")</f>
        <v>——</v>
      </c>
      <c r="G72" s="979"/>
      <c r="H72" s="982" t="str">
        <f t="shared" ref="H72:H80" si="19">IFERROR(ROUNDDOWN($F$72*I72/2,4),"——")</f>
        <v>——</v>
      </c>
      <c r="I72" s="3041">
        <v>0.2</v>
      </c>
      <c r="J72" s="980">
        <f t="shared" ref="J72:J80" si="20">K72+$G72</f>
        <v>0</v>
      </c>
      <c r="K72" s="980">
        <f t="shared" ref="K72:K80" si="21">$L72+$G72</f>
        <v>0</v>
      </c>
      <c r="L72" s="980">
        <v>0</v>
      </c>
      <c r="M72" s="980">
        <f t="shared" ref="M72:N80" si="22">L72-$G72</f>
        <v>0</v>
      </c>
      <c r="N72" s="980">
        <f t="shared" si="22"/>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8"/>
        <v>0</v>
      </c>
      <c r="E73" s="687"/>
      <c r="F73" s="1652"/>
      <c r="G73" s="979"/>
      <c r="H73" s="982" t="str">
        <f t="shared" si="19"/>
        <v>——</v>
      </c>
      <c r="I73" s="3041">
        <v>0.26</v>
      </c>
      <c r="J73" s="980">
        <f t="shared" si="20"/>
        <v>0</v>
      </c>
      <c r="K73" s="980">
        <f t="shared" si="21"/>
        <v>0</v>
      </c>
      <c r="L73" s="980">
        <v>0</v>
      </c>
      <c r="M73" s="980">
        <f t="shared" si="22"/>
        <v>0</v>
      </c>
      <c r="N73" s="980">
        <f t="shared" si="22"/>
        <v>0</v>
      </c>
      <c r="AA73" s="1035"/>
      <c r="AB73" s="1035"/>
      <c r="AC73" s="1035"/>
      <c r="AD73" s="1035"/>
      <c r="AE73" s="1035"/>
      <c r="AF73" s="1035"/>
      <c r="AG73" s="1035"/>
      <c r="AH73" s="1035"/>
      <c r="AI73" s="1035"/>
      <c r="AJ73" s="1035"/>
      <c r="AK73" s="1035"/>
    </row>
    <row r="74" spans="1:37" s="1821" customFormat="1" ht="36">
      <c r="A74" s="3043" t="s">
        <v>3251</v>
      </c>
      <c r="B74" s="1240">
        <f>估价对象房地状况!C19</f>
        <v>0</v>
      </c>
      <c r="C74" s="1864"/>
      <c r="D74" s="981">
        <f t="shared" si="18"/>
        <v>0</v>
      </c>
      <c r="E74" s="687"/>
      <c r="F74" s="1652"/>
      <c r="G74" s="979"/>
      <c r="H74" s="982" t="str">
        <f t="shared" si="19"/>
        <v>——</v>
      </c>
      <c r="I74" s="3041">
        <v>0.1</v>
      </c>
      <c r="J74" s="980">
        <f t="shared" si="20"/>
        <v>0</v>
      </c>
      <c r="K74" s="980">
        <f t="shared" si="21"/>
        <v>0</v>
      </c>
      <c r="L74" s="980">
        <v>0</v>
      </c>
      <c r="M74" s="980">
        <f t="shared" si="22"/>
        <v>0</v>
      </c>
      <c r="N74" s="980">
        <f t="shared" si="22"/>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8"/>
        <v>0</v>
      </c>
      <c r="E75" s="687"/>
      <c r="F75" s="1652"/>
      <c r="G75" s="979"/>
      <c r="H75" s="982" t="str">
        <f t="shared" si="19"/>
        <v>——</v>
      </c>
      <c r="I75" s="3041">
        <v>0.05</v>
      </c>
      <c r="J75" s="980">
        <f t="shared" si="20"/>
        <v>0</v>
      </c>
      <c r="K75" s="980">
        <f t="shared" si="21"/>
        <v>0</v>
      </c>
      <c r="L75" s="980">
        <v>0</v>
      </c>
      <c r="M75" s="980">
        <f t="shared" si="22"/>
        <v>0</v>
      </c>
      <c r="N75" s="980">
        <f t="shared" si="22"/>
        <v>0</v>
      </c>
      <c r="O75" s="1034"/>
      <c r="P75" s="1034"/>
      <c r="Q75" s="1821"/>
      <c r="Z75" s="1822"/>
      <c r="AA75" s="1872"/>
      <c r="AG75" s="1036"/>
      <c r="AK75" s="1872"/>
    </row>
    <row r="76" spans="1:37" ht="24">
      <c r="A76" s="1947" t="s">
        <v>2056</v>
      </c>
      <c r="B76" s="1218">
        <f>估价对象房地状况!C21</f>
        <v>0</v>
      </c>
      <c r="C76" s="1864"/>
      <c r="D76" s="981">
        <f t="shared" si="18"/>
        <v>0</v>
      </c>
      <c r="E76" s="687"/>
      <c r="F76" s="1652"/>
      <c r="G76" s="979"/>
      <c r="H76" s="982" t="str">
        <f t="shared" si="19"/>
        <v>——</v>
      </c>
      <c r="I76" s="3041">
        <v>0.08</v>
      </c>
      <c r="J76" s="980">
        <f t="shared" si="20"/>
        <v>0</v>
      </c>
      <c r="K76" s="980">
        <f t="shared" si="21"/>
        <v>0</v>
      </c>
      <c r="L76" s="980">
        <v>0</v>
      </c>
      <c r="M76" s="980">
        <f t="shared" si="22"/>
        <v>0</v>
      </c>
      <c r="N76" s="980">
        <f t="shared" si="22"/>
        <v>0</v>
      </c>
      <c r="O76" s="1034"/>
      <c r="P76" s="1034"/>
      <c r="Z76" s="1822"/>
      <c r="AA76" s="1872"/>
      <c r="AG76" s="1036"/>
      <c r="AK76" s="1872"/>
    </row>
    <row r="77" spans="1:37" ht="24">
      <c r="A77" s="1947" t="s">
        <v>2057</v>
      </c>
      <c r="B77" s="1218">
        <f>估价对象房地状况!C22</f>
        <v>0</v>
      </c>
      <c r="C77" s="1864"/>
      <c r="D77" s="981">
        <f t="shared" si="18"/>
        <v>0</v>
      </c>
      <c r="E77" s="687"/>
      <c r="F77" s="1652"/>
      <c r="G77" s="979"/>
      <c r="H77" s="982" t="str">
        <f t="shared" si="19"/>
        <v>——</v>
      </c>
      <c r="I77" s="3041">
        <v>0.09</v>
      </c>
      <c r="J77" s="980">
        <f t="shared" si="20"/>
        <v>0</v>
      </c>
      <c r="K77" s="980">
        <f t="shared" si="21"/>
        <v>0</v>
      </c>
      <c r="L77" s="980">
        <v>0</v>
      </c>
      <c r="M77" s="980">
        <f t="shared" si="22"/>
        <v>0</v>
      </c>
      <c r="N77" s="980">
        <f t="shared" si="22"/>
        <v>0</v>
      </c>
      <c r="O77" s="1034"/>
      <c r="P77" s="1034"/>
      <c r="Z77" s="1822"/>
      <c r="AA77" s="1872"/>
      <c r="AG77" s="1036"/>
      <c r="AK77" s="1872"/>
    </row>
    <row r="78" spans="1:37" ht="24">
      <c r="A78" s="1947" t="s">
        <v>2054</v>
      </c>
      <c r="B78" s="1952" t="s">
        <v>2055</v>
      </c>
      <c r="C78" s="1864"/>
      <c r="D78" s="981">
        <f t="shared" si="18"/>
        <v>0</v>
      </c>
      <c r="E78" s="687"/>
      <c r="F78" s="1652"/>
      <c r="G78" s="979"/>
      <c r="H78" s="982" t="str">
        <f t="shared" si="19"/>
        <v>——</v>
      </c>
      <c r="I78" s="3041">
        <v>0.05</v>
      </c>
      <c r="J78" s="980">
        <f t="shared" si="20"/>
        <v>0</v>
      </c>
      <c r="K78" s="980">
        <f t="shared" si="21"/>
        <v>0</v>
      </c>
      <c r="L78" s="980">
        <v>0</v>
      </c>
      <c r="M78" s="980">
        <f t="shared" si="22"/>
        <v>0</v>
      </c>
      <c r="N78" s="980">
        <f t="shared" si="22"/>
        <v>0</v>
      </c>
      <c r="O78" s="1821"/>
      <c r="P78" s="1821"/>
      <c r="Z78" s="1822"/>
      <c r="AA78" s="1872"/>
      <c r="AG78" s="1036"/>
      <c r="AK78" s="1872"/>
    </row>
    <row r="79" spans="1:37" ht="24">
      <c r="A79" s="1947" t="s">
        <v>2058</v>
      </c>
      <c r="B79" s="1950">
        <f>估价对象房地状况!C20</f>
        <v>0</v>
      </c>
      <c r="C79" s="1864"/>
      <c r="D79" s="981">
        <f t="shared" si="18"/>
        <v>0</v>
      </c>
      <c r="E79" s="687"/>
      <c r="F79" s="1652"/>
      <c r="G79" s="979"/>
      <c r="H79" s="982" t="str">
        <f t="shared" si="19"/>
        <v>——</v>
      </c>
      <c r="I79" s="3041">
        <v>0.12</v>
      </c>
      <c r="J79" s="980">
        <f t="shared" si="20"/>
        <v>0</v>
      </c>
      <c r="K79" s="980">
        <f t="shared" si="21"/>
        <v>0</v>
      </c>
      <c r="L79" s="980">
        <v>0</v>
      </c>
      <c r="M79" s="980">
        <f t="shared" si="22"/>
        <v>0</v>
      </c>
      <c r="N79" s="980">
        <f t="shared" si="22"/>
        <v>0</v>
      </c>
      <c r="Z79" s="1822"/>
      <c r="AA79" s="1872"/>
      <c r="AG79" s="1036"/>
      <c r="AK79" s="1872"/>
    </row>
    <row r="80" spans="1:37" ht="24.75" thickBot="1">
      <c r="A80" s="1954" t="s">
        <v>2065</v>
      </c>
      <c r="B80" s="1958"/>
      <c r="C80" s="1864"/>
      <c r="D80" s="981">
        <f t="shared" si="18"/>
        <v>0</v>
      </c>
      <c r="E80" s="688"/>
      <c r="F80" s="1652"/>
      <c r="G80" s="979"/>
      <c r="H80" s="982" t="str">
        <f t="shared" si="19"/>
        <v>——</v>
      </c>
      <c r="I80" s="3042">
        <v>0.05</v>
      </c>
      <c r="J80" s="980">
        <f t="shared" si="20"/>
        <v>0</v>
      </c>
      <c r="K80" s="980">
        <f t="shared" si="21"/>
        <v>0</v>
      </c>
      <c r="L80" s="980">
        <v>0</v>
      </c>
      <c r="M80" s="980">
        <f t="shared" si="22"/>
        <v>0</v>
      </c>
      <c r="N80" s="980">
        <f t="shared" si="22"/>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3">SUMIF($J$82:$N$82,C83,J83:N83)</f>
        <v>0</v>
      </c>
      <c r="E83" s="684">
        <f>ROUND(SUM(D83:D90),4)</f>
        <v>0</v>
      </c>
      <c r="F83" s="1652" t="str">
        <f>IF(E2="工业",SUMIF(L1:L12,G2,N1:N12),"——")</f>
        <v>——</v>
      </c>
      <c r="G83" s="979"/>
      <c r="H83" s="982" t="str">
        <f t="shared" ref="H83:H90" si="24">IFERROR(ROUNDDOWN($F$83*I83/2,4),"——")</f>
        <v>——</v>
      </c>
      <c r="I83" s="3041">
        <v>0.26</v>
      </c>
      <c r="J83" s="980">
        <f t="shared" ref="J83:J90" si="25">K83+$G83</f>
        <v>0</v>
      </c>
      <c r="K83" s="980">
        <f t="shared" ref="K83:K90" si="26">$L83+$G83</f>
        <v>0</v>
      </c>
      <c r="L83" s="980">
        <v>0</v>
      </c>
      <c r="M83" s="980">
        <f t="shared" ref="M83:N90" si="27">L83-$G83</f>
        <v>0</v>
      </c>
      <c r="N83" s="980">
        <f t="shared" si="27"/>
        <v>0</v>
      </c>
      <c r="Z83" s="1822"/>
      <c r="AA83" s="1872"/>
      <c r="AG83" s="1036"/>
      <c r="AK83" s="1872"/>
    </row>
    <row r="84" spans="1:37" ht="14.25">
      <c r="A84" s="1947" t="s">
        <v>2050</v>
      </c>
      <c r="B84" s="1240">
        <f>估价对象房地状况!G16</f>
        <v>0</v>
      </c>
      <c r="C84" s="1864"/>
      <c r="D84" s="981">
        <f t="shared" si="23"/>
        <v>0</v>
      </c>
      <c r="E84" s="687"/>
      <c r="F84" s="1652"/>
      <c r="G84" s="979"/>
      <c r="H84" s="982" t="str">
        <f t="shared" si="24"/>
        <v>——</v>
      </c>
      <c r="I84" s="3041">
        <v>0.3</v>
      </c>
      <c r="J84" s="980">
        <f t="shared" si="25"/>
        <v>0</v>
      </c>
      <c r="K84" s="980">
        <f t="shared" si="26"/>
        <v>0</v>
      </c>
      <c r="L84" s="980">
        <v>0</v>
      </c>
      <c r="M84" s="980">
        <f t="shared" si="27"/>
        <v>0</v>
      </c>
      <c r="N84" s="980">
        <f t="shared" si="27"/>
        <v>0</v>
      </c>
      <c r="Z84" s="1822"/>
      <c r="AA84" s="1872"/>
      <c r="AG84" s="1036"/>
      <c r="AK84" s="1872"/>
    </row>
    <row r="85" spans="1:37" ht="36">
      <c r="A85" s="3043" t="s">
        <v>3252</v>
      </c>
      <c r="B85" s="1240">
        <f>估价对象房地状况!G17</f>
        <v>0</v>
      </c>
      <c r="C85" s="1864"/>
      <c r="D85" s="981">
        <f t="shared" si="23"/>
        <v>0</v>
      </c>
      <c r="E85" s="687"/>
      <c r="F85" s="1652"/>
      <c r="G85" s="979"/>
      <c r="H85" s="982" t="str">
        <f t="shared" si="24"/>
        <v>——</v>
      </c>
      <c r="I85" s="3041">
        <v>0.1</v>
      </c>
      <c r="J85" s="980">
        <f t="shared" si="25"/>
        <v>0</v>
      </c>
      <c r="K85" s="980">
        <f t="shared" si="26"/>
        <v>0</v>
      </c>
      <c r="L85" s="980">
        <v>0</v>
      </c>
      <c r="M85" s="980">
        <f t="shared" si="27"/>
        <v>0</v>
      </c>
      <c r="N85" s="980">
        <f t="shared" si="27"/>
        <v>0</v>
      </c>
      <c r="Z85" s="1822"/>
      <c r="AA85" s="1872"/>
      <c r="AG85" s="1036"/>
      <c r="AK85" s="1872"/>
    </row>
    <row r="86" spans="1:37" ht="14.25">
      <c r="A86" s="1947" t="s">
        <v>2064</v>
      </c>
      <c r="B86" s="1240">
        <f>估价对象房地状况!G22</f>
        <v>0</v>
      </c>
      <c r="C86" s="1864"/>
      <c r="D86" s="981">
        <f t="shared" si="23"/>
        <v>0</v>
      </c>
      <c r="E86" s="687"/>
      <c r="F86" s="1652"/>
      <c r="G86" s="979"/>
      <c r="H86" s="982" t="str">
        <f t="shared" si="24"/>
        <v>——</v>
      </c>
      <c r="I86" s="3041">
        <v>0.05</v>
      </c>
      <c r="J86" s="980">
        <f t="shared" si="25"/>
        <v>0</v>
      </c>
      <c r="K86" s="980">
        <f t="shared" si="26"/>
        <v>0</v>
      </c>
      <c r="L86" s="980">
        <v>0</v>
      </c>
      <c r="M86" s="980">
        <f t="shared" si="27"/>
        <v>0</v>
      </c>
      <c r="N86" s="980">
        <f t="shared" si="27"/>
        <v>0</v>
      </c>
      <c r="Z86" s="1822"/>
      <c r="AA86" s="1872"/>
      <c r="AG86" s="1036"/>
      <c r="AK86" s="1872"/>
    </row>
    <row r="87" spans="1:37" ht="24">
      <c r="A87" s="1947" t="s">
        <v>2056</v>
      </c>
      <c r="B87" s="1218">
        <f>估价对象房地状况!G19</f>
        <v>0</v>
      </c>
      <c r="C87" s="1864"/>
      <c r="D87" s="981">
        <f t="shared" si="23"/>
        <v>0</v>
      </c>
      <c r="E87" s="687"/>
      <c r="F87" s="1652"/>
      <c r="G87" s="979"/>
      <c r="H87" s="982" t="str">
        <f t="shared" si="24"/>
        <v>——</v>
      </c>
      <c r="I87" s="3041">
        <v>0.06</v>
      </c>
      <c r="J87" s="980">
        <f t="shared" si="25"/>
        <v>0</v>
      </c>
      <c r="K87" s="980">
        <f t="shared" si="26"/>
        <v>0</v>
      </c>
      <c r="L87" s="980">
        <v>0</v>
      </c>
      <c r="M87" s="980">
        <f t="shared" si="27"/>
        <v>0</v>
      </c>
      <c r="N87" s="980">
        <f t="shared" si="27"/>
        <v>0</v>
      </c>
    </row>
    <row r="88" spans="1:37" ht="24">
      <c r="A88" s="1947" t="s">
        <v>2057</v>
      </c>
      <c r="B88" s="1218">
        <f>估价对象房地状况!G20</f>
        <v>0</v>
      </c>
      <c r="C88" s="1864"/>
      <c r="D88" s="981">
        <f t="shared" si="23"/>
        <v>0</v>
      </c>
      <c r="E88" s="687"/>
      <c r="F88" s="1652"/>
      <c r="G88" s="979"/>
      <c r="H88" s="982" t="str">
        <f t="shared" si="24"/>
        <v>——</v>
      </c>
      <c r="I88" s="3041">
        <v>0.12</v>
      </c>
      <c r="J88" s="980">
        <f t="shared" si="25"/>
        <v>0</v>
      </c>
      <c r="K88" s="980">
        <f t="shared" si="26"/>
        <v>0</v>
      </c>
      <c r="L88" s="980">
        <v>0</v>
      </c>
      <c r="M88" s="980">
        <f t="shared" si="27"/>
        <v>0</v>
      </c>
      <c r="N88" s="980">
        <f t="shared" si="27"/>
        <v>0</v>
      </c>
    </row>
    <row r="89" spans="1:37" ht="24">
      <c r="A89" s="1947" t="s">
        <v>2054</v>
      </c>
      <c r="B89" s="1952" t="s">
        <v>2068</v>
      </c>
      <c r="C89" s="1864"/>
      <c r="D89" s="981">
        <f t="shared" si="23"/>
        <v>0</v>
      </c>
      <c r="E89" s="687"/>
      <c r="F89" s="1652"/>
      <c r="G89" s="979"/>
      <c r="H89" s="982" t="str">
        <f t="shared" si="24"/>
        <v>——</v>
      </c>
      <c r="I89" s="3041">
        <v>0.06</v>
      </c>
      <c r="J89" s="980">
        <f t="shared" si="25"/>
        <v>0</v>
      </c>
      <c r="K89" s="980">
        <f t="shared" si="26"/>
        <v>0</v>
      </c>
      <c r="L89" s="980">
        <v>0</v>
      </c>
      <c r="M89" s="980">
        <f t="shared" si="27"/>
        <v>0</v>
      </c>
      <c r="N89" s="980">
        <f t="shared" si="27"/>
        <v>0</v>
      </c>
    </row>
    <row r="90" spans="1:37" ht="15" thickBot="1">
      <c r="A90" s="1954" t="s">
        <v>2069</v>
      </c>
      <c r="B90" s="1959">
        <f>估价对象房地状况!G18</f>
        <v>0</v>
      </c>
      <c r="C90" s="1864"/>
      <c r="D90" s="981">
        <f t="shared" si="23"/>
        <v>0</v>
      </c>
      <c r="E90" s="688"/>
      <c r="F90" s="1652"/>
      <c r="G90" s="979"/>
      <c r="H90" s="982" t="str">
        <f t="shared" si="24"/>
        <v>——</v>
      </c>
      <c r="I90" s="3042">
        <v>0.05</v>
      </c>
      <c r="J90" s="980">
        <f t="shared" si="25"/>
        <v>0</v>
      </c>
      <c r="K90" s="980">
        <f t="shared" si="26"/>
        <v>0</v>
      </c>
      <c r="L90" s="980">
        <v>0</v>
      </c>
      <c r="M90" s="980">
        <f t="shared" si="27"/>
        <v>0</v>
      </c>
      <c r="N90" s="980">
        <f t="shared" si="27"/>
        <v>0</v>
      </c>
    </row>
    <row r="91" spans="1:37" ht="15">
      <c r="A91" s="3051" t="s">
        <v>2596</v>
      </c>
      <c r="B91" s="3052">
        <f>1+E93</f>
        <v>1</v>
      </c>
      <c r="C91" s="3045"/>
      <c r="D91" s="3046"/>
      <c r="E91" s="1652"/>
      <c r="F91" s="1652"/>
      <c r="G91" s="3047"/>
      <c r="H91" s="3048"/>
      <c r="I91" s="3049"/>
      <c r="J91" s="3050"/>
      <c r="K91" s="3050"/>
      <c r="L91" s="3050"/>
      <c r="M91" s="3050"/>
      <c r="N91" s="3050"/>
    </row>
    <row r="92" spans="1:37" ht="24.75">
      <c r="A92" s="3053" t="s">
        <v>3253</v>
      </c>
      <c r="B92" s="2287"/>
      <c r="C92" s="2287" t="s">
        <v>3262</v>
      </c>
      <c r="D92" s="2287" t="s">
        <v>3263</v>
      </c>
      <c r="E92" s="3025" t="s">
        <v>3264</v>
      </c>
      <c r="F92" s="3055" t="s">
        <v>3265</v>
      </c>
      <c r="G92" s="2287" t="s">
        <v>3266</v>
      </c>
      <c r="H92" s="3062" t="s">
        <v>3269</v>
      </c>
      <c r="I92" s="2287" t="s">
        <v>3270</v>
      </c>
      <c r="J92" s="2127" t="s">
        <v>3271</v>
      </c>
      <c r="K92" s="2127" t="s">
        <v>3272</v>
      </c>
      <c r="L92" s="2127" t="s">
        <v>3273</v>
      </c>
      <c r="M92" s="2127" t="s">
        <v>3274</v>
      </c>
      <c r="N92" s="2127" t="s">
        <v>3275</v>
      </c>
    </row>
    <row r="93" spans="1:37" ht="24">
      <c r="A93" s="3043" t="s">
        <v>3254</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14.25">
      <c r="A94" s="3053" t="s">
        <v>3255</v>
      </c>
      <c r="B94" s="3044">
        <f>估价对象房地状况!C18</f>
        <v>0</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3251</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3256</v>
      </c>
      <c r="B96" s="3059" t="s">
        <v>3267</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3257</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3258</v>
      </c>
      <c r="B98" s="3060" t="s">
        <v>3268</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4">
      <c r="A99" s="3053" t="s">
        <v>3259</v>
      </c>
      <c r="B99" s="3044">
        <f>估价对象房地状况!C21</f>
        <v>0</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4">
      <c r="A100" s="3053" t="s">
        <v>3260</v>
      </c>
      <c r="B100" s="3044">
        <f>估价对象房地状况!C22</f>
        <v>0</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4.75" thickBot="1">
      <c r="A101" s="3054" t="s">
        <v>3261</v>
      </c>
      <c r="B101" s="3061">
        <f>估价对象房地状况!C20</f>
        <v>0</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477" t="s">
        <v>3276</v>
      </c>
      <c r="B103" s="3477"/>
      <c r="C103" s="3477"/>
      <c r="D103" s="3477"/>
      <c r="E103" s="3477"/>
      <c r="F103" s="3477"/>
      <c r="G103" s="3477"/>
      <c r="H103" s="3477"/>
      <c r="I103" s="3477"/>
      <c r="J103" s="3477"/>
      <c r="K103" s="1644"/>
      <c r="L103" s="1644"/>
      <c r="M103" s="1644"/>
      <c r="N103" s="1644"/>
    </row>
    <row r="104" spans="1:14">
      <c r="A104" s="3478" t="s">
        <v>3277</v>
      </c>
      <c r="B104" s="3478" t="s">
        <v>3278</v>
      </c>
      <c r="C104" s="3063" t="s">
        <v>3279</v>
      </c>
      <c r="D104" s="3064"/>
      <c r="E104" s="3064"/>
      <c r="F104" s="3064"/>
      <c r="G104" s="3064"/>
      <c r="H104" s="3064"/>
      <c r="I104" s="3064"/>
      <c r="J104" s="3065"/>
      <c r="K104" s="3066"/>
      <c r="L104" s="3066"/>
      <c r="M104" s="3066"/>
      <c r="N104" s="3066"/>
    </row>
    <row r="105" spans="1:14">
      <c r="A105" s="3478"/>
      <c r="B105" s="3478"/>
      <c r="C105" s="3067" t="s">
        <v>3280</v>
      </c>
      <c r="D105" s="3067" t="s">
        <v>3281</v>
      </c>
      <c r="E105" s="3067" t="s">
        <v>3282</v>
      </c>
      <c r="F105" s="3067" t="s">
        <v>3283</v>
      </c>
      <c r="G105" s="3067" t="s">
        <v>3284</v>
      </c>
      <c r="H105" s="3067" t="s">
        <v>3285</v>
      </c>
      <c r="I105" s="3067" t="s">
        <v>3286</v>
      </c>
      <c r="J105" s="3067" t="s">
        <v>3287</v>
      </c>
      <c r="K105" s="3067" t="s">
        <v>3288</v>
      </c>
      <c r="L105" s="3067" t="s">
        <v>3289</v>
      </c>
      <c r="M105" s="3067" t="s">
        <v>3290</v>
      </c>
      <c r="N105" s="3067" t="s">
        <v>3291</v>
      </c>
    </row>
    <row r="106" spans="1:14">
      <c r="A106" s="3464" t="s">
        <v>3292</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465"/>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465"/>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465"/>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465"/>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465"/>
      <c r="B111" s="3067" t="s">
        <v>3250</v>
      </c>
      <c r="C111" s="3068">
        <f>$I$3</f>
        <v>1</v>
      </c>
      <c r="D111" s="3068">
        <f t="shared" ref="D111:M111" si="33">$I$3</f>
        <v>1</v>
      </c>
      <c r="E111" s="3068">
        <f t="shared" si="33"/>
        <v>1</v>
      </c>
      <c r="F111" s="3068">
        <f t="shared" si="33"/>
        <v>1</v>
      </c>
      <c r="G111" s="3068">
        <f t="shared" si="33"/>
        <v>1</v>
      </c>
      <c r="H111" s="3068">
        <f t="shared" si="33"/>
        <v>1</v>
      </c>
      <c r="I111" s="3068">
        <f t="shared" si="33"/>
        <v>1</v>
      </c>
      <c r="J111" s="3068">
        <f t="shared" si="33"/>
        <v>1</v>
      </c>
      <c r="K111" s="3068">
        <f t="shared" si="33"/>
        <v>1</v>
      </c>
      <c r="L111" s="3068">
        <f t="shared" si="33"/>
        <v>1</v>
      </c>
      <c r="M111" s="3068">
        <f t="shared" si="33"/>
        <v>1</v>
      </c>
      <c r="N111" s="3068">
        <f>$I$3</f>
        <v>1</v>
      </c>
    </row>
    <row r="112" spans="1:14">
      <c r="A112" s="3466"/>
      <c r="B112" s="3067">
        <v>6</v>
      </c>
      <c r="C112" s="3062">
        <f>(-0.5556*(C111^2)-0.2719*C111+8944)*(10^(-4))</f>
        <v>0.89431725000000006</v>
      </c>
      <c r="D112" s="3062">
        <f>(-0.5556*(D111^2)-0.2719*D111+8944)*(10^(-4))</f>
        <v>0.89431725000000006</v>
      </c>
      <c r="E112" s="3062">
        <f>(-0.7912*(E111^2)-11.3794*E111+8482)*(10^(-4))</f>
        <v>0.84698294000000007</v>
      </c>
      <c r="F112" s="3062">
        <f t="shared" ref="F112:I112" si="34">(-0.7912*(F111^2)-11.3794*F111+8482)*(10^(-4))</f>
        <v>0.84698294000000007</v>
      </c>
      <c r="G112" s="3062">
        <f t="shared" si="34"/>
        <v>0.84698294000000007</v>
      </c>
      <c r="H112" s="3062">
        <f t="shared" si="34"/>
        <v>0.84698294000000007</v>
      </c>
      <c r="I112" s="3062">
        <f t="shared" si="34"/>
        <v>0.84698294000000007</v>
      </c>
      <c r="J112" s="3062">
        <f>(-0.989*(J111^2)-63.78*J111+7771)*(10^(-4))</f>
        <v>0.77062310000000001</v>
      </c>
      <c r="K112" s="3062">
        <f t="shared" ref="K112:N112" si="35">(-0.989*(K111^2)-63.78*K111+7771)*(10^(-4))</f>
        <v>0.77062310000000001</v>
      </c>
      <c r="L112" s="3062">
        <f t="shared" si="35"/>
        <v>0.77062310000000001</v>
      </c>
      <c r="M112" s="3062">
        <f t="shared" si="35"/>
        <v>0.77062310000000001</v>
      </c>
      <c r="N112" s="3062">
        <f t="shared" si="35"/>
        <v>0.77062310000000001</v>
      </c>
    </row>
    <row r="113" spans="1:14">
      <c r="A113" s="3467" t="s">
        <v>3293</v>
      </c>
      <c r="B113" s="3467"/>
      <c r="C113" s="3467"/>
      <c r="D113" s="3467"/>
      <c r="E113" s="3467"/>
      <c r="F113" s="3467"/>
      <c r="G113" s="3467"/>
      <c r="H113" s="3467"/>
      <c r="I113" s="3467"/>
      <c r="J113" s="3467"/>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3294</v>
      </c>
      <c r="B116" s="3087">
        <f>G3</f>
        <v>1.2</v>
      </c>
      <c r="C116" s="3072" t="s">
        <v>3295</v>
      </c>
      <c r="D116" s="3073">
        <f>SUMPRODUCT((A118:A122=F116)*(B117:M117=H116)*B118:M122)</f>
        <v>0.93220000000000003</v>
      </c>
      <c r="E116" s="156" t="s">
        <v>3296</v>
      </c>
      <c r="F116" s="3074" t="str">
        <f>E2</f>
        <v>商业</v>
      </c>
      <c r="G116" s="156" t="s">
        <v>3297</v>
      </c>
      <c r="H116" s="3074" t="str">
        <f>G2</f>
        <v>六级</v>
      </c>
      <c r="I116" s="156"/>
      <c r="J116" s="3075"/>
      <c r="K116" s="3075"/>
      <c r="L116" s="3075"/>
      <c r="M116" s="3075"/>
      <c r="N116" s="3070"/>
    </row>
    <row r="117" spans="1:14">
      <c r="A117" s="3076"/>
      <c r="B117" s="3077" t="s">
        <v>3298</v>
      </c>
      <c r="C117" s="3077" t="s">
        <v>3299</v>
      </c>
      <c r="D117" s="3077" t="s">
        <v>3300</v>
      </c>
      <c r="E117" s="3078" t="s">
        <v>3301</v>
      </c>
      <c r="F117" s="3078" t="s">
        <v>3302</v>
      </c>
      <c r="G117" s="3078" t="s">
        <v>3303</v>
      </c>
      <c r="H117" s="3079" t="s">
        <v>3304</v>
      </c>
      <c r="I117" s="3079" t="s">
        <v>3305</v>
      </c>
      <c r="J117" s="3080" t="s">
        <v>3306</v>
      </c>
      <c r="K117" s="3080" t="s">
        <v>3307</v>
      </c>
      <c r="L117" s="3080" t="s">
        <v>3308</v>
      </c>
      <c r="M117" s="3081" t="s">
        <v>3309</v>
      </c>
      <c r="N117" s="3070"/>
    </row>
    <row r="118" spans="1:14">
      <c r="A118" s="3030" t="s">
        <v>3310</v>
      </c>
      <c r="B118" s="3062">
        <f>ROUND(0.9968-0.011*B116,4)</f>
        <v>0.98360000000000003</v>
      </c>
      <c r="C118" s="3062">
        <f>B118</f>
        <v>0.98360000000000003</v>
      </c>
      <c r="D118" s="3062">
        <f>ROUND(0.949-0.014*B116,4)</f>
        <v>0.93220000000000003</v>
      </c>
      <c r="E118" s="3062">
        <f>D118</f>
        <v>0.93220000000000003</v>
      </c>
      <c r="F118" s="3062">
        <f>E118</f>
        <v>0.93220000000000003</v>
      </c>
      <c r="G118" s="3062">
        <f>F118</f>
        <v>0.93220000000000003</v>
      </c>
      <c r="H118" s="3062">
        <f>G118</f>
        <v>0.93220000000000003</v>
      </c>
      <c r="I118" s="3062">
        <f>ROUND(0.8486-0.018*B116,4)</f>
        <v>0.82699999999999996</v>
      </c>
      <c r="J118" s="3062">
        <f t="shared" ref="J118:M122" si="36">I118</f>
        <v>0.82699999999999996</v>
      </c>
      <c r="K118" s="3062">
        <f t="shared" si="36"/>
        <v>0.82699999999999996</v>
      </c>
      <c r="L118" s="3062">
        <f t="shared" si="36"/>
        <v>0.82699999999999996</v>
      </c>
      <c r="M118" s="3082">
        <f t="shared" si="36"/>
        <v>0.82699999999999996</v>
      </c>
      <c r="N118" s="3070"/>
    </row>
    <row r="119" spans="1:14">
      <c r="A119" s="3030" t="s">
        <v>3311</v>
      </c>
      <c r="B119" s="3062">
        <f>ROUND(0.993-0.0112*B116,4)</f>
        <v>0.97960000000000003</v>
      </c>
      <c r="C119" s="3062">
        <f>B119</f>
        <v>0.97960000000000003</v>
      </c>
      <c r="D119" s="3062">
        <f>ROUND(0.9415-0.0142*B116,4)</f>
        <v>0.92449999999999999</v>
      </c>
      <c r="E119" s="3062">
        <f t="shared" ref="E119:H120" si="37">D119</f>
        <v>0.92449999999999999</v>
      </c>
      <c r="F119" s="3062">
        <f t="shared" si="37"/>
        <v>0.92449999999999999</v>
      </c>
      <c r="G119" s="3062">
        <f t="shared" si="37"/>
        <v>0.92449999999999999</v>
      </c>
      <c r="H119" s="3062">
        <f t="shared" si="37"/>
        <v>0.92449999999999999</v>
      </c>
      <c r="I119" s="3062">
        <f>ROUND(0.838-0.0182*B116,4)</f>
        <v>0.81620000000000004</v>
      </c>
      <c r="J119" s="3062">
        <f t="shared" si="36"/>
        <v>0.81620000000000004</v>
      </c>
      <c r="K119" s="3062">
        <f t="shared" si="36"/>
        <v>0.81620000000000004</v>
      </c>
      <c r="L119" s="3062">
        <f t="shared" si="36"/>
        <v>0.81620000000000004</v>
      </c>
      <c r="M119" s="3082">
        <f t="shared" si="36"/>
        <v>0.81620000000000004</v>
      </c>
      <c r="N119" s="3070"/>
    </row>
    <row r="120" spans="1:14">
      <c r="A120" s="3030" t="s">
        <v>3312</v>
      </c>
      <c r="B120" s="3062">
        <f>ROUND(0.9448-0.0115*B116,4)</f>
        <v>0.93100000000000005</v>
      </c>
      <c r="C120" s="3062">
        <f>B120</f>
        <v>0.93100000000000005</v>
      </c>
      <c r="D120" s="3062">
        <f>ROUND(0.937-0.0145*B116,4)</f>
        <v>0.91959999999999997</v>
      </c>
      <c r="E120" s="3062">
        <f t="shared" si="37"/>
        <v>0.91959999999999997</v>
      </c>
      <c r="F120" s="3062">
        <f t="shared" si="37"/>
        <v>0.91959999999999997</v>
      </c>
      <c r="G120" s="3062">
        <f t="shared" si="37"/>
        <v>0.91959999999999997</v>
      </c>
      <c r="H120" s="3062">
        <f t="shared" si="37"/>
        <v>0.91959999999999997</v>
      </c>
      <c r="I120" s="3062">
        <f>ROUND(0.7965-0.0185*B116,4)</f>
        <v>0.77429999999999999</v>
      </c>
      <c r="J120" s="3062">
        <f t="shared" si="36"/>
        <v>0.77429999999999999</v>
      </c>
      <c r="K120" s="3062">
        <f t="shared" si="36"/>
        <v>0.77429999999999999</v>
      </c>
      <c r="L120" s="3062">
        <f t="shared" si="36"/>
        <v>0.77429999999999999</v>
      </c>
      <c r="M120" s="3082">
        <f t="shared" si="36"/>
        <v>0.77429999999999999</v>
      </c>
      <c r="N120" s="3070"/>
    </row>
    <row r="121" spans="1:14" ht="13.5" thickBot="1">
      <c r="A121" s="3083" t="s">
        <v>3313</v>
      </c>
      <c r="B121" s="3084">
        <f>ROUND(0.7836-0.012*B116,4)</f>
        <v>0.76919999999999999</v>
      </c>
      <c r="C121" s="3084">
        <f>B121</f>
        <v>0.76919999999999999</v>
      </c>
      <c r="D121" s="3084">
        <f>ROUND(0.753-0.015*B116,4)</f>
        <v>0.73499999999999999</v>
      </c>
      <c r="E121" s="3084">
        <f>D121</f>
        <v>0.73499999999999999</v>
      </c>
      <c r="F121" s="3084">
        <f>E121</f>
        <v>0.73499999999999999</v>
      </c>
      <c r="G121" s="3084">
        <f>ROUND(0.6612-0.018*B116,4)</f>
        <v>0.63959999999999995</v>
      </c>
      <c r="H121" s="3084">
        <f>G121</f>
        <v>0.63959999999999995</v>
      </c>
      <c r="I121" s="3084">
        <f>ROUND(0.5905-0.019*B116,4)</f>
        <v>0.56769999999999998</v>
      </c>
      <c r="J121" s="3084">
        <f t="shared" si="36"/>
        <v>0.56769999999999998</v>
      </c>
      <c r="K121" s="3084">
        <f t="shared" si="36"/>
        <v>0.56769999999999998</v>
      </c>
      <c r="L121" s="3084">
        <f t="shared" si="36"/>
        <v>0.56769999999999998</v>
      </c>
      <c r="M121" s="3085">
        <f t="shared" si="36"/>
        <v>0.56769999999999998</v>
      </c>
      <c r="N121" s="3070"/>
    </row>
    <row r="122" spans="1:14">
      <c r="A122" s="3086" t="s">
        <v>2596</v>
      </c>
      <c r="B122" s="3062">
        <f>ROUND(0.9404-0.0106*B116,4)</f>
        <v>0.92769999999999997</v>
      </c>
      <c r="C122" s="3062">
        <f>B122</f>
        <v>0.92769999999999997</v>
      </c>
      <c r="D122" s="3062">
        <f>ROUND(0.8955-0.0135*B116,4)</f>
        <v>0.87929999999999997</v>
      </c>
      <c r="E122" s="3062">
        <f t="shared" ref="E122:H122" si="38">D122</f>
        <v>0.87929999999999997</v>
      </c>
      <c r="F122" s="3062">
        <f t="shared" si="38"/>
        <v>0.87929999999999997</v>
      </c>
      <c r="G122" s="3062">
        <f t="shared" si="38"/>
        <v>0.87929999999999997</v>
      </c>
      <c r="H122" s="3062">
        <f t="shared" si="38"/>
        <v>0.87929999999999997</v>
      </c>
      <c r="I122" s="3062">
        <f>ROUND(0.7632-0.0166*B116,4)</f>
        <v>0.74329999999999996</v>
      </c>
      <c r="J122" s="3062">
        <f t="shared" si="36"/>
        <v>0.74329999999999996</v>
      </c>
      <c r="K122" s="3062">
        <f t="shared" si="36"/>
        <v>0.74329999999999996</v>
      </c>
      <c r="L122" s="3062">
        <f t="shared" si="36"/>
        <v>0.74329999999999996</v>
      </c>
      <c r="M122" s="3082">
        <f t="shared" si="36"/>
        <v>0.74329999999999996</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50:H58 H61:H69 H72:H80 H83:H91">
    <cfRule type="cellIs" dxfId="158" priority="2" operator="notEqual">
      <formula>"——"</formula>
    </cfRule>
  </conditionalFormatting>
  <conditionalFormatting sqref="H93:H101">
    <cfRule type="cellIs" dxfId="15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421-F2BD-4BEB-8CDA-F6F2BE2E9FE6}">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37532.270000000004</v>
      </c>
      <c r="E1" s="1819"/>
      <c r="F1" s="1819"/>
      <c r="G1" s="1819"/>
      <c r="H1" s="1819"/>
      <c r="I1" s="1819"/>
      <c r="J1" s="1819"/>
      <c r="K1" s="1034"/>
      <c r="L1" s="1820" t="s">
        <v>1925</v>
      </c>
      <c r="M1" s="790">
        <f>SUMPRODUCT((区片价!B5:B9=I2)*(区片价!C3:G3=E2)*(区片价!C5:G9))</f>
        <v>0</v>
      </c>
      <c r="N1" s="793">
        <f>SUMPRODUCT((因素修正幅度!B5:B9=I2)*(因素修正幅度!C3:G3=E2)*(因素修正幅度!C5:G9))</f>
        <v>0</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f>C30</f>
        <v>44491</v>
      </c>
      <c r="C2" s="1823" t="s">
        <v>1932</v>
      </c>
      <c r="D2" s="156" t="s">
        <v>1933</v>
      </c>
      <c r="E2" s="3093" t="s">
        <v>21</v>
      </c>
      <c r="F2" s="156" t="s">
        <v>1934</v>
      </c>
      <c r="G2" s="157" t="str">
        <f>IF(E2="商业",项目基本情况!B37,IF(E2="办公",项目基本情况!C37,IF(E2="住宅",项目基本情况!D37,IF(E2="工业",项目基本情况!E37,项目基本情况!F37))))</f>
        <v>六级</v>
      </c>
      <c r="H2" s="156" t="s">
        <v>1935</v>
      </c>
      <c r="I2" s="157" t="str">
        <f>IF(E2="商业",项目基本情况!B38,IF(E2="办公",项目基本情况!C38,IF(E2="住宅",项目基本情况!D38,IF(E2="工业",项目基本情况!E38,项目基本情况!F38))))</f>
        <v>Ⅵ-09</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15155</v>
      </c>
      <c r="U2" s="1108">
        <f>'739地块'!K20</f>
        <v>5845.0149999999994</v>
      </c>
      <c r="V2" s="3036">
        <f>ROUND(T2*U2/10000,0)</f>
        <v>8858</v>
      </c>
      <c r="W2" s="1111"/>
      <c r="X2" s="1111"/>
      <c r="Y2" s="1111"/>
      <c r="Z2" s="1111"/>
      <c r="AA2" s="1111"/>
      <c r="AB2" s="1111"/>
      <c r="AC2" s="1112"/>
      <c r="AD2" s="1113"/>
      <c r="AE2" s="1113"/>
      <c r="AF2" s="1113"/>
      <c r="AG2" s="1113"/>
      <c r="AH2" s="1113"/>
      <c r="AI2" s="1113"/>
      <c r="AJ2" s="1114"/>
    </row>
    <row r="3" spans="1:36" ht="15.75">
      <c r="A3" s="189" t="s">
        <v>1937</v>
      </c>
      <c r="B3" s="190">
        <f>ROUND(B2*10000/D1,0)</f>
        <v>11854</v>
      </c>
      <c r="C3" s="1823" t="s">
        <v>1938</v>
      </c>
      <c r="D3" s="156" t="s">
        <v>1939</v>
      </c>
      <c r="E3" s="3091" t="s">
        <v>3388</v>
      </c>
      <c r="F3" s="1825" t="s">
        <v>3955</v>
      </c>
      <c r="G3" s="690">
        <f>IF(F3="宗地容积率",'数据-汇总表'!I4,IF(F3="估价对象容积率",'数据-汇总表'!I6,'数据-汇总表'!I7))</f>
        <v>1.2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11945</v>
      </c>
      <c r="U3" s="1108">
        <f>'739地块'!L20</f>
        <v>1908.2449999999999</v>
      </c>
      <c r="V3" s="3036">
        <f t="shared" ref="V3:V16" si="1">ROUND(T3*U3/10000,0)</f>
        <v>2279</v>
      </c>
      <c r="W3" s="1111"/>
      <c r="X3" s="1111"/>
      <c r="Y3" s="1111"/>
      <c r="Z3" s="1111"/>
      <c r="AA3" s="1111"/>
      <c r="AB3" s="1111"/>
      <c r="AC3" s="1112"/>
      <c r="AD3" s="1113"/>
      <c r="AE3" s="1113"/>
      <c r="AF3" s="1113"/>
      <c r="AG3" s="1113"/>
      <c r="AH3" s="1113"/>
      <c r="AI3" s="1113"/>
      <c r="AJ3" s="1114"/>
    </row>
    <row r="4" spans="1:36" ht="15.75">
      <c r="A4" s="3471"/>
      <c r="B4" s="3472"/>
      <c r="C4" s="3472"/>
      <c r="D4" s="3473"/>
      <c r="E4" s="3473"/>
      <c r="F4" s="3473"/>
      <c r="G4" s="3473"/>
      <c r="H4" s="3473"/>
      <c r="I4" s="3473"/>
      <c r="J4" s="3474"/>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10095</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10390</v>
      </c>
      <c r="D5" s="1230">
        <f>ROUND(C6*C17+C20,0)</f>
        <v>10390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8904</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10390</v>
      </c>
      <c r="D6" s="1838"/>
      <c r="E6" s="1839"/>
      <c r="F6" s="1839"/>
      <c r="G6" s="1840"/>
      <c r="H6" s="1840"/>
      <c r="I6" s="1840"/>
      <c r="J6" s="1841"/>
      <c r="K6" s="1270"/>
      <c r="L6" s="1824" t="s">
        <v>1948</v>
      </c>
      <c r="M6" s="791">
        <f>SUMPRODUCT((区片价!B127:B189=I2)*(区片价!C3:G3=E2)*(区片价!C127:G189))</f>
        <v>10390</v>
      </c>
      <c r="N6" s="793">
        <f>SUMPRODUCT((因素修正幅度!B127:B189=I2)*(因素修正幅度!C3:G3=E2)*(因素修正幅度!C127:G189))</f>
        <v>0.106</v>
      </c>
      <c r="O6" s="1034"/>
      <c r="P6" s="1034"/>
      <c r="Q6" s="1034"/>
      <c r="R6" s="1107">
        <v>5</v>
      </c>
      <c r="S6" s="3036">
        <f>ROUND(SUMPRODUCT((B106:B110=R6)*(C105:N105=G2)*(C106:N110)),4)</f>
        <v>0.84799999999999998</v>
      </c>
      <c r="T6" s="3036">
        <f t="shared" si="0"/>
        <v>8557</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3221</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1952</v>
      </c>
      <c r="X7" s="1109" t="str">
        <f>G2</f>
        <v>六级</v>
      </c>
      <c r="Y7" s="1109" t="s">
        <v>1953</v>
      </c>
      <c r="Z7" s="1110">
        <f>G3</f>
        <v>1.2</v>
      </c>
      <c r="AA7" s="1111"/>
      <c r="AB7" s="1111"/>
      <c r="AC7" s="1112"/>
      <c r="AD7" s="1113"/>
      <c r="AE7" s="1113"/>
      <c r="AF7" s="1113"/>
      <c r="AG7" s="1113"/>
      <c r="AH7" s="1113"/>
      <c r="AI7" s="1113"/>
      <c r="AJ7" s="1114"/>
    </row>
    <row r="8" spans="1:36" ht="25.5">
      <c r="A8" s="2982"/>
      <c r="B8" s="156" t="s">
        <v>1954</v>
      </c>
      <c r="C8" s="1847" t="s">
        <v>3956</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468" t="s">
        <v>1957</v>
      </c>
      <c r="X8" s="3469"/>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2"/>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470"/>
      <c r="X9" s="3037" t="s">
        <v>3250</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470"/>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3222</v>
      </c>
      <c r="B12" s="2986" t="s">
        <v>3223</v>
      </c>
      <c r="C12" s="2987">
        <v>1</v>
      </c>
      <c r="D12" s="2988" t="s">
        <v>3224</v>
      </c>
      <c r="E12" s="2989" t="s">
        <v>3225</v>
      </c>
      <c r="F12" s="2990"/>
      <c r="G12" s="2991"/>
      <c r="H12" s="2991"/>
      <c r="I12" s="2991"/>
      <c r="J12" s="2992"/>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3226</v>
      </c>
      <c r="B13" s="1855" t="s">
        <v>1979</v>
      </c>
      <c r="C13" s="693">
        <f>ROUND(C16*D16*E16*F16*G16*H16*I16*J16,4)</f>
        <v>0</v>
      </c>
      <c r="D13" s="1856" t="s">
        <v>1980</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1982</v>
      </c>
      <c r="C14" s="1861" t="s">
        <v>1983</v>
      </c>
      <c r="D14" s="1239" t="s">
        <v>1984</v>
      </c>
      <c r="E14" s="27" t="s">
        <v>1985</v>
      </c>
      <c r="F14" s="2993" t="s">
        <v>3227</v>
      </c>
      <c r="G14" s="2993" t="s">
        <v>3227</v>
      </c>
      <c r="H14" s="2993" t="s">
        <v>3227</v>
      </c>
      <c r="I14" s="2993" t="s">
        <v>3227</v>
      </c>
      <c r="J14" s="2993" t="s">
        <v>3227</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3228</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1986</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3229</v>
      </c>
      <c r="B17" s="3000" t="s">
        <v>3230</v>
      </c>
      <c r="C17" s="3009">
        <f>ROUND(IF(OR(E2="工业",E2="公共服务"),1,IF(AND(E18=0,E19=0),1,IF(AND(E18=J24,E19=G19),0.8,IF(E19=0,1+E17*(-0.2),1+E17*G17*(-0.2))))),4)</f>
        <v>1</v>
      </c>
      <c r="D17" s="3001" t="s">
        <v>3231</v>
      </c>
      <c r="E17" s="3009">
        <f>ROUND(G18/I18,2)</f>
        <v>0</v>
      </c>
      <c r="F17" s="3001" t="s">
        <v>3234</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3232</v>
      </c>
      <c r="E18" s="2334"/>
      <c r="F18" s="3003" t="s">
        <v>3235</v>
      </c>
      <c r="G18" s="3007">
        <f>ROUND(1-(1/(POWER(1+G24,E18))),4)</f>
        <v>0</v>
      </c>
      <c r="H18" s="3003" t="s">
        <v>3237</v>
      </c>
      <c r="I18" s="3007">
        <f>ROUND(1-(1/(POWER(1+G24,J24))),4)</f>
        <v>0.93120000000000003</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3233</v>
      </c>
      <c r="E19" s="3016"/>
      <c r="F19" s="3017" t="s">
        <v>3236</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75" t="s">
        <v>3238</v>
      </c>
      <c r="B20" s="153" t="s">
        <v>1991</v>
      </c>
      <c r="C20" s="3004">
        <f>ROUND(IF(F21="与级别开发程度一致",0,(G21-E21)/C21),0)</f>
        <v>0</v>
      </c>
      <c r="D20" s="3019" t="s">
        <v>1995</v>
      </c>
      <c r="E20" s="3020"/>
      <c r="F20" s="3481" t="s">
        <v>1992</v>
      </c>
      <c r="G20" s="3482"/>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476"/>
      <c r="B21" s="1979" t="s">
        <v>1994</v>
      </c>
      <c r="C21" s="1980">
        <f>IF(E3="M4科研用地",SUMPRODUCT((修正!A2:A7=E3)*(修正!B1:M1=G2)*(修正!B2:M7)),SUMPRODUCT((修正!A2:A7=E2)*(修正!B1:M1=G2)*(修正!B2:M7)))</f>
        <v>2.5</v>
      </c>
      <c r="D21" s="173" t="str">
        <f>IF(OR(G2="八级",G2="九级",G2="十级",G2="十一级",G2="十二级"),"五通一平","七通一平")</f>
        <v>七通一平</v>
      </c>
      <c r="E21" s="1970">
        <f>SUMPRODUCT((修正!B1:M1=G2)*(修正!B17:M17))</f>
        <v>315</v>
      </c>
      <c r="F21" s="1971" t="s">
        <v>3957</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73" t="s">
        <v>1999</v>
      </c>
      <c r="E23" s="699">
        <v>44197</v>
      </c>
      <c r="F23" s="1873" t="s">
        <v>2000</v>
      </c>
      <c r="G23" s="700">
        <f>'数据-取费表'!B2</f>
        <v>45952</v>
      </c>
      <c r="H23" s="3021" t="s">
        <v>3958</v>
      </c>
      <c r="I23" s="3022" t="str">
        <f>IF(H23="季度增幅（自定义）",SUMIF(N25:N28,E2,O25:O28),"")</f>
        <v/>
      </c>
      <c r="J23" s="3112" t="s">
        <v>3959</v>
      </c>
      <c r="K23" s="1039"/>
      <c r="L23" s="1874" t="s">
        <v>2001</v>
      </c>
      <c r="M23" s="1219">
        <f>ROUND(SUMIF(地价!B2:G2,E2,地价!B16:G16),0)</f>
        <v>350</v>
      </c>
      <c r="N23" s="1875" t="s">
        <v>2002</v>
      </c>
      <c r="O23" s="701">
        <f>ROUNDDOWN(DATEDIF(E23,G23,"M")/3,0)</f>
        <v>19</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f>ROUND(POWER(1+G24,J24-I24)*(POWER(1+G24,I24)-1)/(POWER(1+G24,J24)-1),4)</f>
        <v>0.97130000000000005</v>
      </c>
      <c r="D24" s="1879" t="s">
        <v>2004</v>
      </c>
      <c r="E24" s="1226">
        <f>存贷款利率!E28/100</f>
        <v>4.3499999999999997E-2</v>
      </c>
      <c r="F24" s="1879" t="s">
        <v>1996</v>
      </c>
      <c r="G24" s="706">
        <f>SUMIF(M30:Q30,E2,M33:Q33)</f>
        <v>5.5E-2</v>
      </c>
      <c r="H24" s="1879" t="s">
        <v>2005</v>
      </c>
      <c r="I24" s="707">
        <f>SUMIF('数据-取费表'!C6:C15,E2,'数据-取费表'!F6:F15)/COUNTIF('数据-取费表'!C6:C15,E2)</f>
        <v>43.87</v>
      </c>
      <c r="J24" s="708">
        <f>IF(E2="住宅",70,IF(E2="商业",40,50))</f>
        <v>50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3317</v>
      </c>
      <c r="C25" s="454">
        <f>IF(B25="容积率修正",IF(G3&lt;10,D26,J26),C27)</f>
        <v>1.1748000000000001</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3239</v>
      </c>
      <c r="D26" s="1241">
        <f>IF(E26=G26,F26,IF(G3&lt;10,ROUND(F26+(H26-F26)*(G3-E26)/(G26-E26),4),"——"))</f>
        <v>1.1748000000000001</v>
      </c>
      <c r="E26" s="690">
        <f>ROUNDDOWN(G3,1)</f>
        <v>1.2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690">
        <f>ROUNDUP(G3,1)</f>
        <v>1.2</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1889" t="s">
        <v>3240</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1.5019</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1.0277000000000001</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f>IF(B25="容积率修正",E33+SUM(E37:E42),SUM(V2:V16)+SUM(E37:E42))</f>
        <v>44491</v>
      </c>
      <c r="D30" s="1902"/>
      <c r="E30" s="1819"/>
      <c r="F30" s="1903"/>
      <c r="G30" s="1819"/>
      <c r="H30" s="1819"/>
      <c r="I30" s="1819"/>
      <c r="J30" s="1904"/>
      <c r="K30" s="1034"/>
      <c r="L30" s="3028" t="s">
        <v>1933</v>
      </c>
      <c r="M30" s="3029" t="s">
        <v>1987</v>
      </c>
      <c r="N30" s="3029" t="s">
        <v>1988</v>
      </c>
      <c r="O30" s="3029" t="s">
        <v>1989</v>
      </c>
      <c r="P30" s="3029" t="s">
        <v>1990</v>
      </c>
      <c r="Q30" s="3032" t="s">
        <v>3244</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f>E34+SUM(I37:I42)</f>
        <v>0</v>
      </c>
      <c r="D31" s="1906"/>
      <c r="E31" s="1907"/>
      <c r="F31" s="1908"/>
      <c r="G31" s="1907"/>
      <c r="H31" s="1907"/>
      <c r="I31" s="1907"/>
      <c r="J31" s="1909"/>
      <c r="K31" s="1034"/>
      <c r="L31" s="3030" t="s">
        <v>1993</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1" t="s">
        <v>1996</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f>ROUND(C5*C22*C23*C24*C25*C28,0)</f>
        <v>11854</v>
      </c>
      <c r="D33" s="1917">
        <f>'数据-汇总表'!F20</f>
        <v>37532.270000000004</v>
      </c>
      <c r="E33" s="709">
        <f>ROUND(C33*D33/10000,0)</f>
        <v>44491</v>
      </c>
      <c r="F33" s="3023" t="s">
        <v>3242</v>
      </c>
      <c r="G33" s="1918"/>
      <c r="H33" s="1918"/>
      <c r="I33" s="1918"/>
      <c r="J33" s="1919"/>
      <c r="K33" s="1034"/>
      <c r="L33" s="3026" t="s">
        <v>3245</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f>ROUND(IF(E2="工业",C33*M42,IF(B25="楼层修正",SUM(V2:V16)*M41*10000/D34,C33*M41)),0)</f>
        <v>2964</v>
      </c>
      <c r="D34" s="1922"/>
      <c r="E34" s="709">
        <f>ROUND(IF(B25="楼层修正",SUM(V2:V16)*M40,C34*D34/10000),0)</f>
        <v>0</v>
      </c>
      <c r="F34" s="1923" t="s">
        <v>2029</v>
      </c>
      <c r="G34" s="1924"/>
      <c r="H34" s="1924"/>
      <c r="I34" s="1924"/>
      <c r="J34" s="1925"/>
      <c r="K34" s="1034"/>
      <c r="L34" s="3026" t="s">
        <v>3246</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4" t="s">
        <v>3243</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3247</v>
      </c>
      <c r="L36" s="3113">
        <f ca="1">'数据-取费表'!B40</f>
        <v>3.1300000000000001E-2</v>
      </c>
      <c r="M36" s="2343">
        <f ca="1">ROUND($L$36*(1+M31),3)</f>
        <v>3.9E-2</v>
      </c>
      <c r="N36" s="2343">
        <f ca="1">ROUND($L$36*(1+N31),3)</f>
        <v>3.7999999999999999E-2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79"/>
      <c r="B37" s="1932" t="s">
        <v>2033</v>
      </c>
      <c r="C37" s="161">
        <f>ROUND(D5*C22*C23*C24*C28*F37,0)</f>
        <v>6054</v>
      </c>
      <c r="D37" s="1917"/>
      <c r="E37" s="157">
        <f>ROUND(C37*D37/10000,0)</f>
        <v>0</v>
      </c>
      <c r="F37" s="157">
        <f>SUMIF(修正!A59:A70,G2,修正!B59:B70)</f>
        <v>0.6</v>
      </c>
      <c r="G37" s="157">
        <f>ROUND(IF(E2="工业",C37*$M$42,C37*$M$41),0)</f>
        <v>1514</v>
      </c>
      <c r="H37" s="157">
        <f>D37</f>
        <v>0</v>
      </c>
      <c r="I37" s="157">
        <f>ROUND(G37*H37/10000,0)</f>
        <v>0</v>
      </c>
      <c r="J37" s="2727"/>
      <c r="K37" s="3034" t="s">
        <v>3248</v>
      </c>
      <c r="L37" s="1941">
        <f ca="1">L36+K38</f>
        <v>3.6299999999999999E-2</v>
      </c>
      <c r="M37" s="2343">
        <f ca="1">ROUND($L$37*(1+M31),3)</f>
        <v>4.4999999999999998E-2</v>
      </c>
      <c r="N37" s="2343">
        <f t="shared" ref="N37:Q37" ca="1" si="3">ROUND($L$37*(1+N31),3)</f>
        <v>4.3999999999999997E-2</v>
      </c>
      <c r="O37" s="2343">
        <f t="shared" ca="1" si="3"/>
        <v>4.2000000000000003E-2</v>
      </c>
      <c r="P37" s="2343">
        <f t="shared" ca="1" si="3"/>
        <v>0.04</v>
      </c>
      <c r="Q37" s="2343">
        <f t="shared" ca="1" si="3"/>
        <v>4.2000000000000003E-2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80"/>
      <c r="B38" s="1861" t="s">
        <v>2034</v>
      </c>
      <c r="C38" s="161">
        <f>ROUND(D5*C22*C23*C24*C28*F38,0)</f>
        <v>3027</v>
      </c>
      <c r="D38" s="1917"/>
      <c r="E38" s="157">
        <f t="shared" ref="E38:E42" si="4">ROUND(C38*D38/10000,0)</f>
        <v>0</v>
      </c>
      <c r="F38" s="157">
        <f>SUMIF(修正!A59:A70,G2,修正!C59:C70)</f>
        <v>0.3</v>
      </c>
      <c r="G38" s="157">
        <f>ROUND(IF(E2="工业",C38*$M$42,C38*$M$41),0)</f>
        <v>757</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80"/>
      <c r="B39" s="1861" t="s">
        <v>3241</v>
      </c>
      <c r="C39" s="161">
        <f>ROUND(D5*C22*C23*C24*C28*F39,0)</f>
        <v>2523</v>
      </c>
      <c r="D39" s="1917"/>
      <c r="E39" s="157">
        <f t="shared" si="4"/>
        <v>0</v>
      </c>
      <c r="F39" s="157">
        <f>SUMIF(修正!A59:A70,G2,修正!D59:D70)</f>
        <v>0.25</v>
      </c>
      <c r="G39" s="157">
        <f>ROUND(IF(E2="工业",C39*$M$42,C39*$M$41),0)</f>
        <v>631</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f>ROUND(D5*C22*C23*C24*C28*F40,0)</f>
        <v>2523</v>
      </c>
      <c r="D40" s="1917"/>
      <c r="E40" s="157">
        <f t="shared" si="4"/>
        <v>0</v>
      </c>
      <c r="F40" s="161">
        <f>SUMIF(修正!A59:A70,G2,修正!E59:E70)</f>
        <v>0.25</v>
      </c>
      <c r="G40" s="157">
        <f>ROUND(IF(E2="工业",C40*$M$42,C40*$M$41),0)</f>
        <v>631</v>
      </c>
      <c r="H40" s="157">
        <f t="shared" si="5"/>
        <v>0</v>
      </c>
      <c r="I40" s="157">
        <f t="shared" si="6"/>
        <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0</v>
      </c>
      <c r="D41" s="1917"/>
      <c r="E41" s="157">
        <f t="shared" si="4"/>
        <v>0</v>
      </c>
      <c r="F41" s="161">
        <f>SUMIF(修正!A59:A70,G2,修正!F59:F70)</f>
        <v>0.25</v>
      </c>
      <c r="G41" s="157">
        <f>ROUND(IF(E2="工业",C41*$M$42,C41*$M$41),0)</f>
        <v>0</v>
      </c>
      <c r="H41" s="157">
        <f t="shared" si="5"/>
        <v>0</v>
      </c>
      <c r="I41" s="157">
        <f t="shared" si="6"/>
        <v>0</v>
      </c>
      <c r="J41" s="919"/>
      <c r="L41" s="3035" t="s">
        <v>3249</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0</v>
      </c>
      <c r="D42" s="1922"/>
      <c r="E42" s="173">
        <f t="shared" si="4"/>
        <v>0</v>
      </c>
      <c r="F42" s="705">
        <f>SUMIF(修正!A59:A70,G2,修正!G59:G70)</f>
        <v>0.15</v>
      </c>
      <c r="G42" s="173">
        <f>ROUND(IF(E2="工业",C42*$M$42,C42*$M$41),0)</f>
        <v>0</v>
      </c>
      <c r="H42" s="173">
        <f t="shared" si="5"/>
        <v>0</v>
      </c>
      <c r="I42" s="173">
        <f t="shared" si="6"/>
        <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2117</v>
      </c>
      <c r="C44" s="326">
        <f>ROUND(POWER(1+E44,H44-G44)*(POWER(1+E44,G44)-1)/(POWER(1+E44,H44)-1),4)</f>
        <v>0</v>
      </c>
      <c r="D44" s="157" t="s">
        <v>1996</v>
      </c>
      <c r="E44" s="1968">
        <f>G24</f>
        <v>5.5E-2</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t="e">
        <f>1+E50</f>
        <v>#VALUE!</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3961</v>
      </c>
      <c r="D50" s="981">
        <f t="shared" ref="D50:D58" si="7">SUMIF($J$49:$N$49,C50,J50:N50)</f>
        <v>0</v>
      </c>
      <c r="E50" s="684" t="e">
        <f>ROUND(SUM(D50:D58),4)</f>
        <v>#VALUE!</v>
      </c>
      <c r="F50" s="1652" t="str">
        <f>IF(E2="商业",SUMIF(L1:L12,G2,N1:N12),"——")</f>
        <v>——</v>
      </c>
      <c r="G50" s="979" t="str">
        <f>H50</f>
        <v>——</v>
      </c>
      <c r="H50" s="982" t="str">
        <f t="shared" ref="H50:H58" si="8">IFERROR(ROUNDDOWN($F$50*I50/2,4),"——")</f>
        <v>——</v>
      </c>
      <c r="I50" s="3041">
        <v>0.3</v>
      </c>
      <c r="J50" s="980" t="e">
        <f t="shared" ref="J50:J58" si="9">K50+$G50</f>
        <v>#VALUE!</v>
      </c>
      <c r="K50" s="980" t="e">
        <f t="shared" ref="K50:K58" si="10">$L50+$G50</f>
        <v>#VALUE!</v>
      </c>
      <c r="L50" s="980">
        <v>0</v>
      </c>
      <c r="M50" s="980" t="e">
        <f t="shared" ref="M50:N58" si="11">L50-$G50</f>
        <v>#VALUE!</v>
      </c>
      <c r="N50" s="980" t="e">
        <f t="shared" si="11"/>
        <v>#VALUE!</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3961</v>
      </c>
      <c r="D51" s="981">
        <f t="shared" si="7"/>
        <v>0</v>
      </c>
      <c r="E51" s="685"/>
      <c r="F51" s="1652"/>
      <c r="G51" s="979" t="str">
        <f t="shared" ref="G51:G58" si="12">H51</f>
        <v>——</v>
      </c>
      <c r="H51" s="982" t="str">
        <f t="shared" si="8"/>
        <v>——</v>
      </c>
      <c r="I51" s="3041">
        <v>0.22</v>
      </c>
      <c r="J51" s="980" t="e">
        <f t="shared" si="9"/>
        <v>#VALUE!</v>
      </c>
      <c r="K51" s="980" t="e">
        <f t="shared" si="10"/>
        <v>#VALUE!</v>
      </c>
      <c r="L51" s="980">
        <v>0</v>
      </c>
      <c r="M51" s="980" t="e">
        <f t="shared" si="11"/>
        <v>#VALUE!</v>
      </c>
      <c r="N51" s="980" t="e">
        <f t="shared" si="11"/>
        <v>#VALUE!</v>
      </c>
      <c r="AA51" s="1035"/>
      <c r="AB51" s="1035"/>
      <c r="AC51" s="1035"/>
      <c r="AD51" s="1035"/>
      <c r="AE51" s="1035"/>
      <c r="AF51" s="1035"/>
      <c r="AG51" s="1035"/>
      <c r="AH51" s="1035"/>
      <c r="AI51" s="1035"/>
      <c r="AJ51" s="1035"/>
      <c r="AK51" s="1035"/>
    </row>
    <row r="52" spans="1:37" s="1034" customFormat="1" ht="36">
      <c r="A52" s="3043" t="s">
        <v>3251</v>
      </c>
      <c r="B52" s="1240">
        <f>估价对象房地状况!C19</f>
        <v>0</v>
      </c>
      <c r="C52" s="1864" t="s">
        <v>3962</v>
      </c>
      <c r="D52" s="981" t="e">
        <f t="shared" si="7"/>
        <v>#VALUE!</v>
      </c>
      <c r="E52" s="685"/>
      <c r="F52" s="1652"/>
      <c r="G52" s="979" t="str">
        <f t="shared" si="12"/>
        <v>——</v>
      </c>
      <c r="H52" s="982" t="str">
        <f t="shared" si="8"/>
        <v>——</v>
      </c>
      <c r="I52" s="3041">
        <v>0.12</v>
      </c>
      <c r="J52" s="980" t="e">
        <f t="shared" si="9"/>
        <v>#VALUE!</v>
      </c>
      <c r="K52" s="980" t="e">
        <f t="shared" si="10"/>
        <v>#VALUE!</v>
      </c>
      <c r="L52" s="980">
        <v>0</v>
      </c>
      <c r="M52" s="980" t="e">
        <f t="shared" si="11"/>
        <v>#VALUE!</v>
      </c>
      <c r="N52" s="980" t="e">
        <f t="shared" si="11"/>
        <v>#VALUE!</v>
      </c>
      <c r="AA52" s="1035"/>
      <c r="AB52" s="1035"/>
      <c r="AC52" s="1035"/>
      <c r="AD52" s="1035"/>
      <c r="AE52" s="1035"/>
      <c r="AF52" s="1035"/>
      <c r="AG52" s="1035"/>
      <c r="AH52" s="1035"/>
      <c r="AI52" s="1035"/>
      <c r="AJ52" s="1035"/>
      <c r="AK52" s="1035"/>
    </row>
    <row r="53" spans="1:37" s="1034" customFormat="1" ht="36.75">
      <c r="A53" s="1947" t="s">
        <v>2051</v>
      </c>
      <c r="B53" s="1951" t="s">
        <v>2052</v>
      </c>
      <c r="C53" s="1864" t="s">
        <v>3962</v>
      </c>
      <c r="D53" s="981" t="e">
        <f t="shared" si="7"/>
        <v>#VALUE!</v>
      </c>
      <c r="E53" s="685"/>
      <c r="F53" s="1652"/>
      <c r="G53" s="979" t="str">
        <f t="shared" si="12"/>
        <v>——</v>
      </c>
      <c r="H53" s="982" t="str">
        <f t="shared" si="8"/>
        <v>——</v>
      </c>
      <c r="I53" s="3041">
        <v>0.05</v>
      </c>
      <c r="J53" s="980" t="e">
        <f t="shared" si="9"/>
        <v>#VALUE!</v>
      </c>
      <c r="K53" s="980" t="e">
        <f t="shared" si="10"/>
        <v>#VALUE!</v>
      </c>
      <c r="L53" s="980">
        <v>0</v>
      </c>
      <c r="M53" s="980" t="e">
        <f t="shared" si="11"/>
        <v>#VALUE!</v>
      </c>
      <c r="N53" s="980" t="e">
        <f t="shared" si="11"/>
        <v>#VALUE!</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3961</v>
      </c>
      <c r="D54" s="981">
        <f t="shared" si="7"/>
        <v>0</v>
      </c>
      <c r="E54" s="685"/>
      <c r="F54" s="1652"/>
      <c r="G54" s="979" t="str">
        <f t="shared" si="12"/>
        <v>——</v>
      </c>
      <c r="H54" s="982" t="str">
        <f t="shared" si="8"/>
        <v>——</v>
      </c>
      <c r="I54" s="3041">
        <v>0.08</v>
      </c>
      <c r="J54" s="980" t="e">
        <f t="shared" si="9"/>
        <v>#VALUE!</v>
      </c>
      <c r="K54" s="980" t="e">
        <f t="shared" si="10"/>
        <v>#VALUE!</v>
      </c>
      <c r="L54" s="980">
        <v>0</v>
      </c>
      <c r="M54" s="980" t="e">
        <f t="shared" si="11"/>
        <v>#VALUE!</v>
      </c>
      <c r="N54" s="980" t="e">
        <f t="shared" si="11"/>
        <v>#VALUE!</v>
      </c>
      <c r="AA54" s="1035"/>
      <c r="AB54" s="1035"/>
      <c r="AC54" s="1035"/>
      <c r="AD54" s="1035"/>
      <c r="AE54" s="1035"/>
      <c r="AF54" s="1035"/>
      <c r="AG54" s="1035"/>
      <c r="AH54" s="1035"/>
      <c r="AI54" s="1035"/>
      <c r="AJ54" s="1035"/>
      <c r="AK54" s="1035"/>
    </row>
    <row r="55" spans="1:37" s="1034" customFormat="1" ht="24">
      <c r="A55" s="1947" t="s">
        <v>2054</v>
      </c>
      <c r="B55" s="1952" t="s">
        <v>2055</v>
      </c>
      <c r="C55" s="1864" t="s">
        <v>3962</v>
      </c>
      <c r="D55" s="981" t="e">
        <f t="shared" si="7"/>
        <v>#VALUE!</v>
      </c>
      <c r="E55" s="685"/>
      <c r="F55" s="1652"/>
      <c r="G55" s="979" t="str">
        <f t="shared" si="12"/>
        <v>——</v>
      </c>
      <c r="H55" s="982" t="str">
        <f t="shared" si="8"/>
        <v>——</v>
      </c>
      <c r="I55" s="3041">
        <v>0.05</v>
      </c>
      <c r="J55" s="980" t="e">
        <f t="shared" si="9"/>
        <v>#VALUE!</v>
      </c>
      <c r="K55" s="980" t="e">
        <f t="shared" si="10"/>
        <v>#VALUE!</v>
      </c>
      <c r="L55" s="980">
        <v>0</v>
      </c>
      <c r="M55" s="980" t="e">
        <f t="shared" si="11"/>
        <v>#VALUE!</v>
      </c>
      <c r="N55" s="980" t="e">
        <f t="shared" si="11"/>
        <v>#VALUE!</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3962</v>
      </c>
      <c r="D56" s="981" t="e">
        <f t="shared" si="7"/>
        <v>#VALUE!</v>
      </c>
      <c r="E56" s="685"/>
      <c r="F56" s="1652"/>
      <c r="G56" s="979" t="str">
        <f t="shared" si="12"/>
        <v>——</v>
      </c>
      <c r="H56" s="982" t="str">
        <f t="shared" si="8"/>
        <v>——</v>
      </c>
      <c r="I56" s="3041">
        <v>0.05</v>
      </c>
      <c r="J56" s="980" t="e">
        <f t="shared" si="9"/>
        <v>#VALUE!</v>
      </c>
      <c r="K56" s="980" t="e">
        <f t="shared" si="10"/>
        <v>#VALUE!</v>
      </c>
      <c r="L56" s="980">
        <v>0</v>
      </c>
      <c r="M56" s="980" t="e">
        <f t="shared" si="11"/>
        <v>#VALUE!</v>
      </c>
      <c r="N56" s="980" t="e">
        <f t="shared" si="11"/>
        <v>#VALUE!</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3963</v>
      </c>
      <c r="D57" s="981" t="e">
        <f t="shared" si="7"/>
        <v>#VALUE!</v>
      </c>
      <c r="E57" s="685"/>
      <c r="F57" s="1652"/>
      <c r="G57" s="979" t="str">
        <f t="shared" si="12"/>
        <v>——</v>
      </c>
      <c r="H57" s="982" t="str">
        <f t="shared" si="8"/>
        <v>——</v>
      </c>
      <c r="I57" s="3041">
        <v>0.08</v>
      </c>
      <c r="J57" s="980" t="e">
        <f t="shared" si="9"/>
        <v>#VALUE!</v>
      </c>
      <c r="K57" s="980" t="e">
        <f t="shared" si="10"/>
        <v>#VALUE!</v>
      </c>
      <c r="L57" s="980">
        <v>0</v>
      </c>
      <c r="M57" s="980" t="e">
        <f t="shared" si="11"/>
        <v>#VALUE!</v>
      </c>
      <c r="N57" s="980" t="e">
        <f t="shared" si="11"/>
        <v>#VALUE!</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3962</v>
      </c>
      <c r="D58" s="981" t="e">
        <f t="shared" si="7"/>
        <v>#VALUE!</v>
      </c>
      <c r="E58" s="686"/>
      <c r="F58" s="1652"/>
      <c r="G58" s="979" t="str">
        <f t="shared" si="12"/>
        <v>——</v>
      </c>
      <c r="H58" s="982" t="str">
        <f t="shared" si="8"/>
        <v>——</v>
      </c>
      <c r="I58" s="3042">
        <v>0.05</v>
      </c>
      <c r="J58" s="980" t="e">
        <f t="shared" si="9"/>
        <v>#VALUE!</v>
      </c>
      <c r="K58" s="980" t="e">
        <f t="shared" si="10"/>
        <v>#VALUE!</v>
      </c>
      <c r="L58" s="980">
        <v>0</v>
      </c>
      <c r="M58" s="980" t="e">
        <f t="shared" si="11"/>
        <v>#VALUE!</v>
      </c>
      <c r="N58" s="980" t="e">
        <f t="shared" si="11"/>
        <v>#VALUE!</v>
      </c>
      <c r="AA58" s="1035"/>
      <c r="AB58" s="1035"/>
      <c r="AC58" s="1035"/>
      <c r="AD58" s="1035"/>
      <c r="AE58" s="1035"/>
      <c r="AF58" s="1035"/>
      <c r="AG58" s="1035"/>
      <c r="AH58" s="1035"/>
      <c r="AI58" s="1035"/>
      <c r="AJ58" s="1035"/>
      <c r="AK58" s="1035"/>
    </row>
    <row r="59" spans="1:37" s="1034" customFormat="1" ht="15">
      <c r="A59" s="1944" t="s">
        <v>2059</v>
      </c>
      <c r="B59" s="1945">
        <f>1+E61</f>
        <v>1.0277000000000001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t="s">
        <v>3961</v>
      </c>
      <c r="D61" s="981">
        <f t="shared" ref="D61:D69" si="13">SUMIF($J$60:$N$60,C61,J61:N61)</f>
        <v>0</v>
      </c>
      <c r="E61" s="684">
        <f>ROUND(SUM(D61:D69),4)</f>
        <v>2.7699999999999999E-2</v>
      </c>
      <c r="F61" s="1652">
        <f>IF(E2="办公",SUMIF(L1:L12,G2,N1:N12),"——")</f>
        <v>0.106</v>
      </c>
      <c r="G61" s="979">
        <f>H61</f>
        <v>1.32E-2</v>
      </c>
      <c r="H61" s="982">
        <f t="shared" ref="H61:H69" si="14">IFERROR(ROUNDDOWN($F$61*I61/2,4),"——")</f>
        <v>1.32E-2</v>
      </c>
      <c r="I61" s="3041">
        <v>0.25</v>
      </c>
      <c r="J61" s="980">
        <f t="shared" ref="J61:J69" si="15">K61+$G61</f>
        <v>2.64E-2</v>
      </c>
      <c r="K61" s="980">
        <f t="shared" ref="K61:K69" si="16">$L61+$G61</f>
        <v>1.32E-2</v>
      </c>
      <c r="L61" s="980">
        <v>0</v>
      </c>
      <c r="M61" s="980">
        <f t="shared" ref="M61:N69" si="17">L61-$G61</f>
        <v>-1.32E-2</v>
      </c>
      <c r="N61" s="980">
        <f t="shared" si="17"/>
        <v>-2.64E-2</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t="s">
        <v>3961</v>
      </c>
      <c r="D62" s="981">
        <f t="shared" si="13"/>
        <v>0</v>
      </c>
      <c r="E62" s="685"/>
      <c r="F62" s="1652"/>
      <c r="G62" s="979">
        <f t="shared" ref="G62:G69" si="18">H62</f>
        <v>1.37E-2</v>
      </c>
      <c r="H62" s="982">
        <f t="shared" si="14"/>
        <v>1.37E-2</v>
      </c>
      <c r="I62" s="3041">
        <v>0.26</v>
      </c>
      <c r="J62" s="980">
        <f t="shared" si="15"/>
        <v>2.7400000000000001E-2</v>
      </c>
      <c r="K62" s="980">
        <f t="shared" si="16"/>
        <v>1.37E-2</v>
      </c>
      <c r="L62" s="980">
        <v>0</v>
      </c>
      <c r="M62" s="980">
        <f t="shared" si="17"/>
        <v>-1.37E-2</v>
      </c>
      <c r="N62" s="980">
        <f t="shared" si="17"/>
        <v>-2.7400000000000001E-2</v>
      </c>
      <c r="AA62" s="1035"/>
      <c r="AB62" s="1035"/>
      <c r="AC62" s="1035"/>
      <c r="AD62" s="1035"/>
      <c r="AE62" s="1035"/>
      <c r="AF62" s="1035"/>
      <c r="AG62" s="1035"/>
      <c r="AH62" s="1035"/>
      <c r="AI62" s="1035"/>
      <c r="AJ62" s="1035"/>
      <c r="AK62" s="1035"/>
    </row>
    <row r="63" spans="1:37" s="1034" customFormat="1" ht="36">
      <c r="A63" s="3043" t="s">
        <v>3251</v>
      </c>
      <c r="B63" s="1240">
        <f>估价对象房地状况!C19</f>
        <v>0</v>
      </c>
      <c r="C63" s="1864" t="s">
        <v>3962</v>
      </c>
      <c r="D63" s="981">
        <f t="shared" si="13"/>
        <v>5.7999999999999996E-3</v>
      </c>
      <c r="E63" s="685"/>
      <c r="F63" s="1652"/>
      <c r="G63" s="979">
        <f t="shared" si="18"/>
        <v>5.7999999999999996E-3</v>
      </c>
      <c r="H63" s="982">
        <f t="shared" si="14"/>
        <v>5.7999999999999996E-3</v>
      </c>
      <c r="I63" s="3041">
        <v>0.11</v>
      </c>
      <c r="J63" s="980">
        <f t="shared" si="15"/>
        <v>1.1599999999999999E-2</v>
      </c>
      <c r="K63" s="980">
        <f t="shared" si="16"/>
        <v>5.7999999999999996E-3</v>
      </c>
      <c r="L63" s="980">
        <v>0</v>
      </c>
      <c r="M63" s="980">
        <f t="shared" si="17"/>
        <v>-5.7999999999999996E-3</v>
      </c>
      <c r="N63" s="980">
        <f t="shared" si="17"/>
        <v>-1.1599999999999999E-2</v>
      </c>
      <c r="AA63" s="1035"/>
      <c r="AB63" s="1035"/>
      <c r="AC63" s="1035"/>
      <c r="AD63" s="1035"/>
      <c r="AE63" s="1035"/>
      <c r="AF63" s="1035"/>
      <c r="AG63" s="1035"/>
      <c r="AH63" s="1035"/>
      <c r="AI63" s="1035"/>
      <c r="AJ63" s="1035"/>
      <c r="AK63" s="1035"/>
    </row>
    <row r="64" spans="1:37" s="1034" customFormat="1" ht="36.75">
      <c r="A64" s="1947" t="s">
        <v>2051</v>
      </c>
      <c r="B64" s="1951" t="s">
        <v>2052</v>
      </c>
      <c r="C64" s="1864" t="s">
        <v>3962</v>
      </c>
      <c r="D64" s="981">
        <f t="shared" si="13"/>
        <v>2.5999999999999999E-3</v>
      </c>
      <c r="E64" s="685"/>
      <c r="F64" s="1652"/>
      <c r="G64" s="979">
        <f t="shared" si="18"/>
        <v>2.5999999999999999E-3</v>
      </c>
      <c r="H64" s="982">
        <f t="shared" si="14"/>
        <v>2.5999999999999999E-3</v>
      </c>
      <c r="I64" s="3041">
        <v>0.05</v>
      </c>
      <c r="J64" s="980">
        <f t="shared" si="15"/>
        <v>5.1999999999999998E-3</v>
      </c>
      <c r="K64" s="980">
        <f t="shared" si="16"/>
        <v>2.5999999999999999E-3</v>
      </c>
      <c r="L64" s="980">
        <v>0</v>
      </c>
      <c r="M64" s="980">
        <f t="shared" si="17"/>
        <v>-2.5999999999999999E-3</v>
      </c>
      <c r="N64" s="980">
        <f t="shared" si="17"/>
        <v>-5.1999999999999998E-3</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t="s">
        <v>3961</v>
      </c>
      <c r="D65" s="981">
        <f t="shared" si="13"/>
        <v>0</v>
      </c>
      <c r="E65" s="685"/>
      <c r="F65" s="1652"/>
      <c r="G65" s="979">
        <f t="shared" si="18"/>
        <v>2.5999999999999999E-3</v>
      </c>
      <c r="H65" s="982">
        <f t="shared" si="14"/>
        <v>2.5999999999999999E-3</v>
      </c>
      <c r="I65" s="3041">
        <v>0.05</v>
      </c>
      <c r="J65" s="980">
        <f t="shared" si="15"/>
        <v>5.1999999999999998E-3</v>
      </c>
      <c r="K65" s="980">
        <f t="shared" si="16"/>
        <v>2.5999999999999999E-3</v>
      </c>
      <c r="L65" s="980">
        <v>0</v>
      </c>
      <c r="M65" s="980">
        <f t="shared" si="17"/>
        <v>-2.5999999999999999E-3</v>
      </c>
      <c r="N65" s="980">
        <f t="shared" si="17"/>
        <v>-5.1999999999999998E-3</v>
      </c>
      <c r="AA65" s="1035"/>
      <c r="AB65" s="1035"/>
      <c r="AC65" s="1035"/>
      <c r="AD65" s="1035"/>
      <c r="AE65" s="1035"/>
      <c r="AF65" s="1035"/>
      <c r="AG65" s="1035"/>
      <c r="AH65" s="1035"/>
      <c r="AI65" s="1035"/>
      <c r="AJ65" s="1035"/>
      <c r="AK65" s="1035"/>
    </row>
    <row r="66" spans="1:37" s="1034" customFormat="1" ht="24">
      <c r="A66" s="1947" t="s">
        <v>2054</v>
      </c>
      <c r="B66" s="1952" t="s">
        <v>2055</v>
      </c>
      <c r="C66" s="1864" t="s">
        <v>3962</v>
      </c>
      <c r="D66" s="981">
        <f t="shared" si="13"/>
        <v>3.0999999999999999E-3</v>
      </c>
      <c r="E66" s="685"/>
      <c r="F66" s="1652"/>
      <c r="G66" s="979">
        <f t="shared" si="18"/>
        <v>3.0999999999999999E-3</v>
      </c>
      <c r="H66" s="982">
        <f t="shared" si="14"/>
        <v>3.0999999999999999E-3</v>
      </c>
      <c r="I66" s="3041">
        <v>0.06</v>
      </c>
      <c r="J66" s="980">
        <f t="shared" si="15"/>
        <v>6.1999999999999998E-3</v>
      </c>
      <c r="K66" s="980">
        <f t="shared" si="16"/>
        <v>3.0999999999999999E-3</v>
      </c>
      <c r="L66" s="980">
        <v>0</v>
      </c>
      <c r="M66" s="980">
        <f t="shared" si="17"/>
        <v>-3.0999999999999999E-3</v>
      </c>
      <c r="N66" s="980">
        <f t="shared" si="17"/>
        <v>-6.1999999999999998E-3</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t="s">
        <v>3962</v>
      </c>
      <c r="D67" s="981">
        <f t="shared" si="13"/>
        <v>3.0999999999999999E-3</v>
      </c>
      <c r="E67" s="685"/>
      <c r="F67" s="1652"/>
      <c r="G67" s="979">
        <f t="shared" si="18"/>
        <v>3.0999999999999999E-3</v>
      </c>
      <c r="H67" s="982">
        <f t="shared" si="14"/>
        <v>3.0999999999999999E-3</v>
      </c>
      <c r="I67" s="3041">
        <v>0.06</v>
      </c>
      <c r="J67" s="980">
        <f t="shared" si="15"/>
        <v>6.1999999999999998E-3</v>
      </c>
      <c r="K67" s="980">
        <f t="shared" si="16"/>
        <v>3.0999999999999999E-3</v>
      </c>
      <c r="L67" s="980">
        <v>0</v>
      </c>
      <c r="M67" s="980">
        <f t="shared" si="17"/>
        <v>-3.0999999999999999E-3</v>
      </c>
      <c r="N67" s="980">
        <f t="shared" si="17"/>
        <v>-6.1999999999999998E-3</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t="s">
        <v>3963</v>
      </c>
      <c r="D68" s="981">
        <f t="shared" si="13"/>
        <v>9.4000000000000004E-3</v>
      </c>
      <c r="E68" s="685"/>
      <c r="F68" s="1652"/>
      <c r="G68" s="979">
        <f t="shared" si="18"/>
        <v>4.7000000000000002E-3</v>
      </c>
      <c r="H68" s="982">
        <f t="shared" si="14"/>
        <v>4.7000000000000002E-3</v>
      </c>
      <c r="I68" s="3041">
        <v>0.09</v>
      </c>
      <c r="J68" s="980">
        <f t="shared" si="15"/>
        <v>9.4000000000000004E-3</v>
      </c>
      <c r="K68" s="980">
        <f t="shared" si="16"/>
        <v>4.7000000000000002E-3</v>
      </c>
      <c r="L68" s="980">
        <v>0</v>
      </c>
      <c r="M68" s="980">
        <f t="shared" si="17"/>
        <v>-4.7000000000000002E-3</v>
      </c>
      <c r="N68" s="980">
        <f t="shared" si="17"/>
        <v>-9.4000000000000004E-3</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t="s">
        <v>3962</v>
      </c>
      <c r="D69" s="981">
        <f t="shared" si="13"/>
        <v>3.7000000000000002E-3</v>
      </c>
      <c r="E69" s="686"/>
      <c r="F69" s="1652"/>
      <c r="G69" s="979">
        <f t="shared" si="18"/>
        <v>3.7000000000000002E-3</v>
      </c>
      <c r="H69" s="982">
        <f t="shared" si="14"/>
        <v>3.7000000000000002E-3</v>
      </c>
      <c r="I69" s="3042">
        <v>7.0000000000000007E-2</v>
      </c>
      <c r="J69" s="980">
        <f t="shared" si="15"/>
        <v>7.4000000000000003E-3</v>
      </c>
      <c r="K69" s="980">
        <f t="shared" si="16"/>
        <v>3.7000000000000002E-3</v>
      </c>
      <c r="L69" s="980">
        <v>0</v>
      </c>
      <c r="M69" s="980">
        <f t="shared" si="17"/>
        <v>-3.7000000000000002E-3</v>
      </c>
      <c r="N69" s="980">
        <f t="shared" si="17"/>
        <v>-7.4000000000000003E-3</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9">SUMIF($J$71:$N$71,C72,J72:N72)</f>
        <v>0</v>
      </c>
      <c r="E72" s="684">
        <f>ROUND(SUM(D72:D80),4)</f>
        <v>0</v>
      </c>
      <c r="F72" s="1652" t="str">
        <f>IF(E2="住宅",SUMIF(L1:L12,G2,N1:N12),"——")</f>
        <v>——</v>
      </c>
      <c r="G72" s="979"/>
      <c r="H72" s="982" t="str">
        <f t="shared" ref="H72:H80" si="20">IFERROR(ROUNDDOWN($F$72*I72/2,4),"——")</f>
        <v>——</v>
      </c>
      <c r="I72" s="3041">
        <v>0.2</v>
      </c>
      <c r="J72" s="980">
        <f t="shared" ref="J72:J80" si="21">K72+$G72</f>
        <v>0</v>
      </c>
      <c r="K72" s="980">
        <f t="shared" ref="K72:K80" si="22">$L72+$G72</f>
        <v>0</v>
      </c>
      <c r="L72" s="980">
        <v>0</v>
      </c>
      <c r="M72" s="980">
        <f t="shared" ref="M72:N80" si="23">L72-$G72</f>
        <v>0</v>
      </c>
      <c r="N72" s="980">
        <f t="shared" si="23"/>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9"/>
        <v>0</v>
      </c>
      <c r="E73" s="687"/>
      <c r="F73" s="1652"/>
      <c r="G73" s="979"/>
      <c r="H73" s="982" t="str">
        <f t="shared" si="20"/>
        <v>——</v>
      </c>
      <c r="I73" s="3041">
        <v>0.26</v>
      </c>
      <c r="J73" s="980">
        <f t="shared" si="21"/>
        <v>0</v>
      </c>
      <c r="K73" s="980">
        <f t="shared" si="22"/>
        <v>0</v>
      </c>
      <c r="L73" s="980">
        <v>0</v>
      </c>
      <c r="M73" s="980">
        <f t="shared" si="23"/>
        <v>0</v>
      </c>
      <c r="N73" s="980">
        <f t="shared" si="23"/>
        <v>0</v>
      </c>
      <c r="AA73" s="1035"/>
      <c r="AB73" s="1035"/>
      <c r="AC73" s="1035"/>
      <c r="AD73" s="1035"/>
      <c r="AE73" s="1035"/>
      <c r="AF73" s="1035"/>
      <c r="AG73" s="1035"/>
      <c r="AH73" s="1035"/>
      <c r="AI73" s="1035"/>
      <c r="AJ73" s="1035"/>
      <c r="AK73" s="1035"/>
    </row>
    <row r="74" spans="1:37" s="1821" customFormat="1" ht="36">
      <c r="A74" s="3043" t="s">
        <v>3251</v>
      </c>
      <c r="B74" s="1240">
        <f>估价对象房地状况!C19</f>
        <v>0</v>
      </c>
      <c r="C74" s="1864"/>
      <c r="D74" s="981">
        <f t="shared" si="19"/>
        <v>0</v>
      </c>
      <c r="E74" s="687"/>
      <c r="F74" s="1652"/>
      <c r="G74" s="979"/>
      <c r="H74" s="982" t="str">
        <f t="shared" si="20"/>
        <v>——</v>
      </c>
      <c r="I74" s="3041">
        <v>0.1</v>
      </c>
      <c r="J74" s="980">
        <f t="shared" si="21"/>
        <v>0</v>
      </c>
      <c r="K74" s="980">
        <f t="shared" si="22"/>
        <v>0</v>
      </c>
      <c r="L74" s="980">
        <v>0</v>
      </c>
      <c r="M74" s="980">
        <f t="shared" si="23"/>
        <v>0</v>
      </c>
      <c r="N74" s="980">
        <f t="shared" si="23"/>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9"/>
        <v>0</v>
      </c>
      <c r="E75" s="687"/>
      <c r="F75" s="1652"/>
      <c r="G75" s="979"/>
      <c r="H75" s="982" t="str">
        <f t="shared" si="20"/>
        <v>——</v>
      </c>
      <c r="I75" s="3041">
        <v>0.05</v>
      </c>
      <c r="J75" s="980">
        <f t="shared" si="21"/>
        <v>0</v>
      </c>
      <c r="K75" s="980">
        <f t="shared" si="22"/>
        <v>0</v>
      </c>
      <c r="L75" s="980">
        <v>0</v>
      </c>
      <c r="M75" s="980">
        <f t="shared" si="23"/>
        <v>0</v>
      </c>
      <c r="N75" s="980">
        <f t="shared" si="23"/>
        <v>0</v>
      </c>
      <c r="O75" s="1034"/>
      <c r="P75" s="1034"/>
      <c r="Q75" s="1821"/>
      <c r="Z75" s="1822"/>
      <c r="AA75" s="1872"/>
      <c r="AG75" s="1036"/>
      <c r="AK75" s="1872"/>
    </row>
    <row r="76" spans="1:37" ht="24">
      <c r="A76" s="1947" t="s">
        <v>2056</v>
      </c>
      <c r="B76" s="1218">
        <f>估价对象房地状况!C21</f>
        <v>0</v>
      </c>
      <c r="C76" s="1864"/>
      <c r="D76" s="981">
        <f t="shared" si="19"/>
        <v>0</v>
      </c>
      <c r="E76" s="687"/>
      <c r="F76" s="1652"/>
      <c r="G76" s="979"/>
      <c r="H76" s="982" t="str">
        <f t="shared" si="20"/>
        <v>——</v>
      </c>
      <c r="I76" s="3041">
        <v>0.08</v>
      </c>
      <c r="J76" s="980">
        <f t="shared" si="21"/>
        <v>0</v>
      </c>
      <c r="K76" s="980">
        <f t="shared" si="22"/>
        <v>0</v>
      </c>
      <c r="L76" s="980">
        <v>0</v>
      </c>
      <c r="M76" s="980">
        <f t="shared" si="23"/>
        <v>0</v>
      </c>
      <c r="N76" s="980">
        <f t="shared" si="23"/>
        <v>0</v>
      </c>
      <c r="O76" s="1034"/>
      <c r="P76" s="1034"/>
      <c r="Z76" s="1822"/>
      <c r="AA76" s="1872"/>
      <c r="AG76" s="1036"/>
      <c r="AK76" s="1872"/>
    </row>
    <row r="77" spans="1:37" ht="24">
      <c r="A77" s="1947" t="s">
        <v>2057</v>
      </c>
      <c r="B77" s="1218">
        <f>估价对象房地状况!C22</f>
        <v>0</v>
      </c>
      <c r="C77" s="1864"/>
      <c r="D77" s="981">
        <f t="shared" si="19"/>
        <v>0</v>
      </c>
      <c r="E77" s="687"/>
      <c r="F77" s="1652"/>
      <c r="G77" s="979"/>
      <c r="H77" s="982" t="str">
        <f t="shared" si="20"/>
        <v>——</v>
      </c>
      <c r="I77" s="3041">
        <v>0.09</v>
      </c>
      <c r="J77" s="980">
        <f t="shared" si="21"/>
        <v>0</v>
      </c>
      <c r="K77" s="980">
        <f t="shared" si="22"/>
        <v>0</v>
      </c>
      <c r="L77" s="980">
        <v>0</v>
      </c>
      <c r="M77" s="980">
        <f t="shared" si="23"/>
        <v>0</v>
      </c>
      <c r="N77" s="980">
        <f t="shared" si="23"/>
        <v>0</v>
      </c>
      <c r="O77" s="1034"/>
      <c r="P77" s="1034"/>
      <c r="Z77" s="1822"/>
      <c r="AA77" s="1872"/>
      <c r="AG77" s="1036"/>
      <c r="AK77" s="1872"/>
    </row>
    <row r="78" spans="1:37" ht="24">
      <c r="A78" s="1947" t="s">
        <v>2054</v>
      </c>
      <c r="B78" s="1952" t="s">
        <v>2055</v>
      </c>
      <c r="C78" s="1864"/>
      <c r="D78" s="981">
        <f t="shared" si="19"/>
        <v>0</v>
      </c>
      <c r="E78" s="687"/>
      <c r="F78" s="1652"/>
      <c r="G78" s="979"/>
      <c r="H78" s="982" t="str">
        <f t="shared" si="20"/>
        <v>——</v>
      </c>
      <c r="I78" s="3041">
        <v>0.05</v>
      </c>
      <c r="J78" s="980">
        <f t="shared" si="21"/>
        <v>0</v>
      </c>
      <c r="K78" s="980">
        <f t="shared" si="22"/>
        <v>0</v>
      </c>
      <c r="L78" s="980">
        <v>0</v>
      </c>
      <c r="M78" s="980">
        <f t="shared" si="23"/>
        <v>0</v>
      </c>
      <c r="N78" s="980">
        <f t="shared" si="23"/>
        <v>0</v>
      </c>
      <c r="O78" s="1821"/>
      <c r="P78" s="1821"/>
      <c r="Z78" s="1822"/>
      <c r="AA78" s="1872"/>
      <c r="AG78" s="1036"/>
      <c r="AK78" s="1872"/>
    </row>
    <row r="79" spans="1:37" ht="24">
      <c r="A79" s="1947" t="s">
        <v>2058</v>
      </c>
      <c r="B79" s="1950">
        <f>估价对象房地状况!C20</f>
        <v>0</v>
      </c>
      <c r="C79" s="1864"/>
      <c r="D79" s="981">
        <f t="shared" si="19"/>
        <v>0</v>
      </c>
      <c r="E79" s="687"/>
      <c r="F79" s="1652"/>
      <c r="G79" s="979"/>
      <c r="H79" s="982" t="str">
        <f t="shared" si="20"/>
        <v>——</v>
      </c>
      <c r="I79" s="3041">
        <v>0.12</v>
      </c>
      <c r="J79" s="980">
        <f t="shared" si="21"/>
        <v>0</v>
      </c>
      <c r="K79" s="980">
        <f t="shared" si="22"/>
        <v>0</v>
      </c>
      <c r="L79" s="980">
        <v>0</v>
      </c>
      <c r="M79" s="980">
        <f t="shared" si="23"/>
        <v>0</v>
      </c>
      <c r="N79" s="980">
        <f t="shared" si="23"/>
        <v>0</v>
      </c>
      <c r="Z79" s="1822"/>
      <c r="AA79" s="1872"/>
      <c r="AG79" s="1036"/>
      <c r="AK79" s="1872"/>
    </row>
    <row r="80" spans="1:37" ht="24.75" thickBot="1">
      <c r="A80" s="1954" t="s">
        <v>2065</v>
      </c>
      <c r="B80" s="1958"/>
      <c r="C80" s="1864"/>
      <c r="D80" s="981">
        <f t="shared" si="19"/>
        <v>0</v>
      </c>
      <c r="E80" s="688"/>
      <c r="F80" s="1652"/>
      <c r="G80" s="979"/>
      <c r="H80" s="982" t="str">
        <f t="shared" si="20"/>
        <v>——</v>
      </c>
      <c r="I80" s="3042">
        <v>0.05</v>
      </c>
      <c r="J80" s="980">
        <f t="shared" si="21"/>
        <v>0</v>
      </c>
      <c r="K80" s="980">
        <f t="shared" si="22"/>
        <v>0</v>
      </c>
      <c r="L80" s="980">
        <v>0</v>
      </c>
      <c r="M80" s="980">
        <f t="shared" si="23"/>
        <v>0</v>
      </c>
      <c r="N80" s="980">
        <f t="shared" si="23"/>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4">SUMIF($J$82:$N$82,C83,J83:N83)</f>
        <v>0</v>
      </c>
      <c r="E83" s="684">
        <f>ROUND(SUM(D83:D90),4)</f>
        <v>0</v>
      </c>
      <c r="F83" s="1652" t="str">
        <f>IF(E2="工业",SUMIF(L1:L12,G2,N1:N12),"——")</f>
        <v>——</v>
      </c>
      <c r="G83" s="979"/>
      <c r="H83" s="982" t="str">
        <f t="shared" ref="H83:H90" si="25">IFERROR(ROUNDDOWN($F$83*I83/2,4),"——")</f>
        <v>——</v>
      </c>
      <c r="I83" s="3041">
        <v>0.26</v>
      </c>
      <c r="J83" s="980">
        <f t="shared" ref="J83:J90" si="26">K83+$G83</f>
        <v>0</v>
      </c>
      <c r="K83" s="980">
        <f t="shared" ref="K83:K90" si="27">$L83+$G83</f>
        <v>0</v>
      </c>
      <c r="L83" s="980">
        <v>0</v>
      </c>
      <c r="M83" s="980">
        <f t="shared" ref="M83:N90" si="28">L83-$G83</f>
        <v>0</v>
      </c>
      <c r="N83" s="980">
        <f t="shared" si="28"/>
        <v>0</v>
      </c>
      <c r="Z83" s="1822"/>
      <c r="AA83" s="1872"/>
      <c r="AG83" s="1036"/>
      <c r="AK83" s="1872"/>
    </row>
    <row r="84" spans="1:37" ht="14.25">
      <c r="A84" s="1947" t="s">
        <v>2050</v>
      </c>
      <c r="B84" s="1240">
        <f>估价对象房地状况!G16</f>
        <v>0</v>
      </c>
      <c r="C84" s="1864"/>
      <c r="D84" s="981">
        <f t="shared" si="24"/>
        <v>0</v>
      </c>
      <c r="E84" s="687"/>
      <c r="F84" s="1652"/>
      <c r="G84" s="979"/>
      <c r="H84" s="982" t="str">
        <f t="shared" si="25"/>
        <v>——</v>
      </c>
      <c r="I84" s="3041">
        <v>0.3</v>
      </c>
      <c r="J84" s="980">
        <f t="shared" si="26"/>
        <v>0</v>
      </c>
      <c r="K84" s="980">
        <f t="shared" si="27"/>
        <v>0</v>
      </c>
      <c r="L84" s="980">
        <v>0</v>
      </c>
      <c r="M84" s="980">
        <f t="shared" si="28"/>
        <v>0</v>
      </c>
      <c r="N84" s="980">
        <f t="shared" si="28"/>
        <v>0</v>
      </c>
      <c r="Z84" s="1822"/>
      <c r="AA84" s="1872"/>
      <c r="AG84" s="1036"/>
      <c r="AK84" s="1872"/>
    </row>
    <row r="85" spans="1:37" ht="36">
      <c r="A85" s="3043" t="s">
        <v>3251</v>
      </c>
      <c r="B85" s="1240">
        <f>估价对象房地状况!G17</f>
        <v>0</v>
      </c>
      <c r="C85" s="1864"/>
      <c r="D85" s="981">
        <f t="shared" si="24"/>
        <v>0</v>
      </c>
      <c r="E85" s="687"/>
      <c r="F85" s="1652"/>
      <c r="G85" s="979"/>
      <c r="H85" s="982" t="str">
        <f t="shared" si="25"/>
        <v>——</v>
      </c>
      <c r="I85" s="3041">
        <v>0.1</v>
      </c>
      <c r="J85" s="980">
        <f t="shared" si="26"/>
        <v>0</v>
      </c>
      <c r="K85" s="980">
        <f t="shared" si="27"/>
        <v>0</v>
      </c>
      <c r="L85" s="980">
        <v>0</v>
      </c>
      <c r="M85" s="980">
        <f t="shared" si="28"/>
        <v>0</v>
      </c>
      <c r="N85" s="980">
        <f t="shared" si="28"/>
        <v>0</v>
      </c>
      <c r="Z85" s="1822"/>
      <c r="AA85" s="1872"/>
      <c r="AG85" s="1036"/>
      <c r="AK85" s="1872"/>
    </row>
    <row r="86" spans="1:37" ht="14.25">
      <c r="A86" s="1947" t="s">
        <v>2064</v>
      </c>
      <c r="B86" s="1240">
        <f>估价对象房地状况!G22</f>
        <v>0</v>
      </c>
      <c r="C86" s="1864"/>
      <c r="D86" s="981">
        <f t="shared" si="24"/>
        <v>0</v>
      </c>
      <c r="E86" s="687"/>
      <c r="F86" s="1652"/>
      <c r="G86" s="979"/>
      <c r="H86" s="982" t="str">
        <f t="shared" si="25"/>
        <v>——</v>
      </c>
      <c r="I86" s="3041">
        <v>0.05</v>
      </c>
      <c r="J86" s="980">
        <f t="shared" si="26"/>
        <v>0</v>
      </c>
      <c r="K86" s="980">
        <f t="shared" si="27"/>
        <v>0</v>
      </c>
      <c r="L86" s="980">
        <v>0</v>
      </c>
      <c r="M86" s="980">
        <f t="shared" si="28"/>
        <v>0</v>
      </c>
      <c r="N86" s="980">
        <f t="shared" si="28"/>
        <v>0</v>
      </c>
      <c r="Z86" s="1822"/>
      <c r="AA86" s="1872"/>
      <c r="AG86" s="1036"/>
      <c r="AK86" s="1872"/>
    </row>
    <row r="87" spans="1:37" ht="24">
      <c r="A87" s="1947" t="s">
        <v>2056</v>
      </c>
      <c r="B87" s="1218">
        <f>估价对象房地状况!G19</f>
        <v>0</v>
      </c>
      <c r="C87" s="1864"/>
      <c r="D87" s="981">
        <f t="shared" si="24"/>
        <v>0</v>
      </c>
      <c r="E87" s="687"/>
      <c r="F87" s="1652"/>
      <c r="G87" s="979"/>
      <c r="H87" s="982" t="str">
        <f t="shared" si="25"/>
        <v>——</v>
      </c>
      <c r="I87" s="3041">
        <v>0.06</v>
      </c>
      <c r="J87" s="980">
        <f t="shared" si="26"/>
        <v>0</v>
      </c>
      <c r="K87" s="980">
        <f t="shared" si="27"/>
        <v>0</v>
      </c>
      <c r="L87" s="980">
        <v>0</v>
      </c>
      <c r="M87" s="980">
        <f t="shared" si="28"/>
        <v>0</v>
      </c>
      <c r="N87" s="980">
        <f t="shared" si="28"/>
        <v>0</v>
      </c>
    </row>
    <row r="88" spans="1:37" ht="24">
      <c r="A88" s="1947" t="s">
        <v>2057</v>
      </c>
      <c r="B88" s="1218">
        <f>估价对象房地状况!G20</f>
        <v>0</v>
      </c>
      <c r="C88" s="1864"/>
      <c r="D88" s="981">
        <f t="shared" si="24"/>
        <v>0</v>
      </c>
      <c r="E88" s="687"/>
      <c r="F88" s="1652"/>
      <c r="G88" s="979"/>
      <c r="H88" s="982" t="str">
        <f t="shared" si="25"/>
        <v>——</v>
      </c>
      <c r="I88" s="3041">
        <v>0.12</v>
      </c>
      <c r="J88" s="980">
        <f t="shared" si="26"/>
        <v>0</v>
      </c>
      <c r="K88" s="980">
        <f t="shared" si="27"/>
        <v>0</v>
      </c>
      <c r="L88" s="980">
        <v>0</v>
      </c>
      <c r="M88" s="980">
        <f t="shared" si="28"/>
        <v>0</v>
      </c>
      <c r="N88" s="980">
        <f t="shared" si="28"/>
        <v>0</v>
      </c>
    </row>
    <row r="89" spans="1:37" ht="24">
      <c r="A89" s="1947" t="s">
        <v>2054</v>
      </c>
      <c r="B89" s="1952" t="s">
        <v>2068</v>
      </c>
      <c r="C89" s="1864"/>
      <c r="D89" s="981">
        <f t="shared" si="24"/>
        <v>0</v>
      </c>
      <c r="E89" s="687"/>
      <c r="F89" s="1652"/>
      <c r="G89" s="979"/>
      <c r="H89" s="982" t="str">
        <f t="shared" si="25"/>
        <v>——</v>
      </c>
      <c r="I89" s="3041">
        <v>0.06</v>
      </c>
      <c r="J89" s="980">
        <f t="shared" si="26"/>
        <v>0</v>
      </c>
      <c r="K89" s="980">
        <f t="shared" si="27"/>
        <v>0</v>
      </c>
      <c r="L89" s="980">
        <v>0</v>
      </c>
      <c r="M89" s="980">
        <f t="shared" si="28"/>
        <v>0</v>
      </c>
      <c r="N89" s="980">
        <f t="shared" si="28"/>
        <v>0</v>
      </c>
    </row>
    <row r="90" spans="1:37" ht="15" thickBot="1">
      <c r="A90" s="1954" t="s">
        <v>2069</v>
      </c>
      <c r="B90" s="1959">
        <f>估价对象房地状况!G18</f>
        <v>0</v>
      </c>
      <c r="C90" s="1864"/>
      <c r="D90" s="981">
        <f t="shared" si="24"/>
        <v>0</v>
      </c>
      <c r="E90" s="688"/>
      <c r="F90" s="1652"/>
      <c r="G90" s="979"/>
      <c r="H90" s="982" t="str">
        <f t="shared" si="25"/>
        <v>——</v>
      </c>
      <c r="I90" s="3042">
        <v>0.05</v>
      </c>
      <c r="J90" s="980">
        <f t="shared" si="26"/>
        <v>0</v>
      </c>
      <c r="K90" s="980">
        <f t="shared" si="27"/>
        <v>0</v>
      </c>
      <c r="L90" s="980">
        <v>0</v>
      </c>
      <c r="M90" s="980">
        <f t="shared" si="28"/>
        <v>0</v>
      </c>
      <c r="N90" s="980">
        <f t="shared" si="28"/>
        <v>0</v>
      </c>
    </row>
    <row r="91" spans="1:37" ht="15">
      <c r="A91" s="3051" t="s">
        <v>2596</v>
      </c>
      <c r="B91" s="3052">
        <f>1+E93</f>
        <v>1</v>
      </c>
      <c r="C91" s="3045"/>
      <c r="D91" s="3046"/>
      <c r="E91" s="1652"/>
      <c r="F91" s="1652"/>
      <c r="G91" s="3047"/>
      <c r="H91" s="3048"/>
      <c r="I91" s="3049"/>
      <c r="J91" s="3050"/>
      <c r="K91" s="3050"/>
      <c r="L91" s="3050"/>
      <c r="M91" s="3050"/>
      <c r="N91" s="3050"/>
    </row>
    <row r="92" spans="1:37" ht="24.75">
      <c r="A92" s="3053" t="s">
        <v>2041</v>
      </c>
      <c r="B92" s="2287"/>
      <c r="C92" s="2287" t="s">
        <v>2043</v>
      </c>
      <c r="D92" s="2287" t="s">
        <v>2044</v>
      </c>
      <c r="E92" s="3025" t="s">
        <v>2045</v>
      </c>
      <c r="F92" s="3055" t="s">
        <v>3265</v>
      </c>
      <c r="G92" s="2287" t="s">
        <v>1986</v>
      </c>
      <c r="H92" s="3062" t="s">
        <v>3269</v>
      </c>
      <c r="I92" s="2287" t="s">
        <v>2048</v>
      </c>
      <c r="J92" s="2127" t="s">
        <v>1718</v>
      </c>
      <c r="K92" s="2127" t="s">
        <v>1719</v>
      </c>
      <c r="L92" s="2127" t="s">
        <v>1720</v>
      </c>
      <c r="M92" s="2127" t="s">
        <v>1721</v>
      </c>
      <c r="N92" s="2127" t="s">
        <v>1722</v>
      </c>
    </row>
    <row r="93" spans="1:37" ht="24">
      <c r="A93" s="3043" t="s">
        <v>3254</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9">K93+$G93</f>
        <v>0</v>
      </c>
      <c r="K93" s="1889">
        <f t="shared" ref="K93:K101" si="30">$L93+$G93</f>
        <v>0</v>
      </c>
      <c r="L93" s="1889">
        <v>0</v>
      </c>
      <c r="M93" s="1889">
        <f t="shared" ref="M93:N101" si="31">L93-$G93</f>
        <v>0</v>
      </c>
      <c r="N93" s="1889">
        <f t="shared" si="31"/>
        <v>0</v>
      </c>
    </row>
    <row r="94" spans="1:37" ht="14.25">
      <c r="A94" s="3053" t="s">
        <v>2050</v>
      </c>
      <c r="B94" s="3044">
        <f>估价对象房地状况!C18</f>
        <v>0</v>
      </c>
      <c r="C94" s="1864"/>
      <c r="D94" s="2287">
        <f t="shared" ref="D94:D101" si="32">SUMIF($J$60:$N$60,C94,J94:N94)</f>
        <v>0</v>
      </c>
      <c r="E94" s="3057"/>
      <c r="F94" s="1652"/>
      <c r="G94" s="3047"/>
      <c r="H94" s="3092" t="str">
        <f>IFERROR(ROUNDDOWN($F$93*I94/2,4),"——")</f>
        <v>——</v>
      </c>
      <c r="I94" s="3041">
        <v>0.26</v>
      </c>
      <c r="J94" s="1889">
        <f t="shared" si="29"/>
        <v>0</v>
      </c>
      <c r="K94" s="1889">
        <f t="shared" si="30"/>
        <v>0</v>
      </c>
      <c r="L94" s="1889">
        <v>0</v>
      </c>
      <c r="M94" s="1889">
        <f t="shared" si="31"/>
        <v>0</v>
      </c>
      <c r="N94" s="1889">
        <f t="shared" si="31"/>
        <v>0</v>
      </c>
    </row>
    <row r="95" spans="1:37" ht="36">
      <c r="A95" s="3043" t="s">
        <v>3251</v>
      </c>
      <c r="B95" s="3044">
        <f>估价对象房地状况!C19</f>
        <v>0</v>
      </c>
      <c r="C95" s="1864"/>
      <c r="D95" s="2287">
        <f t="shared" si="32"/>
        <v>0</v>
      </c>
      <c r="E95" s="3057"/>
      <c r="F95" s="1652"/>
      <c r="G95" s="3047"/>
      <c r="H95" s="3092" t="str">
        <f t="shared" ref="H95:H101" si="33">IFERROR(ROUNDDOWN($F$93*I95/2,4),"——")</f>
        <v>——</v>
      </c>
      <c r="I95" s="3041">
        <v>0.11</v>
      </c>
      <c r="J95" s="1889">
        <f t="shared" si="29"/>
        <v>0</v>
      </c>
      <c r="K95" s="1889">
        <f t="shared" si="30"/>
        <v>0</v>
      </c>
      <c r="L95" s="1889">
        <v>0</v>
      </c>
      <c r="M95" s="1889">
        <f t="shared" si="31"/>
        <v>0</v>
      </c>
      <c r="N95" s="1889">
        <f t="shared" si="31"/>
        <v>0</v>
      </c>
    </row>
    <row r="96" spans="1:37" ht="36.75">
      <c r="A96" s="3053" t="s">
        <v>2051</v>
      </c>
      <c r="B96" s="3059" t="s">
        <v>3267</v>
      </c>
      <c r="C96" s="1864"/>
      <c r="D96" s="2287">
        <f t="shared" si="32"/>
        <v>0</v>
      </c>
      <c r="E96" s="3057"/>
      <c r="F96" s="1652"/>
      <c r="G96" s="3047"/>
      <c r="H96" s="3092" t="str">
        <f t="shared" si="33"/>
        <v>——</v>
      </c>
      <c r="I96" s="3041">
        <v>0.05</v>
      </c>
      <c r="J96" s="1889">
        <f t="shared" si="29"/>
        <v>0</v>
      </c>
      <c r="K96" s="1889">
        <f t="shared" si="30"/>
        <v>0</v>
      </c>
      <c r="L96" s="1889">
        <v>0</v>
      </c>
      <c r="M96" s="1889">
        <f t="shared" si="31"/>
        <v>0</v>
      </c>
      <c r="N96" s="1889">
        <f t="shared" si="31"/>
        <v>0</v>
      </c>
    </row>
    <row r="97" spans="1:14" ht="24">
      <c r="A97" s="3053" t="s">
        <v>2053</v>
      </c>
      <c r="B97" s="3044">
        <f>估价对象房地状况!C24</f>
        <v>0</v>
      </c>
      <c r="C97" s="1864"/>
      <c r="D97" s="2287">
        <f t="shared" si="32"/>
        <v>0</v>
      </c>
      <c r="E97" s="3057"/>
      <c r="F97" s="1652"/>
      <c r="G97" s="3047"/>
      <c r="H97" s="3092" t="str">
        <f t="shared" si="33"/>
        <v>——</v>
      </c>
      <c r="I97" s="3041">
        <v>0.05</v>
      </c>
      <c r="J97" s="1889">
        <f t="shared" si="29"/>
        <v>0</v>
      </c>
      <c r="K97" s="1889">
        <f t="shared" si="30"/>
        <v>0</v>
      </c>
      <c r="L97" s="1889">
        <v>0</v>
      </c>
      <c r="M97" s="1889">
        <f t="shared" si="31"/>
        <v>0</v>
      </c>
      <c r="N97" s="1889">
        <f t="shared" si="31"/>
        <v>0</v>
      </c>
    </row>
    <row r="98" spans="1:14" ht="24">
      <c r="A98" s="3053" t="s">
        <v>2054</v>
      </c>
      <c r="B98" s="3060" t="s">
        <v>3268</v>
      </c>
      <c r="C98" s="1864"/>
      <c r="D98" s="2287">
        <f t="shared" si="32"/>
        <v>0</v>
      </c>
      <c r="E98" s="3057"/>
      <c r="F98" s="1652"/>
      <c r="G98" s="3047"/>
      <c r="H98" s="3092" t="str">
        <f t="shared" si="33"/>
        <v>——</v>
      </c>
      <c r="I98" s="3041">
        <v>0.06</v>
      </c>
      <c r="J98" s="1889">
        <f t="shared" si="29"/>
        <v>0</v>
      </c>
      <c r="K98" s="1889">
        <f t="shared" si="30"/>
        <v>0</v>
      </c>
      <c r="L98" s="1889">
        <v>0</v>
      </c>
      <c r="M98" s="1889">
        <f t="shared" si="31"/>
        <v>0</v>
      </c>
      <c r="N98" s="1889">
        <f t="shared" si="31"/>
        <v>0</v>
      </c>
    </row>
    <row r="99" spans="1:14" ht="24">
      <c r="A99" s="3053" t="s">
        <v>2056</v>
      </c>
      <c r="B99" s="3044">
        <f>估价对象房地状况!C21</f>
        <v>0</v>
      </c>
      <c r="C99" s="1864"/>
      <c r="D99" s="2287">
        <f t="shared" si="32"/>
        <v>0</v>
      </c>
      <c r="E99" s="3057"/>
      <c r="F99" s="1652"/>
      <c r="G99" s="3047"/>
      <c r="H99" s="3092" t="str">
        <f t="shared" si="33"/>
        <v>——</v>
      </c>
      <c r="I99" s="3041">
        <v>0.06</v>
      </c>
      <c r="J99" s="1889">
        <f t="shared" si="29"/>
        <v>0</v>
      </c>
      <c r="K99" s="1889">
        <f t="shared" si="30"/>
        <v>0</v>
      </c>
      <c r="L99" s="1889">
        <v>0</v>
      </c>
      <c r="M99" s="1889">
        <f t="shared" si="31"/>
        <v>0</v>
      </c>
      <c r="N99" s="1889">
        <f t="shared" si="31"/>
        <v>0</v>
      </c>
    </row>
    <row r="100" spans="1:14" ht="24">
      <c r="A100" s="3053" t="s">
        <v>2057</v>
      </c>
      <c r="B100" s="3044">
        <f>估价对象房地状况!C22</f>
        <v>0</v>
      </c>
      <c r="C100" s="1864"/>
      <c r="D100" s="2287">
        <f t="shared" si="32"/>
        <v>0</v>
      </c>
      <c r="E100" s="3057"/>
      <c r="F100" s="1652"/>
      <c r="G100" s="3047"/>
      <c r="H100" s="3092" t="str">
        <f t="shared" si="33"/>
        <v>——</v>
      </c>
      <c r="I100" s="3041">
        <v>0.09</v>
      </c>
      <c r="J100" s="1889">
        <f t="shared" si="29"/>
        <v>0</v>
      </c>
      <c r="K100" s="1889">
        <f t="shared" si="30"/>
        <v>0</v>
      </c>
      <c r="L100" s="1889">
        <v>0</v>
      </c>
      <c r="M100" s="1889">
        <f t="shared" si="31"/>
        <v>0</v>
      </c>
      <c r="N100" s="1889">
        <f t="shared" si="31"/>
        <v>0</v>
      </c>
    </row>
    <row r="101" spans="1:14" ht="24.75" thickBot="1">
      <c r="A101" s="3054" t="s">
        <v>2058</v>
      </c>
      <c r="B101" s="3061">
        <f>估价对象房地状况!C20</f>
        <v>0</v>
      </c>
      <c r="C101" s="1864"/>
      <c r="D101" s="2287">
        <f t="shared" si="32"/>
        <v>0</v>
      </c>
      <c r="E101" s="3058"/>
      <c r="F101" s="1652"/>
      <c r="G101" s="3047"/>
      <c r="H101" s="3092" t="str">
        <f t="shared" si="33"/>
        <v>——</v>
      </c>
      <c r="I101" s="3042">
        <v>7.0000000000000007E-2</v>
      </c>
      <c r="J101" s="1889">
        <f t="shared" si="29"/>
        <v>0</v>
      </c>
      <c r="K101" s="1889">
        <f t="shared" si="30"/>
        <v>0</v>
      </c>
      <c r="L101" s="1889">
        <v>0</v>
      </c>
      <c r="M101" s="1889">
        <f t="shared" si="31"/>
        <v>0</v>
      </c>
      <c r="N101" s="1889">
        <f t="shared" si="31"/>
        <v>0</v>
      </c>
    </row>
    <row r="103" spans="1:14">
      <c r="A103" s="3477" t="s">
        <v>3276</v>
      </c>
      <c r="B103" s="3477"/>
      <c r="C103" s="3477"/>
      <c r="D103" s="3477"/>
      <c r="E103" s="3477"/>
      <c r="F103" s="3477"/>
      <c r="G103" s="3477"/>
      <c r="H103" s="3477"/>
      <c r="I103" s="3477"/>
      <c r="J103" s="3477"/>
      <c r="K103" s="1644"/>
      <c r="L103" s="1644"/>
      <c r="M103" s="1644"/>
      <c r="N103" s="1644"/>
    </row>
    <row r="104" spans="1:14">
      <c r="A104" s="3478" t="s">
        <v>3277</v>
      </c>
      <c r="B104" s="3478" t="s">
        <v>3278</v>
      </c>
      <c r="C104" s="3063" t="s">
        <v>3279</v>
      </c>
      <c r="D104" s="3064"/>
      <c r="E104" s="3064"/>
      <c r="F104" s="3064"/>
      <c r="G104" s="3064"/>
      <c r="H104" s="3064"/>
      <c r="I104" s="3064"/>
      <c r="J104" s="3065"/>
      <c r="K104" s="3066"/>
      <c r="L104" s="3066"/>
      <c r="M104" s="3066"/>
      <c r="N104" s="3066"/>
    </row>
    <row r="105" spans="1:14">
      <c r="A105" s="3478"/>
      <c r="B105" s="3478"/>
      <c r="C105" s="3067" t="s">
        <v>1958</v>
      </c>
      <c r="D105" s="3067" t="s">
        <v>1959</v>
      </c>
      <c r="E105" s="3067" t="s">
        <v>1960</v>
      </c>
      <c r="F105" s="3067" t="s">
        <v>1961</v>
      </c>
      <c r="G105" s="3067" t="s">
        <v>1962</v>
      </c>
      <c r="H105" s="3067" t="s">
        <v>1963</v>
      </c>
      <c r="I105" s="3067" t="s">
        <v>1964</v>
      </c>
      <c r="J105" s="3067" t="s">
        <v>1965</v>
      </c>
      <c r="K105" s="3067" t="s">
        <v>1966</v>
      </c>
      <c r="L105" s="3067" t="s">
        <v>1967</v>
      </c>
      <c r="M105" s="3067" t="s">
        <v>1968</v>
      </c>
      <c r="N105" s="3067" t="s">
        <v>1969</v>
      </c>
    </row>
    <row r="106" spans="1:14">
      <c r="A106" s="3464" t="s">
        <v>3292</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465"/>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465"/>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465"/>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465"/>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465"/>
      <c r="B111" s="3067" t="s">
        <v>3250</v>
      </c>
      <c r="C111" s="3068">
        <f>$I$3</f>
        <v>1</v>
      </c>
      <c r="D111" s="3068">
        <f t="shared" ref="D111:M111" si="34">$I$3</f>
        <v>1</v>
      </c>
      <c r="E111" s="3068">
        <f t="shared" si="34"/>
        <v>1</v>
      </c>
      <c r="F111" s="3068">
        <f t="shared" si="34"/>
        <v>1</v>
      </c>
      <c r="G111" s="3068">
        <f t="shared" si="34"/>
        <v>1</v>
      </c>
      <c r="H111" s="3068">
        <f t="shared" si="34"/>
        <v>1</v>
      </c>
      <c r="I111" s="3068">
        <f t="shared" si="34"/>
        <v>1</v>
      </c>
      <c r="J111" s="3068">
        <f t="shared" si="34"/>
        <v>1</v>
      </c>
      <c r="K111" s="3068">
        <f t="shared" si="34"/>
        <v>1</v>
      </c>
      <c r="L111" s="3068">
        <f t="shared" si="34"/>
        <v>1</v>
      </c>
      <c r="M111" s="3068">
        <f t="shared" si="34"/>
        <v>1</v>
      </c>
      <c r="N111" s="3068">
        <f>$I$3</f>
        <v>1</v>
      </c>
    </row>
    <row r="112" spans="1:14">
      <c r="A112" s="3466"/>
      <c r="B112" s="3067">
        <v>6</v>
      </c>
      <c r="C112" s="3062">
        <f>(-0.5556*(C111^2)-0.2719*C111+8944)*(10^(-4))</f>
        <v>0.89431725000000006</v>
      </c>
      <c r="D112" s="3062">
        <f>(-0.5556*(D111^2)-0.2719*D111+8944)*(10^(-4))</f>
        <v>0.89431725000000006</v>
      </c>
      <c r="E112" s="3062">
        <f>(-0.7912*(E111^2)-11.3794*E111+8482)*(10^(-4))</f>
        <v>0.84698294000000007</v>
      </c>
      <c r="F112" s="3062">
        <f t="shared" ref="F112:I112" si="35">(-0.7912*(F111^2)-11.3794*F111+8482)*(10^(-4))</f>
        <v>0.84698294000000007</v>
      </c>
      <c r="G112" s="3062">
        <f t="shared" si="35"/>
        <v>0.84698294000000007</v>
      </c>
      <c r="H112" s="3062">
        <f t="shared" si="35"/>
        <v>0.84698294000000007</v>
      </c>
      <c r="I112" s="3062">
        <f t="shared" si="35"/>
        <v>0.84698294000000007</v>
      </c>
      <c r="J112" s="3062">
        <f>(-0.989*(J111^2)-63.78*J111+7771)*(10^(-4))</f>
        <v>0.77062310000000001</v>
      </c>
      <c r="K112" s="3062">
        <f t="shared" ref="K112:N112" si="36">(-0.989*(K111^2)-63.78*K111+7771)*(10^(-4))</f>
        <v>0.77062310000000001</v>
      </c>
      <c r="L112" s="3062">
        <f t="shared" si="36"/>
        <v>0.77062310000000001</v>
      </c>
      <c r="M112" s="3062">
        <f t="shared" si="36"/>
        <v>0.77062310000000001</v>
      </c>
      <c r="N112" s="3062">
        <f t="shared" si="36"/>
        <v>0.77062310000000001</v>
      </c>
    </row>
    <row r="113" spans="1:14">
      <c r="A113" s="3467" t="s">
        <v>3293</v>
      </c>
      <c r="B113" s="3467"/>
      <c r="C113" s="3467"/>
      <c r="D113" s="3467"/>
      <c r="E113" s="3467"/>
      <c r="F113" s="3467"/>
      <c r="G113" s="3467"/>
      <c r="H113" s="3467"/>
      <c r="I113" s="3467"/>
      <c r="J113" s="3467"/>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3294</v>
      </c>
      <c r="B116" s="3087">
        <f>G3</f>
        <v>1.2</v>
      </c>
      <c r="C116" s="3072" t="s">
        <v>3295</v>
      </c>
      <c r="D116" s="3073">
        <f>SUMPRODUCT((A118:A122=F116)*(B117:M117=H116)*B118:M122)</f>
        <v>0.92449999999999999</v>
      </c>
      <c r="E116" s="156" t="s">
        <v>1933</v>
      </c>
      <c r="F116" s="3074" t="str">
        <f>E2</f>
        <v>办公</v>
      </c>
      <c r="G116" s="156" t="s">
        <v>1934</v>
      </c>
      <c r="H116" s="3074" t="str">
        <f>G2</f>
        <v>六级</v>
      </c>
      <c r="I116" s="156"/>
      <c r="J116" s="3075"/>
      <c r="K116" s="3075"/>
      <c r="L116" s="3075"/>
      <c r="M116" s="3075"/>
      <c r="N116" s="3070"/>
    </row>
    <row r="117" spans="1:14">
      <c r="A117" s="3076"/>
      <c r="B117" s="3077" t="s">
        <v>3298</v>
      </c>
      <c r="C117" s="3077" t="s">
        <v>3299</v>
      </c>
      <c r="D117" s="3077" t="s">
        <v>3300</v>
      </c>
      <c r="E117" s="3078" t="s">
        <v>3301</v>
      </c>
      <c r="F117" s="3078" t="s">
        <v>3302</v>
      </c>
      <c r="G117" s="3078" t="s">
        <v>3303</v>
      </c>
      <c r="H117" s="3079" t="s">
        <v>3304</v>
      </c>
      <c r="I117" s="3079" t="s">
        <v>3305</v>
      </c>
      <c r="J117" s="3080" t="s">
        <v>3306</v>
      </c>
      <c r="K117" s="3080" t="s">
        <v>3307</v>
      </c>
      <c r="L117" s="3080" t="s">
        <v>3308</v>
      </c>
      <c r="M117" s="3081" t="s">
        <v>3309</v>
      </c>
      <c r="N117" s="3070"/>
    </row>
    <row r="118" spans="1:14">
      <c r="A118" s="3030" t="s">
        <v>1987</v>
      </c>
      <c r="B118" s="3062">
        <f>ROUND(0.9968-0.011*B116,4)</f>
        <v>0.98360000000000003</v>
      </c>
      <c r="C118" s="3062">
        <f>B118</f>
        <v>0.98360000000000003</v>
      </c>
      <c r="D118" s="3062">
        <f>ROUND(0.949-0.014*B116,4)</f>
        <v>0.93220000000000003</v>
      </c>
      <c r="E118" s="3062">
        <f>D118</f>
        <v>0.93220000000000003</v>
      </c>
      <c r="F118" s="3062">
        <f>E118</f>
        <v>0.93220000000000003</v>
      </c>
      <c r="G118" s="3062">
        <f>F118</f>
        <v>0.93220000000000003</v>
      </c>
      <c r="H118" s="3062">
        <f>G118</f>
        <v>0.93220000000000003</v>
      </c>
      <c r="I118" s="3062">
        <f>ROUND(0.8486-0.018*B116,4)</f>
        <v>0.82699999999999996</v>
      </c>
      <c r="J118" s="3062">
        <f t="shared" ref="J118:M122" si="37">I118</f>
        <v>0.82699999999999996</v>
      </c>
      <c r="K118" s="3062">
        <f t="shared" si="37"/>
        <v>0.82699999999999996</v>
      </c>
      <c r="L118" s="3062">
        <f t="shared" si="37"/>
        <v>0.82699999999999996</v>
      </c>
      <c r="M118" s="3082">
        <f t="shared" si="37"/>
        <v>0.82699999999999996</v>
      </c>
      <c r="N118" s="3070"/>
    </row>
    <row r="119" spans="1:14">
      <c r="A119" s="3030" t="s">
        <v>1988</v>
      </c>
      <c r="B119" s="3062">
        <f>ROUND(0.993-0.0112*B116,4)</f>
        <v>0.97960000000000003</v>
      </c>
      <c r="C119" s="3062">
        <f>B119</f>
        <v>0.97960000000000003</v>
      </c>
      <c r="D119" s="3062">
        <f>ROUND(0.9415-0.0142*B116,4)</f>
        <v>0.92449999999999999</v>
      </c>
      <c r="E119" s="3062">
        <f t="shared" ref="E119:H120" si="38">D119</f>
        <v>0.92449999999999999</v>
      </c>
      <c r="F119" s="3062">
        <f t="shared" si="38"/>
        <v>0.92449999999999999</v>
      </c>
      <c r="G119" s="3062">
        <f t="shared" si="38"/>
        <v>0.92449999999999999</v>
      </c>
      <c r="H119" s="3062">
        <f t="shared" si="38"/>
        <v>0.92449999999999999</v>
      </c>
      <c r="I119" s="3062">
        <f>ROUND(0.838-0.0182*B116,4)</f>
        <v>0.81620000000000004</v>
      </c>
      <c r="J119" s="3062">
        <f t="shared" si="37"/>
        <v>0.81620000000000004</v>
      </c>
      <c r="K119" s="3062">
        <f t="shared" si="37"/>
        <v>0.81620000000000004</v>
      </c>
      <c r="L119" s="3062">
        <f t="shared" si="37"/>
        <v>0.81620000000000004</v>
      </c>
      <c r="M119" s="3082">
        <f t="shared" si="37"/>
        <v>0.81620000000000004</v>
      </c>
      <c r="N119" s="3070"/>
    </row>
    <row r="120" spans="1:14">
      <c r="A120" s="3030" t="s">
        <v>1989</v>
      </c>
      <c r="B120" s="3062">
        <f>ROUND(0.9448-0.0115*B116,4)</f>
        <v>0.93100000000000005</v>
      </c>
      <c r="C120" s="3062">
        <f>B120</f>
        <v>0.93100000000000005</v>
      </c>
      <c r="D120" s="3062">
        <f>ROUND(0.937-0.0145*B116,4)</f>
        <v>0.91959999999999997</v>
      </c>
      <c r="E120" s="3062">
        <f t="shared" si="38"/>
        <v>0.91959999999999997</v>
      </c>
      <c r="F120" s="3062">
        <f t="shared" si="38"/>
        <v>0.91959999999999997</v>
      </c>
      <c r="G120" s="3062">
        <f t="shared" si="38"/>
        <v>0.91959999999999997</v>
      </c>
      <c r="H120" s="3062">
        <f t="shared" si="38"/>
        <v>0.91959999999999997</v>
      </c>
      <c r="I120" s="3062">
        <f>ROUND(0.7965-0.0185*B116,4)</f>
        <v>0.77429999999999999</v>
      </c>
      <c r="J120" s="3062">
        <f t="shared" si="37"/>
        <v>0.77429999999999999</v>
      </c>
      <c r="K120" s="3062">
        <f t="shared" si="37"/>
        <v>0.77429999999999999</v>
      </c>
      <c r="L120" s="3062">
        <f t="shared" si="37"/>
        <v>0.77429999999999999</v>
      </c>
      <c r="M120" s="3082">
        <f t="shared" si="37"/>
        <v>0.77429999999999999</v>
      </c>
      <c r="N120" s="3070"/>
    </row>
    <row r="121" spans="1:14" ht="13.5" thickBot="1">
      <c r="A121" s="3083" t="s">
        <v>1990</v>
      </c>
      <c r="B121" s="3084">
        <f>ROUND(0.7836-0.012*B116,4)</f>
        <v>0.76919999999999999</v>
      </c>
      <c r="C121" s="3084">
        <f>B121</f>
        <v>0.76919999999999999</v>
      </c>
      <c r="D121" s="3084">
        <f>ROUND(0.753-0.015*B116,4)</f>
        <v>0.73499999999999999</v>
      </c>
      <c r="E121" s="3084">
        <f>D121</f>
        <v>0.73499999999999999</v>
      </c>
      <c r="F121" s="3084">
        <f>E121</f>
        <v>0.73499999999999999</v>
      </c>
      <c r="G121" s="3084">
        <f>ROUND(0.6612-0.018*B116,4)</f>
        <v>0.63959999999999995</v>
      </c>
      <c r="H121" s="3084">
        <f>G121</f>
        <v>0.63959999999999995</v>
      </c>
      <c r="I121" s="3084">
        <f>ROUND(0.5905-0.019*B116,4)</f>
        <v>0.56769999999999998</v>
      </c>
      <c r="J121" s="3084">
        <f t="shared" si="37"/>
        <v>0.56769999999999998</v>
      </c>
      <c r="K121" s="3084">
        <f t="shared" si="37"/>
        <v>0.56769999999999998</v>
      </c>
      <c r="L121" s="3084">
        <f t="shared" si="37"/>
        <v>0.56769999999999998</v>
      </c>
      <c r="M121" s="3085">
        <f t="shared" si="37"/>
        <v>0.56769999999999998</v>
      </c>
      <c r="N121" s="3070"/>
    </row>
    <row r="122" spans="1:14">
      <c r="A122" s="3086" t="s">
        <v>2596</v>
      </c>
      <c r="B122" s="3062">
        <f>ROUND(0.9404-0.0106*B116,4)</f>
        <v>0.92769999999999997</v>
      </c>
      <c r="C122" s="3062">
        <f>B122</f>
        <v>0.92769999999999997</v>
      </c>
      <c r="D122" s="3062">
        <f>ROUND(0.8955-0.0135*B116,4)</f>
        <v>0.87929999999999997</v>
      </c>
      <c r="E122" s="3062">
        <f t="shared" ref="E122:H122" si="39">D122</f>
        <v>0.87929999999999997</v>
      </c>
      <c r="F122" s="3062">
        <f t="shared" si="39"/>
        <v>0.87929999999999997</v>
      </c>
      <c r="G122" s="3062">
        <f t="shared" si="39"/>
        <v>0.87929999999999997</v>
      </c>
      <c r="H122" s="3062">
        <f t="shared" si="39"/>
        <v>0.87929999999999997</v>
      </c>
      <c r="I122" s="3062">
        <f>ROUND(0.7632-0.0166*B116,4)</f>
        <v>0.74329999999999996</v>
      </c>
      <c r="J122" s="3062">
        <f t="shared" si="37"/>
        <v>0.74329999999999996</v>
      </c>
      <c r="K122" s="3062">
        <f t="shared" si="37"/>
        <v>0.74329999999999996</v>
      </c>
      <c r="L122" s="3062">
        <f t="shared" si="37"/>
        <v>0.74329999999999996</v>
      </c>
      <c r="M122" s="3082">
        <f t="shared" si="37"/>
        <v>0.74329999999999996</v>
      </c>
      <c r="N122" s="307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1">
    <dataValidation type="list" allowBlank="1" showInputMessage="1" showErrorMessage="1" sqref="J23" xr:uid="{267FBA7F-BE3D-487C-A268-2CB65B410435}">
      <formula1>"不用分区数据,中心城区,中心城区以外"</formula1>
    </dataValidation>
    <dataValidation type="list" allowBlank="1" showInputMessage="1" showErrorMessage="1" sqref="H20:O20" xr:uid="{C2238932-8A63-49A2-9879-950F7B38FC50}">
      <formula1>七通一平</formula1>
    </dataValidation>
    <dataValidation type="list" allowBlank="1" showInputMessage="1" showErrorMessage="1" sqref="H23" xr:uid="{70333396-8610-464B-A8FD-E2AF1BDE8E77}">
      <formula1>"地价指数,季度增幅（自定义）,按公示增长率计算"</formula1>
    </dataValidation>
    <dataValidation type="list" allowBlank="1" showInputMessage="1" showErrorMessage="1" sqref="C61:C69 C72:C80 C50:C58 C83:C91 C93:C101" xr:uid="{845B301E-FDD6-4C5E-9EF4-232E7C6646D5}">
      <formula1>五等判定</formula1>
    </dataValidation>
    <dataValidation type="list" allowBlank="1" showInputMessage="1" showErrorMessage="1" sqref="E3" xr:uid="{8B7CFC46-775F-40F1-93FE-10315F35751C}">
      <formula1>INDIRECT(E2)</formula1>
    </dataValidation>
    <dataValidation type="list" allowBlank="1" showInputMessage="1" showErrorMessage="1" sqref="C8" xr:uid="{68F4A211-05F5-42DD-AD31-BCE5DCFF896D}">
      <formula1>商业街名称</formula1>
    </dataValidation>
    <dataValidation type="list" allowBlank="1" showInputMessage="1" showErrorMessage="1" sqref="F3" xr:uid="{9ADCA591-B17E-4C2B-870C-15E8D68D6BAB}">
      <formula1>"宗地容积率,估价对象容积率,自定义容积率"</formula1>
    </dataValidation>
    <dataValidation type="list" allowBlank="1" showInputMessage="1" showErrorMessage="1" sqref="F21" xr:uid="{B0556989-2F19-47DB-B698-394F257545E6}">
      <formula1>"与级别开发程度一致,与级别开发程度不一致"</formula1>
    </dataValidation>
    <dataValidation type="list" allowBlank="1" showInputMessage="1" showErrorMessage="1" sqref="B25" xr:uid="{F5BD7F4D-5B68-401B-9FA1-B80D6D612102}">
      <formula1>"容积率修正,楼层修正"</formula1>
    </dataValidation>
    <dataValidation type="list" allowBlank="1" showInputMessage="1" showErrorMessage="1" sqref="C15:D15" xr:uid="{5381579F-7954-4889-A092-6C44F81F02E8}">
      <formula1>"有,无"</formula1>
    </dataValidation>
    <dataValidation type="list" allowBlank="1" showInputMessage="1" showErrorMessage="1" sqref="E15" xr:uid="{7BBA16FC-E474-46FC-A914-915098D5EBEE}">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87490D-3713-43DE-98A1-38817EB5C1C7}">
          <x14:formula1>
            <xm:f>定义!$X$1:$AB$1</xm:f>
          </x14:formula1>
          <xm:sqref>E2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11F5-274B-45B0-94BB-068CFAA23F05}">
  <sheetPr>
    <tabColor rgb="FF92D050"/>
  </sheetPr>
  <dimension ref="A1:AK122"/>
  <sheetViews>
    <sheetView view="pageBreakPreview" topLeftCell="A10" zoomScaleNormal="80" zoomScaleSheetLayoutView="100" workbookViewId="0">
      <selection activeCell="C33" sqref="C33"/>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0</v>
      </c>
      <c r="E1" s="1819"/>
      <c r="F1" s="1819"/>
      <c r="G1" s="1819"/>
      <c r="H1" s="1819"/>
      <c r="I1" s="1819"/>
      <c r="J1" s="1819"/>
      <c r="K1" s="1034"/>
      <c r="L1" s="1820" t="s">
        <v>1925</v>
      </c>
      <c r="M1" s="790">
        <f>SUMPRODUCT((区片价!B5:B9=I2)*(区片价!C3:G3=E2)*(区片价!C5:G9))</f>
        <v>0</v>
      </c>
      <c r="N1" s="793">
        <f>SUMPRODUCT((因素修正幅度!B5:B9=I2)*(因素修正幅度!C3:G3=E2)*(因素修正幅度!C5:G9))</f>
        <v>0</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t="e">
        <f>C30</f>
        <v>#DIV/0!</v>
      </c>
      <c r="C2" s="1823" t="s">
        <v>1932</v>
      </c>
      <c r="D2" s="156" t="s">
        <v>1933</v>
      </c>
      <c r="E2" s="3093" t="s">
        <v>3382</v>
      </c>
      <c r="F2" s="156" t="s">
        <v>1934</v>
      </c>
      <c r="G2" s="157" t="str">
        <f>IF(E2="商业",项目基本情况!B37,IF(E2="办公",项目基本情况!C37,IF(E2="住宅",项目基本情况!D37,IF(E2="工业",项目基本情况!E37,项目基本情况!F37))))</f>
        <v>六级</v>
      </c>
      <c r="H2" s="156" t="s">
        <v>1935</v>
      </c>
      <c r="I2" s="157" t="str">
        <f>IF(E2="商业",项目基本情况!B38,IF(E2="办公",项目基本情况!C38,IF(E2="住宅",项目基本情况!D38,IF(E2="工业",项目基本情况!E38,项目基本情况!F38))))</f>
        <v>Ⅵ-09</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t="e">
        <f t="shared" ref="T2:T16" si="0">ROUND($C$5*$C$22*$C$23*$C$24*S2*$C$28,0)</f>
        <v>#DIV/0!</v>
      </c>
      <c r="U2" s="1108">
        <f>'739地块'!K20</f>
        <v>5845.0149999999994</v>
      </c>
      <c r="V2" s="3036" t="e">
        <f>ROUND(T2*U2/10000,0)</f>
        <v>#DIV/0!</v>
      </c>
      <c r="W2" s="1111"/>
      <c r="X2" s="1111"/>
      <c r="Y2" s="1111"/>
      <c r="Z2" s="1111"/>
      <c r="AA2" s="1111"/>
      <c r="AB2" s="1111"/>
      <c r="AC2" s="1112"/>
      <c r="AD2" s="1113"/>
      <c r="AE2" s="1113"/>
      <c r="AF2" s="1113"/>
      <c r="AG2" s="1113"/>
      <c r="AH2" s="1113"/>
      <c r="AI2" s="1113"/>
      <c r="AJ2" s="1114"/>
    </row>
    <row r="3" spans="1:36" ht="15.75">
      <c r="A3" s="189" t="s">
        <v>1937</v>
      </c>
      <c r="B3" s="190" t="e">
        <f>ROUND(B2*10000/D1,0)</f>
        <v>#DIV/0!</v>
      </c>
      <c r="C3" s="1823" t="s">
        <v>1938</v>
      </c>
      <c r="D3" s="156" t="s">
        <v>1939</v>
      </c>
      <c r="E3" s="3091" t="s">
        <v>2448</v>
      </c>
      <c r="F3" s="1825" t="s">
        <v>3955</v>
      </c>
      <c r="G3" s="690">
        <f>IF(F3="宗地容积率",'数据-汇总表'!I4,IF(F3="估价对象容积率",'数据-汇总表'!I6,'数据-汇总表'!I7))</f>
        <v>1.2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t="e">
        <f t="shared" si="0"/>
        <v>#DIV/0!</v>
      </c>
      <c r="U3" s="1108">
        <f>'739地块'!L20</f>
        <v>1908.2449999999999</v>
      </c>
      <c r="V3" s="3036" t="e">
        <f t="shared" ref="V3:V16" si="1">ROUND(T3*U3/10000,0)</f>
        <v>#DIV/0!</v>
      </c>
      <c r="W3" s="1111"/>
      <c r="X3" s="1111"/>
      <c r="Y3" s="1111"/>
      <c r="Z3" s="1111"/>
      <c r="AA3" s="1111"/>
      <c r="AB3" s="1111"/>
      <c r="AC3" s="1112"/>
      <c r="AD3" s="1113"/>
      <c r="AE3" s="1113"/>
      <c r="AF3" s="1113"/>
      <c r="AG3" s="1113"/>
      <c r="AH3" s="1113"/>
      <c r="AI3" s="1113"/>
      <c r="AJ3" s="1114"/>
    </row>
    <row r="4" spans="1:36" ht="15.75">
      <c r="A4" s="3471"/>
      <c r="B4" s="3472"/>
      <c r="C4" s="3472"/>
      <c r="D4" s="3473"/>
      <c r="E4" s="3473"/>
      <c r="F4" s="3473"/>
      <c r="G4" s="3473"/>
      <c r="H4" s="3473"/>
      <c r="I4" s="3473"/>
      <c r="J4" s="3474"/>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t="e">
        <f t="shared" si="0"/>
        <v>#DIV/0!</v>
      </c>
      <c r="U4" s="1108"/>
      <c r="V4" s="3036" t="e">
        <f t="shared" si="1"/>
        <v>#DIV/0!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6680</v>
      </c>
      <c r="D5" s="1230">
        <f>ROUND(C6*C17+C20,0)</f>
        <v>6680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t="e">
        <f t="shared" si="0"/>
        <v>#DIV/0!</v>
      </c>
      <c r="U5" s="1108"/>
      <c r="V5" s="3036" t="e">
        <f t="shared" si="1"/>
        <v>#DIV/0!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6680</v>
      </c>
      <c r="D6" s="1838"/>
      <c r="E6" s="1839"/>
      <c r="F6" s="1839"/>
      <c r="G6" s="1840"/>
      <c r="H6" s="1840"/>
      <c r="I6" s="1840"/>
      <c r="J6" s="1841"/>
      <c r="K6" s="1270"/>
      <c r="L6" s="1824" t="s">
        <v>1948</v>
      </c>
      <c r="M6" s="791">
        <f>SUMPRODUCT((区片价!B127:B189=I2)*(区片价!C3:G3=E2)*(区片价!C127:G189))</f>
        <v>6680</v>
      </c>
      <c r="N6" s="793">
        <f>SUMPRODUCT((因素修正幅度!B127:B189=I2)*(因素修正幅度!C3:G3=E2)*(因素修正幅度!C127:G189))</f>
        <v>0.115</v>
      </c>
      <c r="O6" s="1034"/>
      <c r="P6" s="1034"/>
      <c r="Q6" s="1034"/>
      <c r="R6" s="1107">
        <v>5</v>
      </c>
      <c r="S6" s="3036">
        <f>ROUND(SUMPRODUCT((B106:B110=R6)*(C105:N105=G2)*(C106:N110)),4)</f>
        <v>0.84799999999999998</v>
      </c>
      <c r="T6" s="3036" t="e">
        <f t="shared" si="0"/>
        <v>#DIV/0!</v>
      </c>
      <c r="U6" s="1108"/>
      <c r="V6" s="3036" t="e">
        <f t="shared" si="1"/>
        <v>#DIV/0!</v>
      </c>
      <c r="W6" s="1111"/>
      <c r="X6" s="1111"/>
      <c r="Y6" s="1111"/>
      <c r="Z6" s="1111"/>
      <c r="AA6" s="1111"/>
      <c r="AB6" s="1111"/>
      <c r="AC6" s="1832"/>
      <c r="AD6" s="1833"/>
      <c r="AE6" s="1833"/>
      <c r="AF6" s="1833"/>
      <c r="AG6" s="1833"/>
      <c r="AH6" s="1833"/>
      <c r="AI6" s="1833"/>
      <c r="AJ6" s="1834"/>
    </row>
    <row r="7" spans="1:36" ht="24.75" thickBot="1">
      <c r="A7" s="2985" t="s">
        <v>3221</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90"/>
      <c r="T7" s="3036" t="e">
        <f t="shared" si="0"/>
        <v>#DIV/0!</v>
      </c>
      <c r="U7" s="1108"/>
      <c r="V7" s="3036" t="e">
        <f t="shared" si="1"/>
        <v>#DIV/0!</v>
      </c>
      <c r="W7" s="1245" t="s">
        <v>1952</v>
      </c>
      <c r="X7" s="1109" t="str">
        <f>G2</f>
        <v>六级</v>
      </c>
      <c r="Y7" s="1109" t="s">
        <v>1953</v>
      </c>
      <c r="Z7" s="1110">
        <f>G3</f>
        <v>1.2</v>
      </c>
      <c r="AA7" s="1111"/>
      <c r="AB7" s="1111"/>
      <c r="AC7" s="1112"/>
      <c r="AD7" s="1113"/>
      <c r="AE7" s="1113"/>
      <c r="AF7" s="1113"/>
      <c r="AG7" s="1113"/>
      <c r="AH7" s="1113"/>
      <c r="AI7" s="1113"/>
      <c r="AJ7" s="1114"/>
    </row>
    <row r="8" spans="1:36" ht="25.5">
      <c r="A8" s="2982"/>
      <c r="B8" s="156" t="s">
        <v>1954</v>
      </c>
      <c r="C8" s="1847" t="s">
        <v>3956</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6" t="e">
        <f t="shared" si="0"/>
        <v>#DIV/0!</v>
      </c>
      <c r="U8" s="1108"/>
      <c r="V8" s="3036" t="e">
        <f t="shared" si="1"/>
        <v>#DIV/0!</v>
      </c>
      <c r="W8" s="3468" t="s">
        <v>1957</v>
      </c>
      <c r="X8" s="3469"/>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2"/>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6" t="e">
        <f t="shared" si="0"/>
        <v>#DIV/0!</v>
      </c>
      <c r="U9" s="1108"/>
      <c r="V9" s="3036" t="e">
        <f t="shared" si="1"/>
        <v>#DIV/0!</v>
      </c>
      <c r="W9" s="3470"/>
      <c r="X9" s="3037" t="s">
        <v>3250</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6" t="e">
        <f t="shared" si="0"/>
        <v>#DIV/0!</v>
      </c>
      <c r="U10" s="1108"/>
      <c r="V10" s="3036" t="e">
        <f t="shared" si="1"/>
        <v>#DIV/0!</v>
      </c>
      <c r="W10" s="3470"/>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t="e">
        <f t="shared" si="0"/>
        <v>#DIV/0!</v>
      </c>
      <c r="U11" s="1108"/>
      <c r="V11" s="3036" t="e">
        <f t="shared" si="1"/>
        <v>#DIV/0!</v>
      </c>
      <c r="W11" s="1111"/>
      <c r="X11" s="1111"/>
      <c r="Y11" s="1111"/>
      <c r="Z11" s="1111"/>
      <c r="AA11" s="1111"/>
      <c r="AB11" s="1111"/>
      <c r="AC11" s="1112"/>
      <c r="AD11" s="2528"/>
      <c r="AE11" s="2528"/>
      <c r="AF11" s="2528"/>
      <c r="AG11" s="2528"/>
      <c r="AH11" s="2528"/>
      <c r="AI11" s="2528"/>
      <c r="AJ11" s="2529"/>
    </row>
    <row r="12" spans="1:36" ht="25.5" thickBot="1">
      <c r="A12" s="2985" t="s">
        <v>3222</v>
      </c>
      <c r="B12" s="2986" t="s">
        <v>3223</v>
      </c>
      <c r="C12" s="2987">
        <v>1</v>
      </c>
      <c r="D12" s="2988" t="s">
        <v>3224</v>
      </c>
      <c r="E12" s="2989" t="s">
        <v>3225</v>
      </c>
      <c r="F12" s="2990"/>
      <c r="G12" s="2991"/>
      <c r="H12" s="2991"/>
      <c r="I12" s="2991"/>
      <c r="J12" s="2992"/>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t="e">
        <f t="shared" si="0"/>
        <v>#DIV/0!</v>
      </c>
      <c r="U12" s="1108"/>
      <c r="V12" s="3036" t="e">
        <f t="shared" si="1"/>
        <v>#DIV/0!</v>
      </c>
      <c r="W12" s="1111"/>
      <c r="X12" s="1111"/>
      <c r="Y12" s="1111"/>
      <c r="Z12" s="1111"/>
      <c r="AA12" s="1111"/>
      <c r="AB12" s="1111"/>
      <c r="AC12" s="1112"/>
      <c r="AD12" s="2528"/>
      <c r="AE12" s="2528"/>
      <c r="AF12" s="2528"/>
      <c r="AG12" s="2528"/>
      <c r="AH12" s="2528"/>
      <c r="AI12" s="2528"/>
      <c r="AJ12" s="2529"/>
    </row>
    <row r="13" spans="1:36" ht="15.75" thickBot="1">
      <c r="A13" s="2985" t="s">
        <v>3226</v>
      </c>
      <c r="B13" s="1855" t="s">
        <v>1979</v>
      </c>
      <c r="C13" s="693">
        <f>ROUND(C16*D16*E16*F16*G16*H16*I16*J16,4)</f>
        <v>0</v>
      </c>
      <c r="D13" s="1856" t="s">
        <v>1980</v>
      </c>
      <c r="E13" s="1857"/>
      <c r="F13" s="1857"/>
      <c r="G13" s="1858"/>
      <c r="H13" s="1858"/>
      <c r="I13" s="1858"/>
      <c r="J13" s="1859"/>
      <c r="K13" s="1034"/>
      <c r="L13" s="3"/>
      <c r="M13" s="4"/>
      <c r="N13" s="2983"/>
      <c r="O13" s="1034"/>
      <c r="P13" s="1034"/>
      <c r="Q13" s="1034"/>
      <c r="R13" s="1107">
        <v>12</v>
      </c>
      <c r="S13" s="1108"/>
      <c r="T13" s="3036" t="e">
        <f t="shared" si="0"/>
        <v>#DIV/0!</v>
      </c>
      <c r="U13" s="1108"/>
      <c r="V13" s="3036" t="e">
        <f t="shared" si="1"/>
        <v>#DIV/0!</v>
      </c>
      <c r="W13" s="1111"/>
      <c r="X13" s="1111"/>
      <c r="Y13" s="1111"/>
      <c r="Z13" s="1111"/>
      <c r="AA13" s="1111"/>
      <c r="AB13" s="1111"/>
      <c r="AC13" s="1112"/>
      <c r="AD13" s="2528"/>
      <c r="AE13" s="2528"/>
      <c r="AF13" s="2528"/>
      <c r="AG13" s="2528"/>
      <c r="AH13" s="2528"/>
      <c r="AI13" s="2528"/>
      <c r="AJ13" s="2529"/>
    </row>
    <row r="14" spans="1:36" ht="15">
      <c r="A14" s="2981"/>
      <c r="B14" s="1860" t="s">
        <v>1982</v>
      </c>
      <c r="C14" s="1861" t="s">
        <v>1983</v>
      </c>
      <c r="D14" s="1239" t="s">
        <v>1984</v>
      </c>
      <c r="E14" s="27" t="s">
        <v>1985</v>
      </c>
      <c r="F14" s="2993" t="s">
        <v>3227</v>
      </c>
      <c r="G14" s="2993" t="s">
        <v>3227</v>
      </c>
      <c r="H14" s="2993" t="s">
        <v>3227</v>
      </c>
      <c r="I14" s="2993" t="s">
        <v>3227</v>
      </c>
      <c r="J14" s="2993" t="s">
        <v>3227</v>
      </c>
      <c r="K14" s="1034"/>
      <c r="L14" s="1034"/>
      <c r="M14" s="1034"/>
      <c r="N14" s="1034"/>
      <c r="O14" s="1034"/>
      <c r="P14" s="1034"/>
      <c r="Q14" s="1034"/>
      <c r="R14" s="1107">
        <v>13</v>
      </c>
      <c r="S14" s="1108"/>
      <c r="T14" s="3036" t="e">
        <f t="shared" si="0"/>
        <v>#DIV/0!</v>
      </c>
      <c r="U14" s="1108"/>
      <c r="V14" s="3036" t="e">
        <f t="shared" si="1"/>
        <v>#DIV/0!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3228</v>
      </c>
      <c r="G15" s="1905"/>
      <c r="H15" s="2994"/>
      <c r="I15" s="2995"/>
      <c r="J15" s="2996"/>
      <c r="K15" s="1034"/>
      <c r="L15" s="1034"/>
      <c r="M15" s="1034"/>
      <c r="N15" s="1034"/>
      <c r="O15" s="1034"/>
      <c r="P15" s="1034"/>
      <c r="Q15" s="1034"/>
      <c r="R15" s="1107">
        <v>14</v>
      </c>
      <c r="S15" s="1108"/>
      <c r="T15" s="3036" t="e">
        <f t="shared" si="0"/>
        <v>#DIV/0!</v>
      </c>
      <c r="U15" s="1108"/>
      <c r="V15" s="3036" t="e">
        <f t="shared" si="1"/>
        <v>#DIV/0!</v>
      </c>
      <c r="W15" s="1111"/>
      <c r="X15" s="1111"/>
      <c r="Y15" s="1111"/>
      <c r="Z15" s="1111"/>
      <c r="AA15" s="1111"/>
      <c r="AB15" s="1111"/>
      <c r="AC15" s="1112"/>
      <c r="AD15" s="2528"/>
      <c r="AE15" s="2528"/>
      <c r="AF15" s="2528"/>
      <c r="AG15" s="2528"/>
      <c r="AH15" s="2528"/>
      <c r="AI15" s="2528"/>
      <c r="AJ15" s="2529"/>
    </row>
    <row r="16" spans="1:36" ht="15.75" thickBot="1">
      <c r="A16" s="2981"/>
      <c r="B16" s="2999" t="s">
        <v>1986</v>
      </c>
      <c r="C16" s="2997"/>
      <c r="D16" s="2997"/>
      <c r="E16" s="2997"/>
      <c r="F16" s="2997">
        <v>1</v>
      </c>
      <c r="G16" s="2997">
        <v>1</v>
      </c>
      <c r="H16" s="2997">
        <v>1</v>
      </c>
      <c r="I16" s="2997">
        <v>1</v>
      </c>
      <c r="J16" s="2998">
        <v>1</v>
      </c>
      <c r="K16" s="1034"/>
      <c r="L16" s="1821"/>
      <c r="M16" s="1821"/>
      <c r="N16" s="1821"/>
      <c r="O16" s="1821"/>
      <c r="P16" s="1821"/>
      <c r="Q16" s="1034"/>
      <c r="R16" s="1107">
        <v>15</v>
      </c>
      <c r="S16" s="1108"/>
      <c r="T16" s="3036" t="e">
        <f t="shared" si="0"/>
        <v>#DIV/0!</v>
      </c>
      <c r="U16" s="1108"/>
      <c r="V16" s="3036" t="e">
        <f t="shared" si="1"/>
        <v>#DIV/0!</v>
      </c>
      <c r="W16" s="1111"/>
      <c r="X16" s="1111"/>
      <c r="Y16" s="1111"/>
      <c r="Z16" s="1111"/>
      <c r="AA16" s="1111"/>
      <c r="AB16" s="1111"/>
      <c r="AC16" s="1112"/>
      <c r="AD16" s="2528"/>
      <c r="AE16" s="2528"/>
      <c r="AF16" s="2528"/>
      <c r="AG16" s="2528"/>
      <c r="AH16" s="2528"/>
      <c r="AI16" s="2528"/>
      <c r="AJ16" s="2529"/>
    </row>
    <row r="17" spans="1:37">
      <c r="A17" s="3008" t="s">
        <v>3229</v>
      </c>
      <c r="B17" s="3000" t="s">
        <v>3230</v>
      </c>
      <c r="C17" s="3009">
        <f>ROUND(IF(OR(E2="工业",E2="公共服务"),1,IF(AND(E18=0,E19=0),1,IF(AND(E18=J24,E19=G19),0.8,IF(E19=0,1+E17*(-0.2),1+E17*G17*(-0.2))))),4)</f>
        <v>1</v>
      </c>
      <c r="D17" s="3001" t="s">
        <v>3231</v>
      </c>
      <c r="E17" s="3009">
        <f>ROUND(G18/I18,2)</f>
        <v>0</v>
      </c>
      <c r="F17" s="3001" t="s">
        <v>3234</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3232</v>
      </c>
      <c r="E18" s="2334"/>
      <c r="F18" s="3003" t="s">
        <v>3235</v>
      </c>
      <c r="G18" s="3007">
        <f>ROUND(1-(1/(POWER(1+G24,E18))),4)</f>
        <v>0</v>
      </c>
      <c r="H18" s="3003" t="s">
        <v>3237</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3233</v>
      </c>
      <c r="E19" s="3016"/>
      <c r="F19" s="3017" t="s">
        <v>3236</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75" t="s">
        <v>3238</v>
      </c>
      <c r="B20" s="153" t="s">
        <v>1991</v>
      </c>
      <c r="C20" s="3004">
        <f>ROUND(IF(F21="与级别开发程度一致",0,(G21-E21)/C21),0)</f>
        <v>0</v>
      </c>
      <c r="D20" s="3019" t="s">
        <v>1995</v>
      </c>
      <c r="E20" s="3020"/>
      <c r="F20" s="3481" t="s">
        <v>1992</v>
      </c>
      <c r="G20" s="3482"/>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476"/>
      <c r="B21" s="1979" t="s">
        <v>1994</v>
      </c>
      <c r="C21" s="1980">
        <f>IF(E3="M4科研用地",SUMPRODUCT((修正!A2:A7=E3)*(修正!B1:M1=G2)*(修正!B2:M7)),SUMPRODUCT((修正!A2:A7=E2)*(修正!B1:M1=G2)*(修正!B2:M7)))</f>
        <v>2</v>
      </c>
      <c r="D21" s="173" t="str">
        <f>IF(OR(G2="八级",G2="九级",G2="十级",G2="十一级",G2="十二级"),"五通一平","七通一平")</f>
        <v>七通一平</v>
      </c>
      <c r="E21" s="1970">
        <f>SUMPRODUCT((修正!B1:M1=G2)*(修正!B17:M17))</f>
        <v>315</v>
      </c>
      <c r="F21" s="1971" t="s">
        <v>3957</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73" t="s">
        <v>1999</v>
      </c>
      <c r="E23" s="699">
        <v>44197</v>
      </c>
      <c r="F23" s="1873" t="s">
        <v>2000</v>
      </c>
      <c r="G23" s="700">
        <f>'数据-取费表'!B2</f>
        <v>45952</v>
      </c>
      <c r="H23" s="3021" t="s">
        <v>3958</v>
      </c>
      <c r="I23" s="3022" t="str">
        <f>IF(H23="季度增幅（自定义）",SUMIF(N25:N28,E2,O25:O28),"")</f>
        <v/>
      </c>
      <c r="J23" s="3112" t="s">
        <v>3959</v>
      </c>
      <c r="K23" s="1039"/>
      <c r="L23" s="1874" t="s">
        <v>2001</v>
      </c>
      <c r="M23" s="1219">
        <f>ROUND(SUMIF(地价!B2:G2,E2,地价!B16:G16),0)</f>
        <v>0</v>
      </c>
      <c r="N23" s="1875" t="s">
        <v>2002</v>
      </c>
      <c r="O23" s="701">
        <f>ROUNDDOWN(DATEDIF(E23,G23,"M")/3,0)</f>
        <v>19</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t="e">
        <f>ROUND(POWER(1+G24,J24-I24)*(POWER(1+G24,I24)-1)/(POWER(1+G24,J24)-1),4)</f>
        <v>#DIV/0!</v>
      </c>
      <c r="D24" s="1879" t="s">
        <v>2004</v>
      </c>
      <c r="E24" s="1226">
        <f>存贷款利率!E28/100</f>
        <v>4.3499999999999997E-2</v>
      </c>
      <c r="F24" s="1879" t="s">
        <v>1996</v>
      </c>
      <c r="G24" s="706">
        <f>SUMIF(M30:Q30,E2,M33:Q33)</f>
        <v>0.05</v>
      </c>
      <c r="H24" s="1879" t="s">
        <v>2005</v>
      </c>
      <c r="I24" s="707" t="e">
        <f>SUMIF('数据-取费表'!C6:C15,E2,'数据-取费表'!F6:F15)/COUNTIF('数据-取费表'!C6:C15,E2)</f>
        <v>#DIV/0!</v>
      </c>
      <c r="J24" s="708">
        <f>IF(E2="住宅",70,IF(E2="商业",40,50))</f>
        <v>50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3317</v>
      </c>
      <c r="C25" s="454">
        <f>IF(B25="容积率修正",IF(G3&lt;10,D26,J26),C27)</f>
        <v>1.1174999999999999</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3239</v>
      </c>
      <c r="D26" s="1241">
        <f>IF(E26=G26,F26,IF(G3&lt;10,ROUND(F26+(H26-F26)*(G3-E26)/(G26-E26),4),"——"))</f>
        <v>1.1174999999999999</v>
      </c>
      <c r="E26" s="690">
        <f>ROUNDDOWN(G3,1)</f>
        <v>1.2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690">
        <f>ROUNDUP(G3,1)</f>
        <v>1.2</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1889" t="s">
        <v>3240</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1.5019</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1.0444</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t="e">
        <f>IF(B25="容积率修正",E33+SUM(E37:E42),SUM(V2:V16)+SUM(E37:E42))</f>
        <v>#DIV/0!</v>
      </c>
      <c r="D30" s="1902"/>
      <c r="E30" s="1819"/>
      <c r="F30" s="1903"/>
      <c r="G30" s="1819"/>
      <c r="H30" s="1819"/>
      <c r="I30" s="1819"/>
      <c r="J30" s="1904"/>
      <c r="K30" s="1034"/>
      <c r="L30" s="3028" t="s">
        <v>1933</v>
      </c>
      <c r="M30" s="3029" t="s">
        <v>1987</v>
      </c>
      <c r="N30" s="3029" t="s">
        <v>1988</v>
      </c>
      <c r="O30" s="3029" t="s">
        <v>1989</v>
      </c>
      <c r="P30" s="3029" t="s">
        <v>1990</v>
      </c>
      <c r="Q30" s="3032" t="s">
        <v>3244</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t="e">
        <f>E34+SUM(I37:I42)</f>
        <v>#DIV/0!</v>
      </c>
      <c r="D31" s="1906"/>
      <c r="E31" s="1907"/>
      <c r="F31" s="1908"/>
      <c r="G31" s="1907"/>
      <c r="H31" s="1907"/>
      <c r="I31" s="1907"/>
      <c r="J31" s="1909"/>
      <c r="K31" s="1034"/>
      <c r="L31" s="3030" t="s">
        <v>1993</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1" t="s">
        <v>1996</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t="e">
        <f>ROUND(C5*C22*C23*C24*C25*C28,0)</f>
        <v>#DIV/0!</v>
      </c>
      <c r="D33" s="1917">
        <f>'数据-汇总表'!F21</f>
        <v>0</v>
      </c>
      <c r="E33" s="709" t="e">
        <f>ROUND(C33*D33/10000,0)</f>
        <v>#DIV/0!</v>
      </c>
      <c r="F33" s="3023" t="s">
        <v>3242</v>
      </c>
      <c r="G33" s="1918"/>
      <c r="H33" s="1918"/>
      <c r="I33" s="1918"/>
      <c r="J33" s="1919"/>
      <c r="K33" s="1034"/>
      <c r="L33" s="3026" t="s">
        <v>3245</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t="e">
        <f>ROUND(IF(E2="工业",C33*M42,IF(B25="楼层修正",SUM(V2:V16)*M41*10000/D34,C33*M41)),0)</f>
        <v>#DIV/0!</v>
      </c>
      <c r="D34" s="1922"/>
      <c r="E34" s="709" t="e">
        <f>ROUND(IF(B25="楼层修正",SUM(V2:V16)*M40,C34*D34/10000),0)</f>
        <v>#DIV/0!</v>
      </c>
      <c r="F34" s="1923" t="s">
        <v>2029</v>
      </c>
      <c r="G34" s="1924"/>
      <c r="H34" s="1924"/>
      <c r="I34" s="1924"/>
      <c r="J34" s="1925"/>
      <c r="K34" s="1034"/>
      <c r="L34" s="3026" t="s">
        <v>3246</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4" t="s">
        <v>3243</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3247</v>
      </c>
      <c r="L36" s="3113">
        <f ca="1">'数据-取费表'!B40</f>
        <v>3.1300000000000001E-2</v>
      </c>
      <c r="M36" s="2343">
        <f ca="1">ROUND($L$36*(1+M31),3)</f>
        <v>3.9E-2</v>
      </c>
      <c r="N36" s="2343">
        <f ca="1">ROUND($L$36*(1+N31),3)</f>
        <v>3.7999999999999999E-2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79"/>
      <c r="B37" s="1932" t="s">
        <v>2033</v>
      </c>
      <c r="C37" s="161" t="e">
        <f>ROUND(D5*C22*C23*C24*C28*F37,0)</f>
        <v>#DIV/0!</v>
      </c>
      <c r="D37" s="1917"/>
      <c r="E37" s="157" t="e">
        <f>ROUND(C37*D37/10000,0)</f>
        <v>#DIV/0!</v>
      </c>
      <c r="F37" s="157">
        <f>SUMIF(修正!A59:A70,G2,修正!B59:B70)</f>
        <v>0.6</v>
      </c>
      <c r="G37" s="157" t="e">
        <f>ROUND(IF(E2="工业",C37*$M$42,C37*$M$41),0)</f>
        <v>#DIV/0!</v>
      </c>
      <c r="H37" s="157">
        <f>D37</f>
        <v>0</v>
      </c>
      <c r="I37" s="157" t="e">
        <f>ROUND(G37*H37/10000,0)</f>
        <v>#DIV/0!</v>
      </c>
      <c r="J37" s="2727"/>
      <c r="K37" s="3034" t="s">
        <v>3248</v>
      </c>
      <c r="L37" s="1941">
        <f ca="1">L36+K38</f>
        <v>3.6299999999999999E-2</v>
      </c>
      <c r="M37" s="2343">
        <f ca="1">ROUND($L$37*(1+M31),3)</f>
        <v>4.4999999999999998E-2</v>
      </c>
      <c r="N37" s="2343">
        <f t="shared" ref="N37:Q37" ca="1" si="3">ROUND($L$37*(1+N31),3)</f>
        <v>4.3999999999999997E-2</v>
      </c>
      <c r="O37" s="2343">
        <f t="shared" ca="1" si="3"/>
        <v>4.2000000000000003E-2</v>
      </c>
      <c r="P37" s="2343">
        <f t="shared" ca="1" si="3"/>
        <v>0.04</v>
      </c>
      <c r="Q37" s="2343">
        <f t="shared" ca="1" si="3"/>
        <v>4.2000000000000003E-2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80"/>
      <c r="B38" s="1861" t="s">
        <v>2034</v>
      </c>
      <c r="C38" s="161" t="e">
        <f>ROUND(D5*C22*C23*C24*C28*F38,0)</f>
        <v>#DIV/0!</v>
      </c>
      <c r="D38" s="1917"/>
      <c r="E38" s="157" t="e">
        <f t="shared" ref="E38:E42" si="4">ROUND(C38*D38/10000,0)</f>
        <v>#DIV/0!</v>
      </c>
      <c r="F38" s="157">
        <f>SUMIF(修正!A59:A70,G2,修正!C59:C70)</f>
        <v>0.3</v>
      </c>
      <c r="G38" s="157" t="e">
        <f>ROUND(IF(E2="工业",C38*$M$42,C38*$M$41),0)</f>
        <v>#DIV/0!</v>
      </c>
      <c r="H38" s="157">
        <f t="shared" ref="H38:H42" si="5">D38</f>
        <v>0</v>
      </c>
      <c r="I38" s="157" t="e">
        <f t="shared" ref="I38:I42" si="6">ROUND(G38*H38/10000,0)</f>
        <v>#DIV/0!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80"/>
      <c r="B39" s="1861" t="s">
        <v>3241</v>
      </c>
      <c r="C39" s="161" t="e">
        <f>ROUND(D5*C22*C23*C24*C28*F39,0)</f>
        <v>#DIV/0!</v>
      </c>
      <c r="D39" s="1917"/>
      <c r="E39" s="157" t="e">
        <f t="shared" si="4"/>
        <v>#DIV/0!</v>
      </c>
      <c r="F39" s="157">
        <f>SUMIF(修正!A59:A70,G2,修正!D59:D70)</f>
        <v>0.25</v>
      </c>
      <c r="G39" s="157" t="e">
        <f>ROUND(IF(E2="工业",C39*$M$42,C39*$M$41),0)</f>
        <v>#DIV/0!</v>
      </c>
      <c r="H39" s="157">
        <f t="shared" si="5"/>
        <v>0</v>
      </c>
      <c r="I39" s="157" t="e">
        <f t="shared" si="6"/>
        <v>#DIV/0!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t="e">
        <f>ROUND(D5*C22*C23*C24*C28*F40,0)</f>
        <v>#DIV/0!</v>
      </c>
      <c r="D40" s="1917"/>
      <c r="E40" s="157" t="e">
        <f t="shared" si="4"/>
        <v>#DIV/0!</v>
      </c>
      <c r="F40" s="161">
        <f>SUMIF(修正!A59:A70,G2,修正!E59:E70)</f>
        <v>0.25</v>
      </c>
      <c r="G40" s="157" t="e">
        <f>ROUND(IF(E2="工业",C40*$M$42,C40*$M$41),0)</f>
        <v>#DIV/0!</v>
      </c>
      <c r="H40" s="157">
        <f t="shared" si="5"/>
        <v>0</v>
      </c>
      <c r="I40" s="157" t="e">
        <f t="shared" si="6"/>
        <v>#DIV/0!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0</v>
      </c>
      <c r="D41" s="1917"/>
      <c r="E41" s="157">
        <f t="shared" si="4"/>
        <v>0</v>
      </c>
      <c r="F41" s="161">
        <f>SUMIF(修正!A59:A70,G2,修正!F59:F70)</f>
        <v>0.25</v>
      </c>
      <c r="G41" s="157">
        <f>ROUND(IF(E2="工业",C41*$M$42,C41*$M$41),0)</f>
        <v>0</v>
      </c>
      <c r="H41" s="157">
        <f t="shared" si="5"/>
        <v>0</v>
      </c>
      <c r="I41" s="157">
        <f t="shared" si="6"/>
        <v>0</v>
      </c>
      <c r="J41" s="919"/>
      <c r="L41" s="3035" t="s">
        <v>3249</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0</v>
      </c>
      <c r="D42" s="1922"/>
      <c r="E42" s="173">
        <f t="shared" si="4"/>
        <v>0</v>
      </c>
      <c r="F42" s="705">
        <f>SUMIF(修正!A59:A70,G2,修正!G59:G70)</f>
        <v>0.15</v>
      </c>
      <c r="G42" s="173">
        <f>ROUND(IF(E2="工业",C42*$M$42,C42*$M$41),0)</f>
        <v>0</v>
      </c>
      <c r="H42" s="173">
        <f t="shared" si="5"/>
        <v>0</v>
      </c>
      <c r="I42" s="173">
        <f t="shared" si="6"/>
        <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2117</v>
      </c>
      <c r="C44" s="326">
        <f>ROUND(POWER(1+E44,H44-G44)*(POWER(1+E44,G44)-1)/(POWER(1+E44,H44)-1),4)</f>
        <v>0</v>
      </c>
      <c r="D44" s="157" t="s">
        <v>1996</v>
      </c>
      <c r="E44" s="1968">
        <f>G24</f>
        <v>0.05</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t="e">
        <f>1+E50</f>
        <v>#VALUE!</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3961</v>
      </c>
      <c r="D50" s="981">
        <f t="shared" ref="D50:D58" si="7">SUMIF($J$49:$N$49,C50,J50:N50)</f>
        <v>0</v>
      </c>
      <c r="E50" s="684" t="e">
        <f>ROUND(SUM(D50:D58),4)</f>
        <v>#VALUE!</v>
      </c>
      <c r="F50" s="1652" t="str">
        <f>IF(E2="商业",SUMIF(L1:L12,G2,N1:N12),"——")</f>
        <v>——</v>
      </c>
      <c r="G50" s="979" t="str">
        <f>H50</f>
        <v>——</v>
      </c>
      <c r="H50" s="982" t="str">
        <f t="shared" ref="H50:H58" si="8">IFERROR(ROUNDDOWN($F$50*I50/2,4),"——")</f>
        <v>——</v>
      </c>
      <c r="I50" s="3041">
        <v>0.3</v>
      </c>
      <c r="J50" s="980" t="e">
        <f t="shared" ref="J50:J58" si="9">K50+$G50</f>
        <v>#VALUE!</v>
      </c>
      <c r="K50" s="980" t="e">
        <f t="shared" ref="K50:K58" si="10">$L50+$G50</f>
        <v>#VALUE!</v>
      </c>
      <c r="L50" s="980">
        <v>0</v>
      </c>
      <c r="M50" s="980" t="e">
        <f t="shared" ref="M50:N58" si="11">L50-$G50</f>
        <v>#VALUE!</v>
      </c>
      <c r="N50" s="980" t="e">
        <f t="shared" si="11"/>
        <v>#VALUE!</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3961</v>
      </c>
      <c r="D51" s="981">
        <f t="shared" si="7"/>
        <v>0</v>
      </c>
      <c r="E51" s="685"/>
      <c r="F51" s="1652"/>
      <c r="G51" s="979" t="str">
        <f t="shared" ref="G51:G58" si="12">H51</f>
        <v>——</v>
      </c>
      <c r="H51" s="982" t="str">
        <f t="shared" si="8"/>
        <v>——</v>
      </c>
      <c r="I51" s="3041">
        <v>0.22</v>
      </c>
      <c r="J51" s="980" t="e">
        <f t="shared" si="9"/>
        <v>#VALUE!</v>
      </c>
      <c r="K51" s="980" t="e">
        <f t="shared" si="10"/>
        <v>#VALUE!</v>
      </c>
      <c r="L51" s="980">
        <v>0</v>
      </c>
      <c r="M51" s="980" t="e">
        <f t="shared" si="11"/>
        <v>#VALUE!</v>
      </c>
      <c r="N51" s="980" t="e">
        <f t="shared" si="11"/>
        <v>#VALUE!</v>
      </c>
      <c r="AA51" s="1035"/>
      <c r="AB51" s="1035"/>
      <c r="AC51" s="1035"/>
      <c r="AD51" s="1035"/>
      <c r="AE51" s="1035"/>
      <c r="AF51" s="1035"/>
      <c r="AG51" s="1035"/>
      <c r="AH51" s="1035"/>
      <c r="AI51" s="1035"/>
      <c r="AJ51" s="1035"/>
      <c r="AK51" s="1035"/>
    </row>
    <row r="52" spans="1:37" s="1034" customFormat="1" ht="36">
      <c r="A52" s="3043" t="s">
        <v>3251</v>
      </c>
      <c r="B52" s="1240">
        <f>估价对象房地状况!C19</f>
        <v>0</v>
      </c>
      <c r="C52" s="1864" t="s">
        <v>3962</v>
      </c>
      <c r="D52" s="981" t="e">
        <f t="shared" si="7"/>
        <v>#VALUE!</v>
      </c>
      <c r="E52" s="685"/>
      <c r="F52" s="1652"/>
      <c r="G52" s="979" t="str">
        <f t="shared" si="12"/>
        <v>——</v>
      </c>
      <c r="H52" s="982" t="str">
        <f t="shared" si="8"/>
        <v>——</v>
      </c>
      <c r="I52" s="3041">
        <v>0.12</v>
      </c>
      <c r="J52" s="980" t="e">
        <f t="shared" si="9"/>
        <v>#VALUE!</v>
      </c>
      <c r="K52" s="980" t="e">
        <f t="shared" si="10"/>
        <v>#VALUE!</v>
      </c>
      <c r="L52" s="980">
        <v>0</v>
      </c>
      <c r="M52" s="980" t="e">
        <f t="shared" si="11"/>
        <v>#VALUE!</v>
      </c>
      <c r="N52" s="980" t="e">
        <f t="shared" si="11"/>
        <v>#VALUE!</v>
      </c>
      <c r="AA52" s="1035"/>
      <c r="AB52" s="1035"/>
      <c r="AC52" s="1035"/>
      <c r="AD52" s="1035"/>
      <c r="AE52" s="1035"/>
      <c r="AF52" s="1035"/>
      <c r="AG52" s="1035"/>
      <c r="AH52" s="1035"/>
      <c r="AI52" s="1035"/>
      <c r="AJ52" s="1035"/>
      <c r="AK52" s="1035"/>
    </row>
    <row r="53" spans="1:37" s="1034" customFormat="1" ht="36.75">
      <c r="A53" s="1947" t="s">
        <v>2051</v>
      </c>
      <c r="B53" s="1951" t="s">
        <v>2052</v>
      </c>
      <c r="C53" s="1864" t="s">
        <v>3962</v>
      </c>
      <c r="D53" s="981" t="e">
        <f t="shared" si="7"/>
        <v>#VALUE!</v>
      </c>
      <c r="E53" s="685"/>
      <c r="F53" s="1652"/>
      <c r="G53" s="979" t="str">
        <f t="shared" si="12"/>
        <v>——</v>
      </c>
      <c r="H53" s="982" t="str">
        <f t="shared" si="8"/>
        <v>——</v>
      </c>
      <c r="I53" s="3041">
        <v>0.05</v>
      </c>
      <c r="J53" s="980" t="e">
        <f t="shared" si="9"/>
        <v>#VALUE!</v>
      </c>
      <c r="K53" s="980" t="e">
        <f t="shared" si="10"/>
        <v>#VALUE!</v>
      </c>
      <c r="L53" s="980">
        <v>0</v>
      </c>
      <c r="M53" s="980" t="e">
        <f t="shared" si="11"/>
        <v>#VALUE!</v>
      </c>
      <c r="N53" s="980" t="e">
        <f t="shared" si="11"/>
        <v>#VALUE!</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3961</v>
      </c>
      <c r="D54" s="981">
        <f t="shared" si="7"/>
        <v>0</v>
      </c>
      <c r="E54" s="685"/>
      <c r="F54" s="1652"/>
      <c r="G54" s="979" t="str">
        <f t="shared" si="12"/>
        <v>——</v>
      </c>
      <c r="H54" s="982" t="str">
        <f t="shared" si="8"/>
        <v>——</v>
      </c>
      <c r="I54" s="3041">
        <v>0.08</v>
      </c>
      <c r="J54" s="980" t="e">
        <f t="shared" si="9"/>
        <v>#VALUE!</v>
      </c>
      <c r="K54" s="980" t="e">
        <f t="shared" si="10"/>
        <v>#VALUE!</v>
      </c>
      <c r="L54" s="980">
        <v>0</v>
      </c>
      <c r="M54" s="980" t="e">
        <f t="shared" si="11"/>
        <v>#VALUE!</v>
      </c>
      <c r="N54" s="980" t="e">
        <f t="shared" si="11"/>
        <v>#VALUE!</v>
      </c>
      <c r="AA54" s="1035"/>
      <c r="AB54" s="1035"/>
      <c r="AC54" s="1035"/>
      <c r="AD54" s="1035"/>
      <c r="AE54" s="1035"/>
      <c r="AF54" s="1035"/>
      <c r="AG54" s="1035"/>
      <c r="AH54" s="1035"/>
      <c r="AI54" s="1035"/>
      <c r="AJ54" s="1035"/>
      <c r="AK54" s="1035"/>
    </row>
    <row r="55" spans="1:37" s="1034" customFormat="1" ht="24">
      <c r="A55" s="1947" t="s">
        <v>2054</v>
      </c>
      <c r="B55" s="1952" t="s">
        <v>2055</v>
      </c>
      <c r="C55" s="1864" t="s">
        <v>3962</v>
      </c>
      <c r="D55" s="981" t="e">
        <f t="shared" si="7"/>
        <v>#VALUE!</v>
      </c>
      <c r="E55" s="685"/>
      <c r="F55" s="1652"/>
      <c r="G55" s="979" t="str">
        <f t="shared" si="12"/>
        <v>——</v>
      </c>
      <c r="H55" s="982" t="str">
        <f t="shared" si="8"/>
        <v>——</v>
      </c>
      <c r="I55" s="3041">
        <v>0.05</v>
      </c>
      <c r="J55" s="980" t="e">
        <f t="shared" si="9"/>
        <v>#VALUE!</v>
      </c>
      <c r="K55" s="980" t="e">
        <f t="shared" si="10"/>
        <v>#VALUE!</v>
      </c>
      <c r="L55" s="980">
        <v>0</v>
      </c>
      <c r="M55" s="980" t="e">
        <f t="shared" si="11"/>
        <v>#VALUE!</v>
      </c>
      <c r="N55" s="980" t="e">
        <f t="shared" si="11"/>
        <v>#VALUE!</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3962</v>
      </c>
      <c r="D56" s="981" t="e">
        <f t="shared" si="7"/>
        <v>#VALUE!</v>
      </c>
      <c r="E56" s="685"/>
      <c r="F56" s="1652"/>
      <c r="G56" s="979" t="str">
        <f t="shared" si="12"/>
        <v>——</v>
      </c>
      <c r="H56" s="982" t="str">
        <f t="shared" si="8"/>
        <v>——</v>
      </c>
      <c r="I56" s="3041">
        <v>0.05</v>
      </c>
      <c r="J56" s="980" t="e">
        <f t="shared" si="9"/>
        <v>#VALUE!</v>
      </c>
      <c r="K56" s="980" t="e">
        <f t="shared" si="10"/>
        <v>#VALUE!</v>
      </c>
      <c r="L56" s="980">
        <v>0</v>
      </c>
      <c r="M56" s="980" t="e">
        <f t="shared" si="11"/>
        <v>#VALUE!</v>
      </c>
      <c r="N56" s="980" t="e">
        <f t="shared" si="11"/>
        <v>#VALUE!</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3963</v>
      </c>
      <c r="D57" s="981" t="e">
        <f t="shared" si="7"/>
        <v>#VALUE!</v>
      </c>
      <c r="E57" s="685"/>
      <c r="F57" s="1652"/>
      <c r="G57" s="979" t="str">
        <f t="shared" si="12"/>
        <v>——</v>
      </c>
      <c r="H57" s="982" t="str">
        <f t="shared" si="8"/>
        <v>——</v>
      </c>
      <c r="I57" s="3041">
        <v>0.08</v>
      </c>
      <c r="J57" s="980" t="e">
        <f t="shared" si="9"/>
        <v>#VALUE!</v>
      </c>
      <c r="K57" s="980" t="e">
        <f t="shared" si="10"/>
        <v>#VALUE!</v>
      </c>
      <c r="L57" s="980">
        <v>0</v>
      </c>
      <c r="M57" s="980" t="e">
        <f t="shared" si="11"/>
        <v>#VALUE!</v>
      </c>
      <c r="N57" s="980" t="e">
        <f t="shared" si="11"/>
        <v>#VALUE!</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3962</v>
      </c>
      <c r="D58" s="981" t="e">
        <f t="shared" si="7"/>
        <v>#VALUE!</v>
      </c>
      <c r="E58" s="686"/>
      <c r="F58" s="1652"/>
      <c r="G58" s="979" t="str">
        <f t="shared" si="12"/>
        <v>——</v>
      </c>
      <c r="H58" s="982" t="str">
        <f t="shared" si="8"/>
        <v>——</v>
      </c>
      <c r="I58" s="3042">
        <v>0.05</v>
      </c>
      <c r="J58" s="980" t="e">
        <f t="shared" si="9"/>
        <v>#VALUE!</v>
      </c>
      <c r="K58" s="980" t="e">
        <f t="shared" si="10"/>
        <v>#VALUE!</v>
      </c>
      <c r="L58" s="980">
        <v>0</v>
      </c>
      <c r="M58" s="980" t="e">
        <f t="shared" si="11"/>
        <v>#VALUE!</v>
      </c>
      <c r="N58" s="980" t="e">
        <f t="shared" si="11"/>
        <v>#VALUE!</v>
      </c>
      <c r="AA58" s="1035"/>
      <c r="AB58" s="1035"/>
      <c r="AC58" s="1035"/>
      <c r="AD58" s="1035"/>
      <c r="AE58" s="1035"/>
      <c r="AF58" s="1035"/>
      <c r="AG58" s="1035"/>
      <c r="AH58" s="1035"/>
      <c r="AI58" s="1035"/>
      <c r="AJ58" s="1035"/>
      <c r="AK58" s="1035"/>
    </row>
    <row r="59" spans="1:37" s="1034" customFormat="1" ht="15">
      <c r="A59" s="1944" t="s">
        <v>2059</v>
      </c>
      <c r="B59" s="1945" t="e">
        <f>1+E61</f>
        <v>#VALUE!</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t="s">
        <v>3961</v>
      </c>
      <c r="D61" s="981">
        <f t="shared" ref="D61:D69" si="13">SUMIF($J$60:$N$60,C61,J61:N61)</f>
        <v>0</v>
      </c>
      <c r="E61" s="684" t="e">
        <f>ROUND(SUM(D61:D69),4)</f>
        <v>#VALUE!</v>
      </c>
      <c r="F61" s="1652" t="str">
        <f>IF(E2="办公",SUMIF(L1:L12,G2,N1:N12),"——")</f>
        <v>——</v>
      </c>
      <c r="G61" s="979" t="str">
        <f>H61</f>
        <v>——</v>
      </c>
      <c r="H61" s="982" t="str">
        <f t="shared" ref="H61:H69" si="14">IFERROR(ROUNDDOWN($F$61*I61/2,4),"——")</f>
        <v>——</v>
      </c>
      <c r="I61" s="3041">
        <v>0.25</v>
      </c>
      <c r="J61" s="980" t="e">
        <f t="shared" ref="J61:J69" si="15">K61+$G61</f>
        <v>#VALUE!</v>
      </c>
      <c r="K61" s="980" t="e">
        <f t="shared" ref="K61:K69" si="16">$L61+$G61</f>
        <v>#VALUE!</v>
      </c>
      <c r="L61" s="980">
        <v>0</v>
      </c>
      <c r="M61" s="980" t="e">
        <f t="shared" ref="M61:N69" si="17">L61-$G61</f>
        <v>#VALUE!</v>
      </c>
      <c r="N61" s="980" t="e">
        <f t="shared" si="17"/>
        <v>#VALUE!</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t="s">
        <v>3961</v>
      </c>
      <c r="D62" s="981">
        <f t="shared" si="13"/>
        <v>0</v>
      </c>
      <c r="E62" s="685"/>
      <c r="F62" s="1652"/>
      <c r="G62" s="979" t="str">
        <f t="shared" ref="G62:G69" si="18">H62</f>
        <v>——</v>
      </c>
      <c r="H62" s="982" t="str">
        <f t="shared" si="14"/>
        <v>——</v>
      </c>
      <c r="I62" s="3041">
        <v>0.26</v>
      </c>
      <c r="J62" s="980" t="e">
        <f t="shared" si="15"/>
        <v>#VALUE!</v>
      </c>
      <c r="K62" s="980" t="e">
        <f t="shared" si="16"/>
        <v>#VALUE!</v>
      </c>
      <c r="L62" s="980">
        <v>0</v>
      </c>
      <c r="M62" s="980" t="e">
        <f t="shared" si="17"/>
        <v>#VALUE!</v>
      </c>
      <c r="N62" s="980" t="e">
        <f t="shared" si="17"/>
        <v>#VALUE!</v>
      </c>
      <c r="AA62" s="1035"/>
      <c r="AB62" s="1035"/>
      <c r="AC62" s="1035"/>
      <c r="AD62" s="1035"/>
      <c r="AE62" s="1035"/>
      <c r="AF62" s="1035"/>
      <c r="AG62" s="1035"/>
      <c r="AH62" s="1035"/>
      <c r="AI62" s="1035"/>
      <c r="AJ62" s="1035"/>
      <c r="AK62" s="1035"/>
    </row>
    <row r="63" spans="1:37" s="1034" customFormat="1" ht="36">
      <c r="A63" s="3043" t="s">
        <v>3251</v>
      </c>
      <c r="B63" s="1240">
        <f>估价对象房地状况!C19</f>
        <v>0</v>
      </c>
      <c r="C63" s="1864" t="s">
        <v>3962</v>
      </c>
      <c r="D63" s="981" t="e">
        <f t="shared" si="13"/>
        <v>#VALUE!</v>
      </c>
      <c r="E63" s="685"/>
      <c r="F63" s="1652"/>
      <c r="G63" s="979" t="str">
        <f t="shared" si="18"/>
        <v>——</v>
      </c>
      <c r="H63" s="982" t="str">
        <f t="shared" si="14"/>
        <v>——</v>
      </c>
      <c r="I63" s="3041">
        <v>0.11</v>
      </c>
      <c r="J63" s="980" t="e">
        <f t="shared" si="15"/>
        <v>#VALUE!</v>
      </c>
      <c r="K63" s="980" t="e">
        <f t="shared" si="16"/>
        <v>#VALUE!</v>
      </c>
      <c r="L63" s="980">
        <v>0</v>
      </c>
      <c r="M63" s="980" t="e">
        <f t="shared" si="17"/>
        <v>#VALUE!</v>
      </c>
      <c r="N63" s="980" t="e">
        <f t="shared" si="17"/>
        <v>#VALUE!</v>
      </c>
      <c r="AA63" s="1035"/>
      <c r="AB63" s="1035"/>
      <c r="AC63" s="1035"/>
      <c r="AD63" s="1035"/>
      <c r="AE63" s="1035"/>
      <c r="AF63" s="1035"/>
      <c r="AG63" s="1035"/>
      <c r="AH63" s="1035"/>
      <c r="AI63" s="1035"/>
      <c r="AJ63" s="1035"/>
      <c r="AK63" s="1035"/>
    </row>
    <row r="64" spans="1:37" s="1034" customFormat="1" ht="36.75">
      <c r="A64" s="1947" t="s">
        <v>2051</v>
      </c>
      <c r="B64" s="1951" t="s">
        <v>2052</v>
      </c>
      <c r="C64" s="1864" t="s">
        <v>3962</v>
      </c>
      <c r="D64" s="981" t="e">
        <f t="shared" si="13"/>
        <v>#VALUE!</v>
      </c>
      <c r="E64" s="685"/>
      <c r="F64" s="1652"/>
      <c r="G64" s="979" t="str">
        <f t="shared" si="18"/>
        <v>——</v>
      </c>
      <c r="H64" s="982" t="str">
        <f t="shared" si="14"/>
        <v>——</v>
      </c>
      <c r="I64" s="3041">
        <v>0.05</v>
      </c>
      <c r="J64" s="980" t="e">
        <f t="shared" si="15"/>
        <v>#VALUE!</v>
      </c>
      <c r="K64" s="980" t="e">
        <f t="shared" si="16"/>
        <v>#VALUE!</v>
      </c>
      <c r="L64" s="980">
        <v>0</v>
      </c>
      <c r="M64" s="980" t="e">
        <f t="shared" si="17"/>
        <v>#VALUE!</v>
      </c>
      <c r="N64" s="980" t="e">
        <f t="shared" si="17"/>
        <v>#VALUE!</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t="s">
        <v>3961</v>
      </c>
      <c r="D65" s="981">
        <f t="shared" si="13"/>
        <v>0</v>
      </c>
      <c r="E65" s="685"/>
      <c r="F65" s="1652"/>
      <c r="G65" s="979" t="str">
        <f t="shared" si="18"/>
        <v>——</v>
      </c>
      <c r="H65" s="982" t="str">
        <f t="shared" si="14"/>
        <v>——</v>
      </c>
      <c r="I65" s="3041">
        <v>0.05</v>
      </c>
      <c r="J65" s="980" t="e">
        <f t="shared" si="15"/>
        <v>#VALUE!</v>
      </c>
      <c r="K65" s="980" t="e">
        <f t="shared" si="16"/>
        <v>#VALUE!</v>
      </c>
      <c r="L65" s="980">
        <v>0</v>
      </c>
      <c r="M65" s="980" t="e">
        <f t="shared" si="17"/>
        <v>#VALUE!</v>
      </c>
      <c r="N65" s="980" t="e">
        <f t="shared" si="17"/>
        <v>#VALUE!</v>
      </c>
      <c r="AA65" s="1035"/>
      <c r="AB65" s="1035"/>
      <c r="AC65" s="1035"/>
      <c r="AD65" s="1035"/>
      <c r="AE65" s="1035"/>
      <c r="AF65" s="1035"/>
      <c r="AG65" s="1035"/>
      <c r="AH65" s="1035"/>
      <c r="AI65" s="1035"/>
      <c r="AJ65" s="1035"/>
      <c r="AK65" s="1035"/>
    </row>
    <row r="66" spans="1:37" s="1034" customFormat="1" ht="24">
      <c r="A66" s="1947" t="s">
        <v>2054</v>
      </c>
      <c r="B66" s="1952" t="s">
        <v>2055</v>
      </c>
      <c r="C66" s="1864" t="s">
        <v>3962</v>
      </c>
      <c r="D66" s="981" t="e">
        <f t="shared" si="13"/>
        <v>#VALUE!</v>
      </c>
      <c r="E66" s="685"/>
      <c r="F66" s="1652"/>
      <c r="G66" s="979" t="str">
        <f t="shared" si="18"/>
        <v>——</v>
      </c>
      <c r="H66" s="982" t="str">
        <f t="shared" si="14"/>
        <v>——</v>
      </c>
      <c r="I66" s="3041">
        <v>0.06</v>
      </c>
      <c r="J66" s="980" t="e">
        <f t="shared" si="15"/>
        <v>#VALUE!</v>
      </c>
      <c r="K66" s="980" t="e">
        <f t="shared" si="16"/>
        <v>#VALUE!</v>
      </c>
      <c r="L66" s="980">
        <v>0</v>
      </c>
      <c r="M66" s="980" t="e">
        <f t="shared" si="17"/>
        <v>#VALUE!</v>
      </c>
      <c r="N66" s="980" t="e">
        <f t="shared" si="17"/>
        <v>#VALUE!</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t="s">
        <v>3962</v>
      </c>
      <c r="D67" s="981" t="e">
        <f t="shared" si="13"/>
        <v>#VALUE!</v>
      </c>
      <c r="E67" s="685"/>
      <c r="F67" s="1652"/>
      <c r="G67" s="979" t="str">
        <f t="shared" si="18"/>
        <v>——</v>
      </c>
      <c r="H67" s="982" t="str">
        <f t="shared" si="14"/>
        <v>——</v>
      </c>
      <c r="I67" s="3041">
        <v>0.06</v>
      </c>
      <c r="J67" s="980" t="e">
        <f t="shared" si="15"/>
        <v>#VALUE!</v>
      </c>
      <c r="K67" s="980" t="e">
        <f t="shared" si="16"/>
        <v>#VALUE!</v>
      </c>
      <c r="L67" s="980">
        <v>0</v>
      </c>
      <c r="M67" s="980" t="e">
        <f t="shared" si="17"/>
        <v>#VALUE!</v>
      </c>
      <c r="N67" s="980" t="e">
        <f t="shared" si="17"/>
        <v>#VALUE!</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t="s">
        <v>3963</v>
      </c>
      <c r="D68" s="981" t="e">
        <f t="shared" si="13"/>
        <v>#VALUE!</v>
      </c>
      <c r="E68" s="685"/>
      <c r="F68" s="1652"/>
      <c r="G68" s="979" t="str">
        <f t="shared" si="18"/>
        <v>——</v>
      </c>
      <c r="H68" s="982" t="str">
        <f t="shared" si="14"/>
        <v>——</v>
      </c>
      <c r="I68" s="3041">
        <v>0.09</v>
      </c>
      <c r="J68" s="980" t="e">
        <f t="shared" si="15"/>
        <v>#VALUE!</v>
      </c>
      <c r="K68" s="980" t="e">
        <f t="shared" si="16"/>
        <v>#VALUE!</v>
      </c>
      <c r="L68" s="980">
        <v>0</v>
      </c>
      <c r="M68" s="980" t="e">
        <f t="shared" si="17"/>
        <v>#VALUE!</v>
      </c>
      <c r="N68" s="980" t="e">
        <f t="shared" si="17"/>
        <v>#VALUE!</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t="s">
        <v>3962</v>
      </c>
      <c r="D69" s="981" t="e">
        <f t="shared" si="13"/>
        <v>#VALUE!</v>
      </c>
      <c r="E69" s="686"/>
      <c r="F69" s="1652"/>
      <c r="G69" s="979" t="str">
        <f t="shared" si="18"/>
        <v>——</v>
      </c>
      <c r="H69" s="982" t="str">
        <f t="shared" si="14"/>
        <v>——</v>
      </c>
      <c r="I69" s="3042">
        <v>7.0000000000000007E-2</v>
      </c>
      <c r="J69" s="980" t="e">
        <f t="shared" si="15"/>
        <v>#VALUE!</v>
      </c>
      <c r="K69" s="980" t="e">
        <f t="shared" si="16"/>
        <v>#VALUE!</v>
      </c>
      <c r="L69" s="980">
        <v>0</v>
      </c>
      <c r="M69" s="980" t="e">
        <f t="shared" si="17"/>
        <v>#VALUE!</v>
      </c>
      <c r="N69" s="980" t="e">
        <f t="shared" si="17"/>
        <v>#VALUE!</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9">SUMIF($J$71:$N$71,C72,J72:N72)</f>
        <v>0</v>
      </c>
      <c r="E72" s="684">
        <f>ROUND(SUM(D72:D80),4)</f>
        <v>0</v>
      </c>
      <c r="F72" s="1652" t="str">
        <f>IF(E2="住宅",SUMIF(L1:L12,G2,N1:N12),"——")</f>
        <v>——</v>
      </c>
      <c r="G72" s="979"/>
      <c r="H72" s="982" t="str">
        <f t="shared" ref="H72:H80" si="20">IFERROR(ROUNDDOWN($F$72*I72/2,4),"——")</f>
        <v>——</v>
      </c>
      <c r="I72" s="3041">
        <v>0.2</v>
      </c>
      <c r="J72" s="980">
        <f t="shared" ref="J72:J80" si="21">K72+$G72</f>
        <v>0</v>
      </c>
      <c r="K72" s="980">
        <f t="shared" ref="K72:K80" si="22">$L72+$G72</f>
        <v>0</v>
      </c>
      <c r="L72" s="980">
        <v>0</v>
      </c>
      <c r="M72" s="980">
        <f t="shared" ref="M72:N80" si="23">L72-$G72</f>
        <v>0</v>
      </c>
      <c r="N72" s="980">
        <f t="shared" si="23"/>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9"/>
        <v>0</v>
      </c>
      <c r="E73" s="687"/>
      <c r="F73" s="1652"/>
      <c r="G73" s="979"/>
      <c r="H73" s="982" t="str">
        <f t="shared" si="20"/>
        <v>——</v>
      </c>
      <c r="I73" s="3041">
        <v>0.26</v>
      </c>
      <c r="J73" s="980">
        <f t="shared" si="21"/>
        <v>0</v>
      </c>
      <c r="K73" s="980">
        <f t="shared" si="22"/>
        <v>0</v>
      </c>
      <c r="L73" s="980">
        <v>0</v>
      </c>
      <c r="M73" s="980">
        <f t="shared" si="23"/>
        <v>0</v>
      </c>
      <c r="N73" s="980">
        <f t="shared" si="23"/>
        <v>0</v>
      </c>
      <c r="AA73" s="1035"/>
      <c r="AB73" s="1035"/>
      <c r="AC73" s="1035"/>
      <c r="AD73" s="1035"/>
      <c r="AE73" s="1035"/>
      <c r="AF73" s="1035"/>
      <c r="AG73" s="1035"/>
      <c r="AH73" s="1035"/>
      <c r="AI73" s="1035"/>
      <c r="AJ73" s="1035"/>
      <c r="AK73" s="1035"/>
    </row>
    <row r="74" spans="1:37" s="1821" customFormat="1" ht="36">
      <c r="A74" s="3043" t="s">
        <v>3251</v>
      </c>
      <c r="B74" s="1240">
        <f>估价对象房地状况!C19</f>
        <v>0</v>
      </c>
      <c r="C74" s="1864"/>
      <c r="D74" s="981">
        <f t="shared" si="19"/>
        <v>0</v>
      </c>
      <c r="E74" s="687"/>
      <c r="F74" s="1652"/>
      <c r="G74" s="979"/>
      <c r="H74" s="982" t="str">
        <f t="shared" si="20"/>
        <v>——</v>
      </c>
      <c r="I74" s="3041">
        <v>0.1</v>
      </c>
      <c r="J74" s="980">
        <f t="shared" si="21"/>
        <v>0</v>
      </c>
      <c r="K74" s="980">
        <f t="shared" si="22"/>
        <v>0</v>
      </c>
      <c r="L74" s="980">
        <v>0</v>
      </c>
      <c r="M74" s="980">
        <f t="shared" si="23"/>
        <v>0</v>
      </c>
      <c r="N74" s="980">
        <f t="shared" si="23"/>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9"/>
        <v>0</v>
      </c>
      <c r="E75" s="687"/>
      <c r="F75" s="1652"/>
      <c r="G75" s="979"/>
      <c r="H75" s="982" t="str">
        <f t="shared" si="20"/>
        <v>——</v>
      </c>
      <c r="I75" s="3041">
        <v>0.05</v>
      </c>
      <c r="J75" s="980">
        <f t="shared" si="21"/>
        <v>0</v>
      </c>
      <c r="K75" s="980">
        <f t="shared" si="22"/>
        <v>0</v>
      </c>
      <c r="L75" s="980">
        <v>0</v>
      </c>
      <c r="M75" s="980">
        <f t="shared" si="23"/>
        <v>0</v>
      </c>
      <c r="N75" s="980">
        <f t="shared" si="23"/>
        <v>0</v>
      </c>
      <c r="O75" s="1034"/>
      <c r="P75" s="1034"/>
      <c r="Q75" s="1821"/>
      <c r="Z75" s="1822"/>
      <c r="AA75" s="1872"/>
      <c r="AG75" s="1036"/>
      <c r="AK75" s="1872"/>
    </row>
    <row r="76" spans="1:37" ht="24">
      <c r="A76" s="1947" t="s">
        <v>2056</v>
      </c>
      <c r="B76" s="1218">
        <f>估价对象房地状况!C21</f>
        <v>0</v>
      </c>
      <c r="C76" s="1864"/>
      <c r="D76" s="981">
        <f t="shared" si="19"/>
        <v>0</v>
      </c>
      <c r="E76" s="687"/>
      <c r="F76" s="1652"/>
      <c r="G76" s="979"/>
      <c r="H76" s="982" t="str">
        <f t="shared" si="20"/>
        <v>——</v>
      </c>
      <c r="I76" s="3041">
        <v>0.08</v>
      </c>
      <c r="J76" s="980">
        <f t="shared" si="21"/>
        <v>0</v>
      </c>
      <c r="K76" s="980">
        <f t="shared" si="22"/>
        <v>0</v>
      </c>
      <c r="L76" s="980">
        <v>0</v>
      </c>
      <c r="M76" s="980">
        <f t="shared" si="23"/>
        <v>0</v>
      </c>
      <c r="N76" s="980">
        <f t="shared" si="23"/>
        <v>0</v>
      </c>
      <c r="O76" s="1034"/>
      <c r="P76" s="1034"/>
      <c r="Z76" s="1822"/>
      <c r="AA76" s="1872"/>
      <c r="AG76" s="1036"/>
      <c r="AK76" s="1872"/>
    </row>
    <row r="77" spans="1:37" ht="24">
      <c r="A77" s="1947" t="s">
        <v>2057</v>
      </c>
      <c r="B77" s="1218">
        <f>估价对象房地状况!C22</f>
        <v>0</v>
      </c>
      <c r="C77" s="1864"/>
      <c r="D77" s="981">
        <f t="shared" si="19"/>
        <v>0</v>
      </c>
      <c r="E77" s="687"/>
      <c r="F77" s="1652"/>
      <c r="G77" s="979"/>
      <c r="H77" s="982" t="str">
        <f t="shared" si="20"/>
        <v>——</v>
      </c>
      <c r="I77" s="3041">
        <v>0.09</v>
      </c>
      <c r="J77" s="980">
        <f t="shared" si="21"/>
        <v>0</v>
      </c>
      <c r="K77" s="980">
        <f t="shared" si="22"/>
        <v>0</v>
      </c>
      <c r="L77" s="980">
        <v>0</v>
      </c>
      <c r="M77" s="980">
        <f t="shared" si="23"/>
        <v>0</v>
      </c>
      <c r="N77" s="980">
        <f t="shared" si="23"/>
        <v>0</v>
      </c>
      <c r="O77" s="1034"/>
      <c r="P77" s="1034"/>
      <c r="Z77" s="1822"/>
      <c r="AA77" s="1872"/>
      <c r="AG77" s="1036"/>
      <c r="AK77" s="1872"/>
    </row>
    <row r="78" spans="1:37" ht="24">
      <c r="A78" s="1947" t="s">
        <v>2054</v>
      </c>
      <c r="B78" s="1952" t="s">
        <v>2055</v>
      </c>
      <c r="C78" s="1864"/>
      <c r="D78" s="981">
        <f t="shared" si="19"/>
        <v>0</v>
      </c>
      <c r="E78" s="687"/>
      <c r="F78" s="1652"/>
      <c r="G78" s="979"/>
      <c r="H78" s="982" t="str">
        <f t="shared" si="20"/>
        <v>——</v>
      </c>
      <c r="I78" s="3041">
        <v>0.05</v>
      </c>
      <c r="J78" s="980">
        <f t="shared" si="21"/>
        <v>0</v>
      </c>
      <c r="K78" s="980">
        <f t="shared" si="22"/>
        <v>0</v>
      </c>
      <c r="L78" s="980">
        <v>0</v>
      </c>
      <c r="M78" s="980">
        <f t="shared" si="23"/>
        <v>0</v>
      </c>
      <c r="N78" s="980">
        <f t="shared" si="23"/>
        <v>0</v>
      </c>
      <c r="O78" s="1821"/>
      <c r="P78" s="1821"/>
      <c r="Z78" s="1822"/>
      <c r="AA78" s="1872"/>
      <c r="AG78" s="1036"/>
      <c r="AK78" s="1872"/>
    </row>
    <row r="79" spans="1:37" ht="24">
      <c r="A79" s="1947" t="s">
        <v>2058</v>
      </c>
      <c r="B79" s="1950">
        <f>估价对象房地状况!C20</f>
        <v>0</v>
      </c>
      <c r="C79" s="1864"/>
      <c r="D79" s="981">
        <f t="shared" si="19"/>
        <v>0</v>
      </c>
      <c r="E79" s="687"/>
      <c r="F79" s="1652"/>
      <c r="G79" s="979"/>
      <c r="H79" s="982" t="str">
        <f t="shared" si="20"/>
        <v>——</v>
      </c>
      <c r="I79" s="3041">
        <v>0.12</v>
      </c>
      <c r="J79" s="980">
        <f t="shared" si="21"/>
        <v>0</v>
      </c>
      <c r="K79" s="980">
        <f t="shared" si="22"/>
        <v>0</v>
      </c>
      <c r="L79" s="980">
        <v>0</v>
      </c>
      <c r="M79" s="980">
        <f t="shared" si="23"/>
        <v>0</v>
      </c>
      <c r="N79" s="980">
        <f t="shared" si="23"/>
        <v>0</v>
      </c>
      <c r="Z79" s="1822"/>
      <c r="AA79" s="1872"/>
      <c r="AG79" s="1036"/>
      <c r="AK79" s="1872"/>
    </row>
    <row r="80" spans="1:37" ht="24.75" thickBot="1">
      <c r="A80" s="1954" t="s">
        <v>2065</v>
      </c>
      <c r="B80" s="1958"/>
      <c r="C80" s="1864"/>
      <c r="D80" s="981">
        <f t="shared" si="19"/>
        <v>0</v>
      </c>
      <c r="E80" s="688"/>
      <c r="F80" s="1652"/>
      <c r="G80" s="979"/>
      <c r="H80" s="982" t="str">
        <f t="shared" si="20"/>
        <v>——</v>
      </c>
      <c r="I80" s="3042">
        <v>0.05</v>
      </c>
      <c r="J80" s="980">
        <f t="shared" si="21"/>
        <v>0</v>
      </c>
      <c r="K80" s="980">
        <f t="shared" si="22"/>
        <v>0</v>
      </c>
      <c r="L80" s="980">
        <v>0</v>
      </c>
      <c r="M80" s="980">
        <f t="shared" si="23"/>
        <v>0</v>
      </c>
      <c r="N80" s="980">
        <f t="shared" si="23"/>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4">SUMIF($J$82:$N$82,C83,J83:N83)</f>
        <v>0</v>
      </c>
      <c r="E83" s="684">
        <f>ROUND(SUM(D83:D90),4)</f>
        <v>0</v>
      </c>
      <c r="F83" s="1652" t="str">
        <f>IF(E2="工业",SUMIF(L1:L12,G2,N1:N12),"——")</f>
        <v>——</v>
      </c>
      <c r="G83" s="979"/>
      <c r="H83" s="982" t="str">
        <f t="shared" ref="H83:H90" si="25">IFERROR(ROUNDDOWN($F$83*I83/2,4),"——")</f>
        <v>——</v>
      </c>
      <c r="I83" s="3041">
        <v>0.26</v>
      </c>
      <c r="J83" s="980">
        <f t="shared" ref="J83:J90" si="26">K83+$G83</f>
        <v>0</v>
      </c>
      <c r="K83" s="980">
        <f t="shared" ref="K83:K90" si="27">$L83+$G83</f>
        <v>0</v>
      </c>
      <c r="L83" s="980">
        <v>0</v>
      </c>
      <c r="M83" s="980">
        <f t="shared" ref="M83:N90" si="28">L83-$G83</f>
        <v>0</v>
      </c>
      <c r="N83" s="980">
        <f t="shared" si="28"/>
        <v>0</v>
      </c>
      <c r="Z83" s="1822"/>
      <c r="AA83" s="1872"/>
      <c r="AG83" s="1036"/>
      <c r="AK83" s="1872"/>
    </row>
    <row r="84" spans="1:37" ht="14.25">
      <c r="A84" s="1947" t="s">
        <v>2050</v>
      </c>
      <c r="B84" s="1240">
        <f>估价对象房地状况!G16</f>
        <v>0</v>
      </c>
      <c r="C84" s="1864"/>
      <c r="D84" s="981">
        <f t="shared" si="24"/>
        <v>0</v>
      </c>
      <c r="E84" s="687"/>
      <c r="F84" s="1652"/>
      <c r="G84" s="979"/>
      <c r="H84" s="982" t="str">
        <f t="shared" si="25"/>
        <v>——</v>
      </c>
      <c r="I84" s="3041">
        <v>0.3</v>
      </c>
      <c r="J84" s="980">
        <f t="shared" si="26"/>
        <v>0</v>
      </c>
      <c r="K84" s="980">
        <f t="shared" si="27"/>
        <v>0</v>
      </c>
      <c r="L84" s="980">
        <v>0</v>
      </c>
      <c r="M84" s="980">
        <f t="shared" si="28"/>
        <v>0</v>
      </c>
      <c r="N84" s="980">
        <f t="shared" si="28"/>
        <v>0</v>
      </c>
      <c r="Z84" s="1822"/>
      <c r="AA84" s="1872"/>
      <c r="AG84" s="1036"/>
      <c r="AK84" s="1872"/>
    </row>
    <row r="85" spans="1:37" ht="36">
      <c r="A85" s="3043" t="s">
        <v>3251</v>
      </c>
      <c r="B85" s="1240">
        <f>估价对象房地状况!G17</f>
        <v>0</v>
      </c>
      <c r="C85" s="1864"/>
      <c r="D85" s="981">
        <f t="shared" si="24"/>
        <v>0</v>
      </c>
      <c r="E85" s="687"/>
      <c r="F85" s="1652"/>
      <c r="G85" s="979"/>
      <c r="H85" s="982" t="str">
        <f t="shared" si="25"/>
        <v>——</v>
      </c>
      <c r="I85" s="3041">
        <v>0.1</v>
      </c>
      <c r="J85" s="980">
        <f t="shared" si="26"/>
        <v>0</v>
      </c>
      <c r="K85" s="980">
        <f t="shared" si="27"/>
        <v>0</v>
      </c>
      <c r="L85" s="980">
        <v>0</v>
      </c>
      <c r="M85" s="980">
        <f t="shared" si="28"/>
        <v>0</v>
      </c>
      <c r="N85" s="980">
        <f t="shared" si="28"/>
        <v>0</v>
      </c>
      <c r="Z85" s="1822"/>
      <c r="AA85" s="1872"/>
      <c r="AG85" s="1036"/>
      <c r="AK85" s="1872"/>
    </row>
    <row r="86" spans="1:37" ht="14.25">
      <c r="A86" s="1947" t="s">
        <v>2064</v>
      </c>
      <c r="B86" s="1240">
        <f>估价对象房地状况!G22</f>
        <v>0</v>
      </c>
      <c r="C86" s="1864"/>
      <c r="D86" s="981">
        <f t="shared" si="24"/>
        <v>0</v>
      </c>
      <c r="E86" s="687"/>
      <c r="F86" s="1652"/>
      <c r="G86" s="979"/>
      <c r="H86" s="982" t="str">
        <f t="shared" si="25"/>
        <v>——</v>
      </c>
      <c r="I86" s="3041">
        <v>0.05</v>
      </c>
      <c r="J86" s="980">
        <f t="shared" si="26"/>
        <v>0</v>
      </c>
      <c r="K86" s="980">
        <f t="shared" si="27"/>
        <v>0</v>
      </c>
      <c r="L86" s="980">
        <v>0</v>
      </c>
      <c r="M86" s="980">
        <f t="shared" si="28"/>
        <v>0</v>
      </c>
      <c r="N86" s="980">
        <f t="shared" si="28"/>
        <v>0</v>
      </c>
      <c r="Z86" s="1822"/>
      <c r="AA86" s="1872"/>
      <c r="AG86" s="1036"/>
      <c r="AK86" s="1872"/>
    </row>
    <row r="87" spans="1:37" ht="24">
      <c r="A87" s="1947" t="s">
        <v>2056</v>
      </c>
      <c r="B87" s="1218">
        <f>估价对象房地状况!G19</f>
        <v>0</v>
      </c>
      <c r="C87" s="1864"/>
      <c r="D87" s="981">
        <f t="shared" si="24"/>
        <v>0</v>
      </c>
      <c r="E87" s="687"/>
      <c r="F87" s="1652"/>
      <c r="G87" s="979"/>
      <c r="H87" s="982" t="str">
        <f t="shared" si="25"/>
        <v>——</v>
      </c>
      <c r="I87" s="3041">
        <v>0.06</v>
      </c>
      <c r="J87" s="980">
        <f t="shared" si="26"/>
        <v>0</v>
      </c>
      <c r="K87" s="980">
        <f t="shared" si="27"/>
        <v>0</v>
      </c>
      <c r="L87" s="980">
        <v>0</v>
      </c>
      <c r="M87" s="980">
        <f t="shared" si="28"/>
        <v>0</v>
      </c>
      <c r="N87" s="980">
        <f t="shared" si="28"/>
        <v>0</v>
      </c>
    </row>
    <row r="88" spans="1:37" ht="24">
      <c r="A88" s="1947" t="s">
        <v>2057</v>
      </c>
      <c r="B88" s="1218">
        <f>估价对象房地状况!G20</f>
        <v>0</v>
      </c>
      <c r="C88" s="1864"/>
      <c r="D88" s="981">
        <f t="shared" si="24"/>
        <v>0</v>
      </c>
      <c r="E88" s="687"/>
      <c r="F88" s="1652"/>
      <c r="G88" s="979"/>
      <c r="H88" s="982" t="str">
        <f t="shared" si="25"/>
        <v>——</v>
      </c>
      <c r="I88" s="3041">
        <v>0.12</v>
      </c>
      <c r="J88" s="980">
        <f t="shared" si="26"/>
        <v>0</v>
      </c>
      <c r="K88" s="980">
        <f t="shared" si="27"/>
        <v>0</v>
      </c>
      <c r="L88" s="980">
        <v>0</v>
      </c>
      <c r="M88" s="980">
        <f t="shared" si="28"/>
        <v>0</v>
      </c>
      <c r="N88" s="980">
        <f t="shared" si="28"/>
        <v>0</v>
      </c>
    </row>
    <row r="89" spans="1:37" ht="24">
      <c r="A89" s="1947" t="s">
        <v>2054</v>
      </c>
      <c r="B89" s="1952" t="s">
        <v>2068</v>
      </c>
      <c r="C89" s="1864"/>
      <c r="D89" s="981">
        <f t="shared" si="24"/>
        <v>0</v>
      </c>
      <c r="E89" s="687"/>
      <c r="F89" s="1652"/>
      <c r="G89" s="979"/>
      <c r="H89" s="982" t="str">
        <f t="shared" si="25"/>
        <v>——</v>
      </c>
      <c r="I89" s="3041">
        <v>0.06</v>
      </c>
      <c r="J89" s="980">
        <f t="shared" si="26"/>
        <v>0</v>
      </c>
      <c r="K89" s="980">
        <f t="shared" si="27"/>
        <v>0</v>
      </c>
      <c r="L89" s="980">
        <v>0</v>
      </c>
      <c r="M89" s="980">
        <f t="shared" si="28"/>
        <v>0</v>
      </c>
      <c r="N89" s="980">
        <f t="shared" si="28"/>
        <v>0</v>
      </c>
    </row>
    <row r="90" spans="1:37" ht="15" thickBot="1">
      <c r="A90" s="1954" t="s">
        <v>2069</v>
      </c>
      <c r="B90" s="1959">
        <f>估价对象房地状况!G18</f>
        <v>0</v>
      </c>
      <c r="C90" s="1864"/>
      <c r="D90" s="981">
        <f t="shared" si="24"/>
        <v>0</v>
      </c>
      <c r="E90" s="688"/>
      <c r="F90" s="1652"/>
      <c r="G90" s="979"/>
      <c r="H90" s="982" t="str">
        <f t="shared" si="25"/>
        <v>——</v>
      </c>
      <c r="I90" s="3042">
        <v>0.05</v>
      </c>
      <c r="J90" s="980">
        <f t="shared" si="26"/>
        <v>0</v>
      </c>
      <c r="K90" s="980">
        <f t="shared" si="27"/>
        <v>0</v>
      </c>
      <c r="L90" s="980">
        <v>0</v>
      </c>
      <c r="M90" s="980">
        <f t="shared" si="28"/>
        <v>0</v>
      </c>
      <c r="N90" s="980">
        <f t="shared" si="28"/>
        <v>0</v>
      </c>
    </row>
    <row r="91" spans="1:37" ht="15">
      <c r="A91" s="3051" t="s">
        <v>2596</v>
      </c>
      <c r="B91" s="3052">
        <f>1+E93</f>
        <v>1.0444</v>
      </c>
      <c r="C91" s="3045"/>
      <c r="D91" s="3046"/>
      <c r="E91" s="1652"/>
      <c r="F91" s="1652"/>
      <c r="G91" s="3047"/>
      <c r="H91" s="3048"/>
      <c r="I91" s="3049"/>
      <c r="J91" s="3050"/>
      <c r="K91" s="3050"/>
      <c r="L91" s="3050"/>
      <c r="M91" s="3050"/>
      <c r="N91" s="3050"/>
    </row>
    <row r="92" spans="1:37" ht="24.75">
      <c r="A92" s="3053" t="s">
        <v>2041</v>
      </c>
      <c r="B92" s="2287"/>
      <c r="C92" s="2287" t="s">
        <v>2043</v>
      </c>
      <c r="D92" s="2287" t="s">
        <v>2044</v>
      </c>
      <c r="E92" s="3025" t="s">
        <v>2045</v>
      </c>
      <c r="F92" s="3055" t="s">
        <v>3265</v>
      </c>
      <c r="G92" s="2287" t="s">
        <v>1986</v>
      </c>
      <c r="H92" s="3062" t="s">
        <v>3269</v>
      </c>
      <c r="I92" s="2287" t="s">
        <v>2048</v>
      </c>
      <c r="J92" s="2127" t="s">
        <v>1718</v>
      </c>
      <c r="K92" s="2127" t="s">
        <v>1719</v>
      </c>
      <c r="L92" s="2127" t="s">
        <v>1720</v>
      </c>
      <c r="M92" s="2127" t="s">
        <v>1721</v>
      </c>
      <c r="N92" s="2127" t="s">
        <v>1722</v>
      </c>
    </row>
    <row r="93" spans="1:37" ht="24">
      <c r="A93" s="3043" t="s">
        <v>3254</v>
      </c>
      <c r="B93" s="1199"/>
      <c r="C93" s="1864" t="s">
        <v>3962</v>
      </c>
      <c r="D93" s="2287">
        <f>SUMIF($J$92:$N$92,C93,J93:N93)</f>
        <v>1.43E-2</v>
      </c>
      <c r="E93" s="3056">
        <f>ROUND(SUM(D93:D101),4)</f>
        <v>4.4400000000000002E-2</v>
      </c>
      <c r="F93" s="1652">
        <f>IF(E2="公共服务",SUMIF(L1:L12,G2,N1:N12),"——")</f>
        <v>0.115</v>
      </c>
      <c r="G93" s="3047">
        <f>H93</f>
        <v>1.43E-2</v>
      </c>
      <c r="H93" s="3092">
        <f>IFERROR(ROUNDDOWN($F$93*I93/2,4),"——")</f>
        <v>1.43E-2</v>
      </c>
      <c r="I93" s="3041">
        <v>0.25</v>
      </c>
      <c r="J93" s="1889">
        <f t="shared" ref="J93:J101" si="29">K93+$G93</f>
        <v>2.86E-2</v>
      </c>
      <c r="K93" s="1889">
        <f t="shared" ref="K93:K101" si="30">$L93+$G93</f>
        <v>1.43E-2</v>
      </c>
      <c r="L93" s="1889">
        <v>0</v>
      </c>
      <c r="M93" s="1889">
        <f t="shared" ref="M93:N101" si="31">L93-$G93</f>
        <v>-1.43E-2</v>
      </c>
      <c r="N93" s="1889">
        <f t="shared" si="31"/>
        <v>-2.86E-2</v>
      </c>
    </row>
    <row r="94" spans="1:37" ht="14.25">
      <c r="A94" s="3053" t="s">
        <v>2050</v>
      </c>
      <c r="B94" s="3044">
        <f>估价对象房地状况!C18</f>
        <v>0</v>
      </c>
      <c r="C94" s="1864" t="s">
        <v>3961</v>
      </c>
      <c r="D94" s="2287">
        <f t="shared" ref="D94:D101" si="32">SUMIF($J$60:$N$60,C94,J94:N94)</f>
        <v>0</v>
      </c>
      <c r="E94" s="3057"/>
      <c r="F94" s="1652"/>
      <c r="G94" s="3047">
        <f t="shared" ref="G94:G101" si="33">H94</f>
        <v>1.49E-2</v>
      </c>
      <c r="H94" s="3092">
        <f>IFERROR(ROUNDDOWN($F$93*I94/2,4),"——")</f>
        <v>1.49E-2</v>
      </c>
      <c r="I94" s="3041">
        <v>0.26</v>
      </c>
      <c r="J94" s="1889">
        <f t="shared" si="29"/>
        <v>2.98E-2</v>
      </c>
      <c r="K94" s="1889">
        <f t="shared" si="30"/>
        <v>1.49E-2</v>
      </c>
      <c r="L94" s="1889">
        <v>0</v>
      </c>
      <c r="M94" s="1889">
        <f t="shared" si="31"/>
        <v>-1.49E-2</v>
      </c>
      <c r="N94" s="1889">
        <f t="shared" si="31"/>
        <v>-2.98E-2</v>
      </c>
    </row>
    <row r="95" spans="1:37" ht="36">
      <c r="A95" s="3043" t="s">
        <v>3251</v>
      </c>
      <c r="B95" s="3044">
        <f>估价对象房地状况!C19</f>
        <v>0</v>
      </c>
      <c r="C95" s="1864" t="s">
        <v>3962</v>
      </c>
      <c r="D95" s="2287">
        <f t="shared" si="32"/>
        <v>6.3E-3</v>
      </c>
      <c r="E95" s="3057"/>
      <c r="F95" s="1652"/>
      <c r="G95" s="3047">
        <f t="shared" si="33"/>
        <v>6.3E-3</v>
      </c>
      <c r="H95" s="3092">
        <f t="shared" ref="H95:H101" si="34">IFERROR(ROUNDDOWN($F$93*I95/2,4),"——")</f>
        <v>6.3E-3</v>
      </c>
      <c r="I95" s="3041">
        <v>0.11</v>
      </c>
      <c r="J95" s="1889">
        <f t="shared" si="29"/>
        <v>1.26E-2</v>
      </c>
      <c r="K95" s="1889">
        <f t="shared" si="30"/>
        <v>6.3E-3</v>
      </c>
      <c r="L95" s="1889">
        <v>0</v>
      </c>
      <c r="M95" s="1889">
        <f t="shared" si="31"/>
        <v>-6.3E-3</v>
      </c>
      <c r="N95" s="1889">
        <f t="shared" si="31"/>
        <v>-1.26E-2</v>
      </c>
    </row>
    <row r="96" spans="1:37" ht="36.75">
      <c r="A96" s="3053" t="s">
        <v>2051</v>
      </c>
      <c r="B96" s="3059" t="s">
        <v>3267</v>
      </c>
      <c r="C96" s="1864" t="s">
        <v>3962</v>
      </c>
      <c r="D96" s="2287">
        <f t="shared" si="32"/>
        <v>2.8E-3</v>
      </c>
      <c r="E96" s="3057"/>
      <c r="F96" s="1652"/>
      <c r="G96" s="3047">
        <f t="shared" si="33"/>
        <v>2.8E-3</v>
      </c>
      <c r="H96" s="3092">
        <f t="shared" si="34"/>
        <v>2.8E-3</v>
      </c>
      <c r="I96" s="3041">
        <v>0.05</v>
      </c>
      <c r="J96" s="1889">
        <f t="shared" si="29"/>
        <v>5.5999999999999999E-3</v>
      </c>
      <c r="K96" s="1889">
        <f t="shared" si="30"/>
        <v>2.8E-3</v>
      </c>
      <c r="L96" s="1889">
        <v>0</v>
      </c>
      <c r="M96" s="1889">
        <f t="shared" si="31"/>
        <v>-2.8E-3</v>
      </c>
      <c r="N96" s="1889">
        <f t="shared" si="31"/>
        <v>-5.5999999999999999E-3</v>
      </c>
    </row>
    <row r="97" spans="1:14" ht="24">
      <c r="A97" s="3053" t="s">
        <v>2053</v>
      </c>
      <c r="B97" s="3044">
        <f>估价对象房地状况!C24</f>
        <v>0</v>
      </c>
      <c r="C97" s="1864" t="s">
        <v>3961</v>
      </c>
      <c r="D97" s="2287">
        <f t="shared" si="32"/>
        <v>0</v>
      </c>
      <c r="E97" s="3057"/>
      <c r="F97" s="1652"/>
      <c r="G97" s="3047">
        <f t="shared" si="33"/>
        <v>2.8E-3</v>
      </c>
      <c r="H97" s="3092">
        <f t="shared" si="34"/>
        <v>2.8E-3</v>
      </c>
      <c r="I97" s="3041">
        <v>0.05</v>
      </c>
      <c r="J97" s="1889">
        <f t="shared" si="29"/>
        <v>5.5999999999999999E-3</v>
      </c>
      <c r="K97" s="1889">
        <f t="shared" si="30"/>
        <v>2.8E-3</v>
      </c>
      <c r="L97" s="1889">
        <v>0</v>
      </c>
      <c r="M97" s="1889">
        <f t="shared" si="31"/>
        <v>-2.8E-3</v>
      </c>
      <c r="N97" s="1889">
        <f t="shared" si="31"/>
        <v>-5.5999999999999999E-3</v>
      </c>
    </row>
    <row r="98" spans="1:14" ht="24">
      <c r="A98" s="3053" t="s">
        <v>2054</v>
      </c>
      <c r="B98" s="3060" t="s">
        <v>3268</v>
      </c>
      <c r="C98" s="1864" t="s">
        <v>3962</v>
      </c>
      <c r="D98" s="2287">
        <f t="shared" si="32"/>
        <v>3.3999999999999998E-3</v>
      </c>
      <c r="E98" s="3057"/>
      <c r="F98" s="1652"/>
      <c r="G98" s="3047">
        <f t="shared" si="33"/>
        <v>3.3999999999999998E-3</v>
      </c>
      <c r="H98" s="3092">
        <f t="shared" si="34"/>
        <v>3.3999999999999998E-3</v>
      </c>
      <c r="I98" s="3041">
        <v>0.06</v>
      </c>
      <c r="J98" s="1889">
        <f t="shared" si="29"/>
        <v>6.7999999999999996E-3</v>
      </c>
      <c r="K98" s="1889">
        <f t="shared" si="30"/>
        <v>3.3999999999999998E-3</v>
      </c>
      <c r="L98" s="1889">
        <v>0</v>
      </c>
      <c r="M98" s="1889">
        <f t="shared" si="31"/>
        <v>-3.3999999999999998E-3</v>
      </c>
      <c r="N98" s="1889">
        <f t="shared" si="31"/>
        <v>-6.7999999999999996E-3</v>
      </c>
    </row>
    <row r="99" spans="1:14" ht="24">
      <c r="A99" s="3053" t="s">
        <v>2056</v>
      </c>
      <c r="B99" s="3044">
        <f>估价对象房地状况!C21</f>
        <v>0</v>
      </c>
      <c r="C99" s="1864" t="s">
        <v>3962</v>
      </c>
      <c r="D99" s="2287">
        <f t="shared" si="32"/>
        <v>3.3999999999999998E-3</v>
      </c>
      <c r="E99" s="3057"/>
      <c r="F99" s="1652"/>
      <c r="G99" s="3047">
        <f t="shared" si="33"/>
        <v>3.3999999999999998E-3</v>
      </c>
      <c r="H99" s="3092">
        <f t="shared" si="34"/>
        <v>3.3999999999999998E-3</v>
      </c>
      <c r="I99" s="3041">
        <v>0.06</v>
      </c>
      <c r="J99" s="1889">
        <f t="shared" si="29"/>
        <v>6.7999999999999996E-3</v>
      </c>
      <c r="K99" s="1889">
        <f t="shared" si="30"/>
        <v>3.3999999999999998E-3</v>
      </c>
      <c r="L99" s="1889">
        <v>0</v>
      </c>
      <c r="M99" s="1889">
        <f t="shared" si="31"/>
        <v>-3.3999999999999998E-3</v>
      </c>
      <c r="N99" s="1889">
        <f t="shared" si="31"/>
        <v>-6.7999999999999996E-3</v>
      </c>
    </row>
    <row r="100" spans="1:14" ht="24">
      <c r="A100" s="3053" t="s">
        <v>2057</v>
      </c>
      <c r="B100" s="3044">
        <f>估价对象房地状况!C22</f>
        <v>0</v>
      </c>
      <c r="C100" s="1864" t="s">
        <v>3963</v>
      </c>
      <c r="D100" s="2287">
        <f t="shared" si="32"/>
        <v>1.0200000000000001E-2</v>
      </c>
      <c r="E100" s="3057"/>
      <c r="F100" s="1652"/>
      <c r="G100" s="3047">
        <f t="shared" si="33"/>
        <v>5.1000000000000004E-3</v>
      </c>
      <c r="H100" s="3092">
        <f t="shared" si="34"/>
        <v>5.1000000000000004E-3</v>
      </c>
      <c r="I100" s="3041">
        <v>0.09</v>
      </c>
      <c r="J100" s="1889">
        <f t="shared" si="29"/>
        <v>1.0200000000000001E-2</v>
      </c>
      <c r="K100" s="1889">
        <f t="shared" si="30"/>
        <v>5.1000000000000004E-3</v>
      </c>
      <c r="L100" s="1889">
        <v>0</v>
      </c>
      <c r="M100" s="1889">
        <f t="shared" si="31"/>
        <v>-5.1000000000000004E-3</v>
      </c>
      <c r="N100" s="1889">
        <f t="shared" si="31"/>
        <v>-1.0200000000000001E-2</v>
      </c>
    </row>
    <row r="101" spans="1:14" ht="24.75" thickBot="1">
      <c r="A101" s="3054" t="s">
        <v>2058</v>
      </c>
      <c r="B101" s="3061">
        <f>估价对象房地状况!C20</f>
        <v>0</v>
      </c>
      <c r="C101" s="1864" t="s">
        <v>3962</v>
      </c>
      <c r="D101" s="2287">
        <f t="shared" si="32"/>
        <v>4.0000000000000001E-3</v>
      </c>
      <c r="E101" s="3058"/>
      <c r="F101" s="1652"/>
      <c r="G101" s="3047">
        <f t="shared" si="33"/>
        <v>4.0000000000000001E-3</v>
      </c>
      <c r="H101" s="3092">
        <f t="shared" si="34"/>
        <v>4.0000000000000001E-3</v>
      </c>
      <c r="I101" s="3042">
        <v>7.0000000000000007E-2</v>
      </c>
      <c r="J101" s="1889">
        <f t="shared" si="29"/>
        <v>8.0000000000000002E-3</v>
      </c>
      <c r="K101" s="1889">
        <f t="shared" si="30"/>
        <v>4.0000000000000001E-3</v>
      </c>
      <c r="L101" s="1889">
        <v>0</v>
      </c>
      <c r="M101" s="1889">
        <f t="shared" si="31"/>
        <v>-4.0000000000000001E-3</v>
      </c>
      <c r="N101" s="1889">
        <f t="shared" si="31"/>
        <v>-8.0000000000000002E-3</v>
      </c>
    </row>
    <row r="103" spans="1:14">
      <c r="A103" s="3477" t="s">
        <v>3276</v>
      </c>
      <c r="B103" s="3477"/>
      <c r="C103" s="3477"/>
      <c r="D103" s="3477"/>
      <c r="E103" s="3477"/>
      <c r="F103" s="3477"/>
      <c r="G103" s="3477"/>
      <c r="H103" s="3477"/>
      <c r="I103" s="3477"/>
      <c r="J103" s="3477"/>
      <c r="K103" s="1644"/>
      <c r="L103" s="1644"/>
      <c r="M103" s="1644"/>
      <c r="N103" s="1644"/>
    </row>
    <row r="104" spans="1:14">
      <c r="A104" s="3478" t="s">
        <v>3277</v>
      </c>
      <c r="B104" s="3478" t="s">
        <v>3278</v>
      </c>
      <c r="C104" s="3063" t="s">
        <v>3279</v>
      </c>
      <c r="D104" s="3064"/>
      <c r="E104" s="3064"/>
      <c r="F104" s="3064"/>
      <c r="G104" s="3064"/>
      <c r="H104" s="3064"/>
      <c r="I104" s="3064"/>
      <c r="J104" s="3065"/>
      <c r="K104" s="3066"/>
      <c r="L104" s="3066"/>
      <c r="M104" s="3066"/>
      <c r="N104" s="3066"/>
    </row>
    <row r="105" spans="1:14">
      <c r="A105" s="3478"/>
      <c r="B105" s="3478"/>
      <c r="C105" s="3067" t="s">
        <v>1958</v>
      </c>
      <c r="D105" s="3067" t="s">
        <v>1959</v>
      </c>
      <c r="E105" s="3067" t="s">
        <v>1960</v>
      </c>
      <c r="F105" s="3067" t="s">
        <v>1961</v>
      </c>
      <c r="G105" s="3067" t="s">
        <v>1962</v>
      </c>
      <c r="H105" s="3067" t="s">
        <v>1963</v>
      </c>
      <c r="I105" s="3067" t="s">
        <v>1964</v>
      </c>
      <c r="J105" s="3067" t="s">
        <v>1965</v>
      </c>
      <c r="K105" s="3067" t="s">
        <v>1966</v>
      </c>
      <c r="L105" s="3067" t="s">
        <v>1967</v>
      </c>
      <c r="M105" s="3067" t="s">
        <v>1968</v>
      </c>
      <c r="N105" s="3067" t="s">
        <v>1969</v>
      </c>
    </row>
    <row r="106" spans="1:14">
      <c r="A106" s="3464" t="s">
        <v>3292</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465"/>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465"/>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465"/>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465"/>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465"/>
      <c r="B111" s="3067" t="s">
        <v>3250</v>
      </c>
      <c r="C111" s="3068">
        <f>$I$3</f>
        <v>1</v>
      </c>
      <c r="D111" s="3068">
        <f t="shared" ref="D111:M111" si="35">$I$3</f>
        <v>1</v>
      </c>
      <c r="E111" s="3068">
        <f t="shared" si="35"/>
        <v>1</v>
      </c>
      <c r="F111" s="3068">
        <f t="shared" si="35"/>
        <v>1</v>
      </c>
      <c r="G111" s="3068">
        <f t="shared" si="35"/>
        <v>1</v>
      </c>
      <c r="H111" s="3068">
        <f t="shared" si="35"/>
        <v>1</v>
      </c>
      <c r="I111" s="3068">
        <f t="shared" si="35"/>
        <v>1</v>
      </c>
      <c r="J111" s="3068">
        <f t="shared" si="35"/>
        <v>1</v>
      </c>
      <c r="K111" s="3068">
        <f t="shared" si="35"/>
        <v>1</v>
      </c>
      <c r="L111" s="3068">
        <f t="shared" si="35"/>
        <v>1</v>
      </c>
      <c r="M111" s="3068">
        <f t="shared" si="35"/>
        <v>1</v>
      </c>
      <c r="N111" s="3068">
        <f>$I$3</f>
        <v>1</v>
      </c>
    </row>
    <row r="112" spans="1:14">
      <c r="A112" s="3466"/>
      <c r="B112" s="3067">
        <v>6</v>
      </c>
      <c r="C112" s="3062">
        <f>(-0.5556*(C111^2)-0.2719*C111+8944)*(10^(-4))</f>
        <v>0.89431725000000006</v>
      </c>
      <c r="D112" s="3062">
        <f>(-0.5556*(D111^2)-0.2719*D111+8944)*(10^(-4))</f>
        <v>0.89431725000000006</v>
      </c>
      <c r="E112" s="3062">
        <f>(-0.7912*(E111^2)-11.3794*E111+8482)*(10^(-4))</f>
        <v>0.84698294000000007</v>
      </c>
      <c r="F112" s="3062">
        <f t="shared" ref="F112:I112" si="36">(-0.7912*(F111^2)-11.3794*F111+8482)*(10^(-4))</f>
        <v>0.84698294000000007</v>
      </c>
      <c r="G112" s="3062">
        <f t="shared" si="36"/>
        <v>0.84698294000000007</v>
      </c>
      <c r="H112" s="3062">
        <f t="shared" si="36"/>
        <v>0.84698294000000007</v>
      </c>
      <c r="I112" s="3062">
        <f t="shared" si="36"/>
        <v>0.84698294000000007</v>
      </c>
      <c r="J112" s="3062">
        <f>(-0.989*(J111^2)-63.78*J111+7771)*(10^(-4))</f>
        <v>0.77062310000000001</v>
      </c>
      <c r="K112" s="3062">
        <f t="shared" ref="K112:N112" si="37">(-0.989*(K111^2)-63.78*K111+7771)*(10^(-4))</f>
        <v>0.77062310000000001</v>
      </c>
      <c r="L112" s="3062">
        <f t="shared" si="37"/>
        <v>0.77062310000000001</v>
      </c>
      <c r="M112" s="3062">
        <f t="shared" si="37"/>
        <v>0.77062310000000001</v>
      </c>
      <c r="N112" s="3062">
        <f t="shared" si="37"/>
        <v>0.77062310000000001</v>
      </c>
    </row>
    <row r="113" spans="1:14">
      <c r="A113" s="3467" t="s">
        <v>3293</v>
      </c>
      <c r="B113" s="3467"/>
      <c r="C113" s="3467"/>
      <c r="D113" s="3467"/>
      <c r="E113" s="3467"/>
      <c r="F113" s="3467"/>
      <c r="G113" s="3467"/>
      <c r="H113" s="3467"/>
      <c r="I113" s="3467"/>
      <c r="J113" s="3467"/>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3294</v>
      </c>
      <c r="B116" s="3087">
        <f>G3</f>
        <v>1.2</v>
      </c>
      <c r="C116" s="3072" t="s">
        <v>3295</v>
      </c>
      <c r="D116" s="3073">
        <f>SUMPRODUCT((A118:A122=F116)*(B117:M117=H116)*B118:M122)</f>
        <v>0.87929999999999997</v>
      </c>
      <c r="E116" s="156" t="s">
        <v>1933</v>
      </c>
      <c r="F116" s="3074" t="str">
        <f>E2</f>
        <v>公共服务</v>
      </c>
      <c r="G116" s="156" t="s">
        <v>1934</v>
      </c>
      <c r="H116" s="3074" t="str">
        <f>G2</f>
        <v>六级</v>
      </c>
      <c r="I116" s="156"/>
      <c r="J116" s="3075"/>
      <c r="K116" s="3075"/>
      <c r="L116" s="3075"/>
      <c r="M116" s="3075"/>
      <c r="N116" s="3070"/>
    </row>
    <row r="117" spans="1:14">
      <c r="A117" s="3076"/>
      <c r="B117" s="3077" t="s">
        <v>3298</v>
      </c>
      <c r="C117" s="3077" t="s">
        <v>3299</v>
      </c>
      <c r="D117" s="3077" t="s">
        <v>3300</v>
      </c>
      <c r="E117" s="3078" t="s">
        <v>3301</v>
      </c>
      <c r="F117" s="3078" t="s">
        <v>3302</v>
      </c>
      <c r="G117" s="3078" t="s">
        <v>3303</v>
      </c>
      <c r="H117" s="3079" t="s">
        <v>3304</v>
      </c>
      <c r="I117" s="3079" t="s">
        <v>3305</v>
      </c>
      <c r="J117" s="3080" t="s">
        <v>3306</v>
      </c>
      <c r="K117" s="3080" t="s">
        <v>3307</v>
      </c>
      <c r="L117" s="3080" t="s">
        <v>3308</v>
      </c>
      <c r="M117" s="3081" t="s">
        <v>3309</v>
      </c>
      <c r="N117" s="3070"/>
    </row>
    <row r="118" spans="1:14">
      <c r="A118" s="3030" t="s">
        <v>1987</v>
      </c>
      <c r="B118" s="3062">
        <f>ROUND(0.9968-0.011*B116,4)</f>
        <v>0.98360000000000003</v>
      </c>
      <c r="C118" s="3062">
        <f>B118</f>
        <v>0.98360000000000003</v>
      </c>
      <c r="D118" s="3062">
        <f>ROUND(0.949-0.014*B116,4)</f>
        <v>0.93220000000000003</v>
      </c>
      <c r="E118" s="3062">
        <f>D118</f>
        <v>0.93220000000000003</v>
      </c>
      <c r="F118" s="3062">
        <f>E118</f>
        <v>0.93220000000000003</v>
      </c>
      <c r="G118" s="3062">
        <f>F118</f>
        <v>0.93220000000000003</v>
      </c>
      <c r="H118" s="3062">
        <f>G118</f>
        <v>0.93220000000000003</v>
      </c>
      <c r="I118" s="3062">
        <f>ROUND(0.8486-0.018*B116,4)</f>
        <v>0.82699999999999996</v>
      </c>
      <c r="J118" s="3062">
        <f t="shared" ref="J118:M122" si="38">I118</f>
        <v>0.82699999999999996</v>
      </c>
      <c r="K118" s="3062">
        <f t="shared" si="38"/>
        <v>0.82699999999999996</v>
      </c>
      <c r="L118" s="3062">
        <f t="shared" si="38"/>
        <v>0.82699999999999996</v>
      </c>
      <c r="M118" s="3082">
        <f t="shared" si="38"/>
        <v>0.82699999999999996</v>
      </c>
      <c r="N118" s="3070"/>
    </row>
    <row r="119" spans="1:14">
      <c r="A119" s="3030" t="s">
        <v>1988</v>
      </c>
      <c r="B119" s="3062">
        <f>ROUND(0.993-0.0112*B116,4)</f>
        <v>0.97960000000000003</v>
      </c>
      <c r="C119" s="3062">
        <f>B119</f>
        <v>0.97960000000000003</v>
      </c>
      <c r="D119" s="3062">
        <f>ROUND(0.9415-0.0142*B116,4)</f>
        <v>0.92449999999999999</v>
      </c>
      <c r="E119" s="3062">
        <f t="shared" ref="E119:H120" si="39">D119</f>
        <v>0.92449999999999999</v>
      </c>
      <c r="F119" s="3062">
        <f t="shared" si="39"/>
        <v>0.92449999999999999</v>
      </c>
      <c r="G119" s="3062">
        <f t="shared" si="39"/>
        <v>0.92449999999999999</v>
      </c>
      <c r="H119" s="3062">
        <f t="shared" si="39"/>
        <v>0.92449999999999999</v>
      </c>
      <c r="I119" s="3062">
        <f>ROUND(0.838-0.0182*B116,4)</f>
        <v>0.81620000000000004</v>
      </c>
      <c r="J119" s="3062">
        <f t="shared" si="38"/>
        <v>0.81620000000000004</v>
      </c>
      <c r="K119" s="3062">
        <f t="shared" si="38"/>
        <v>0.81620000000000004</v>
      </c>
      <c r="L119" s="3062">
        <f t="shared" si="38"/>
        <v>0.81620000000000004</v>
      </c>
      <c r="M119" s="3082">
        <f t="shared" si="38"/>
        <v>0.81620000000000004</v>
      </c>
      <c r="N119" s="3070"/>
    </row>
    <row r="120" spans="1:14">
      <c r="A120" s="3030" t="s">
        <v>1989</v>
      </c>
      <c r="B120" s="3062">
        <f>ROUND(0.9448-0.0115*B116,4)</f>
        <v>0.93100000000000005</v>
      </c>
      <c r="C120" s="3062">
        <f>B120</f>
        <v>0.93100000000000005</v>
      </c>
      <c r="D120" s="3062">
        <f>ROUND(0.937-0.0145*B116,4)</f>
        <v>0.91959999999999997</v>
      </c>
      <c r="E120" s="3062">
        <f t="shared" si="39"/>
        <v>0.91959999999999997</v>
      </c>
      <c r="F120" s="3062">
        <f t="shared" si="39"/>
        <v>0.91959999999999997</v>
      </c>
      <c r="G120" s="3062">
        <f t="shared" si="39"/>
        <v>0.91959999999999997</v>
      </c>
      <c r="H120" s="3062">
        <f t="shared" si="39"/>
        <v>0.91959999999999997</v>
      </c>
      <c r="I120" s="3062">
        <f>ROUND(0.7965-0.0185*B116,4)</f>
        <v>0.77429999999999999</v>
      </c>
      <c r="J120" s="3062">
        <f t="shared" si="38"/>
        <v>0.77429999999999999</v>
      </c>
      <c r="K120" s="3062">
        <f t="shared" si="38"/>
        <v>0.77429999999999999</v>
      </c>
      <c r="L120" s="3062">
        <f t="shared" si="38"/>
        <v>0.77429999999999999</v>
      </c>
      <c r="M120" s="3082">
        <f t="shared" si="38"/>
        <v>0.77429999999999999</v>
      </c>
      <c r="N120" s="3070"/>
    </row>
    <row r="121" spans="1:14" ht="13.5" thickBot="1">
      <c r="A121" s="3083" t="s">
        <v>1990</v>
      </c>
      <c r="B121" s="3084">
        <f>ROUND(0.7836-0.012*B116,4)</f>
        <v>0.76919999999999999</v>
      </c>
      <c r="C121" s="3084">
        <f>B121</f>
        <v>0.76919999999999999</v>
      </c>
      <c r="D121" s="3084">
        <f>ROUND(0.753-0.015*B116,4)</f>
        <v>0.73499999999999999</v>
      </c>
      <c r="E121" s="3084">
        <f>D121</f>
        <v>0.73499999999999999</v>
      </c>
      <c r="F121" s="3084">
        <f>E121</f>
        <v>0.73499999999999999</v>
      </c>
      <c r="G121" s="3084">
        <f>ROUND(0.6612-0.018*B116,4)</f>
        <v>0.63959999999999995</v>
      </c>
      <c r="H121" s="3084">
        <f>G121</f>
        <v>0.63959999999999995</v>
      </c>
      <c r="I121" s="3084">
        <f>ROUND(0.5905-0.019*B116,4)</f>
        <v>0.56769999999999998</v>
      </c>
      <c r="J121" s="3084">
        <f t="shared" si="38"/>
        <v>0.56769999999999998</v>
      </c>
      <c r="K121" s="3084">
        <f t="shared" si="38"/>
        <v>0.56769999999999998</v>
      </c>
      <c r="L121" s="3084">
        <f t="shared" si="38"/>
        <v>0.56769999999999998</v>
      </c>
      <c r="M121" s="3085">
        <f t="shared" si="38"/>
        <v>0.56769999999999998</v>
      </c>
      <c r="N121" s="3070"/>
    </row>
    <row r="122" spans="1:14">
      <c r="A122" s="3086" t="s">
        <v>2596</v>
      </c>
      <c r="B122" s="3062">
        <f>ROUND(0.9404-0.0106*B116,4)</f>
        <v>0.92769999999999997</v>
      </c>
      <c r="C122" s="3062">
        <f>B122</f>
        <v>0.92769999999999997</v>
      </c>
      <c r="D122" s="3062">
        <f>ROUND(0.8955-0.0135*B116,4)</f>
        <v>0.87929999999999997</v>
      </c>
      <c r="E122" s="3062">
        <f t="shared" ref="E122:H122" si="40">D122</f>
        <v>0.87929999999999997</v>
      </c>
      <c r="F122" s="3062">
        <f t="shared" si="40"/>
        <v>0.87929999999999997</v>
      </c>
      <c r="G122" s="3062">
        <f t="shared" si="40"/>
        <v>0.87929999999999997</v>
      </c>
      <c r="H122" s="3062">
        <f t="shared" si="40"/>
        <v>0.87929999999999997</v>
      </c>
      <c r="I122" s="3062">
        <f>ROUND(0.7632-0.0166*B116,4)</f>
        <v>0.74329999999999996</v>
      </c>
      <c r="J122" s="3062">
        <f t="shared" si="38"/>
        <v>0.74329999999999996</v>
      </c>
      <c r="K122" s="3062">
        <f t="shared" si="38"/>
        <v>0.74329999999999996</v>
      </c>
      <c r="L122" s="3062">
        <f t="shared" si="38"/>
        <v>0.74329999999999996</v>
      </c>
      <c r="M122" s="3082">
        <f t="shared" si="38"/>
        <v>0.74329999999999996</v>
      </c>
      <c r="N122" s="3070"/>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50" priority="6" stopIfTrue="1" operator="notEqual">
      <formula>"——"</formula>
    </cfRule>
  </conditionalFormatting>
  <conditionalFormatting sqref="F61">
    <cfRule type="cellIs" dxfId="149" priority="5" stopIfTrue="1" operator="notEqual">
      <formula>"——"</formula>
    </cfRule>
  </conditionalFormatting>
  <conditionalFormatting sqref="F72">
    <cfRule type="cellIs" dxfId="148" priority="4" stopIfTrue="1" operator="notEqual">
      <formula>"——"</formula>
    </cfRule>
  </conditionalFormatting>
  <conditionalFormatting sqref="F83">
    <cfRule type="cellIs" dxfId="147" priority="3" stopIfTrue="1" operator="notEqual">
      <formula>"——"</formula>
    </cfRule>
  </conditionalFormatting>
  <conditionalFormatting sqref="H50:H58 H61:H69 H72:H80 H83:H91">
    <cfRule type="cellIs" dxfId="146" priority="2" operator="notEqual">
      <formula>"——"</formula>
    </cfRule>
  </conditionalFormatting>
  <conditionalFormatting sqref="H93:H101">
    <cfRule type="cellIs" dxfId="145" priority="1" operator="notEqual">
      <formula>"——"</formula>
    </cfRule>
  </conditionalFormatting>
  <dataValidations count="11">
    <dataValidation type="list" allowBlank="1" showInputMessage="1" showErrorMessage="1" sqref="E15" xr:uid="{B1CA7F9C-F8C6-4C52-B2AD-E0AFBBA8F244}">
      <formula1>"500米范围内,500-1000米,1000米以外"</formula1>
    </dataValidation>
    <dataValidation type="list" allowBlank="1" showInputMessage="1" showErrorMessage="1" sqref="C15:D15" xr:uid="{24936F6D-7A09-4580-8ACC-FE4B01DC9108}">
      <formula1>"有,无"</formula1>
    </dataValidation>
    <dataValidation type="list" allowBlank="1" showInputMessage="1" showErrorMessage="1" sqref="B25" xr:uid="{71C10912-01F4-40D4-B07C-05B7C255439A}">
      <formula1>"容积率修正,楼层修正"</formula1>
    </dataValidation>
    <dataValidation type="list" allowBlank="1" showInputMessage="1" showErrorMessage="1" sqref="F21" xr:uid="{98EFD63B-732C-405C-9FA6-AE9F3395546B}">
      <formula1>"与级别开发程度一致,与级别开发程度不一致"</formula1>
    </dataValidation>
    <dataValidation type="list" allowBlank="1" showInputMessage="1" showErrorMessage="1" sqref="F3" xr:uid="{8EA58084-1CD9-4C82-BF47-2C82C470B896}">
      <formula1>"宗地容积率,估价对象容积率,自定义容积率"</formula1>
    </dataValidation>
    <dataValidation type="list" allowBlank="1" showInputMessage="1" showErrorMessage="1" sqref="C8" xr:uid="{BD2F2034-640D-4772-B7DE-78F78D8189E5}">
      <formula1>商业街名称</formula1>
    </dataValidation>
    <dataValidation type="list" allowBlank="1" showInputMessage="1" showErrorMessage="1" sqref="E3" xr:uid="{758E672D-B3FA-43AF-A9A2-7D41030D4CB7}">
      <formula1>INDIRECT(E2)</formula1>
    </dataValidation>
    <dataValidation type="list" allowBlank="1" showInputMessage="1" showErrorMessage="1" sqref="C61:C69 C72:C80 C50:C58 C83:C91 C93:C101" xr:uid="{5B948DDB-0C44-4201-8575-50FEA82CB40B}">
      <formula1>五等判定</formula1>
    </dataValidation>
    <dataValidation type="list" allowBlank="1" showInputMessage="1" showErrorMessage="1" sqref="H23" xr:uid="{A08FFAE5-C8C9-454C-A5B2-CE089B5B7F95}">
      <formula1>"地价指数,季度增幅（自定义）,按公示增长率计算"</formula1>
    </dataValidation>
    <dataValidation type="list" allowBlank="1" showInputMessage="1" showErrorMessage="1" sqref="H20:O20" xr:uid="{FC27A215-EA35-470A-B5E9-F4AE3FD4AFBC}">
      <formula1>七通一平</formula1>
    </dataValidation>
    <dataValidation type="list" allowBlank="1" showInputMessage="1" showErrorMessage="1" sqref="J23" xr:uid="{8DA9656B-C793-41BA-9F76-CBCFB76D0B65}">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36D2A0-2FC4-4383-B132-AE629CC5A449}">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N19" sqref="N19"/>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2077</v>
      </c>
      <c r="B1" s="4"/>
      <c r="C1" s="4"/>
      <c r="D1" s="4"/>
      <c r="E1" s="4"/>
      <c r="F1" s="2519"/>
      <c r="G1" s="2519"/>
      <c r="H1" s="2519"/>
      <c r="I1" s="2519"/>
      <c r="J1" s="2519"/>
      <c r="K1" s="2519"/>
      <c r="L1" s="2519"/>
      <c r="M1" s="2519"/>
      <c r="N1" s="2519"/>
      <c r="O1" s="2519"/>
      <c r="P1" s="2519"/>
    </row>
    <row r="2" spans="1:16" ht="15.75">
      <c r="A2" s="1961" t="s">
        <v>2070</v>
      </c>
      <c r="B2" s="2365">
        <f ca="1">SUMIF(B6:B13,"&lt;&gt;#ref!",B6:B13)</f>
        <v>56201</v>
      </c>
      <c r="C2" s="1961" t="s">
        <v>2071</v>
      </c>
      <c r="D2" s="1961" t="s">
        <v>2072</v>
      </c>
      <c r="E2" s="2375">
        <f ca="1">SUMIF(E6:E13,"&lt;&gt;#ref!",E6:E13)</f>
        <v>45214.01</v>
      </c>
      <c r="F2" s="2519"/>
      <c r="G2" s="2519"/>
      <c r="H2" s="2519"/>
      <c r="I2" s="2519"/>
      <c r="J2" s="2519"/>
      <c r="K2" s="2519"/>
      <c r="L2" s="2519"/>
      <c r="M2" s="2519"/>
      <c r="N2" s="2519"/>
      <c r="O2" s="2519"/>
      <c r="P2" s="2519"/>
    </row>
    <row r="3" spans="1:16" ht="15.75">
      <c r="A3" s="1961" t="s">
        <v>2073</v>
      </c>
      <c r="B3" s="2365">
        <f ca="1">ROUND(B2*10000/E2,0)</f>
        <v>12430</v>
      </c>
      <c r="C3" s="1961" t="s">
        <v>2078</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2074</v>
      </c>
      <c r="B5" s="2373" t="s">
        <v>2075</v>
      </c>
      <c r="C5" s="1962"/>
      <c r="D5" s="2519"/>
      <c r="E5" s="2374" t="s">
        <v>2076</v>
      </c>
      <c r="F5" s="2519"/>
      <c r="G5" s="2519"/>
      <c r="H5" s="2519"/>
      <c r="I5" s="2519"/>
      <c r="J5" s="2519"/>
      <c r="K5" s="2519"/>
      <c r="L5" s="2519"/>
      <c r="M5" s="2519"/>
      <c r="N5" s="2519"/>
      <c r="O5" s="2519"/>
      <c r="P5" s="2519"/>
    </row>
    <row r="6" spans="1:16" ht="15.75">
      <c r="A6" s="2372" t="s">
        <v>3964</v>
      </c>
      <c r="B6" s="2365">
        <f ca="1">SUMIF(INDIRECT("'"&amp;A6&amp;"'"&amp;"!A:A"),"总价",INDIRECT("'"&amp;A6&amp;"'"&amp;"!B:B"))</f>
        <v>11710</v>
      </c>
      <c r="C6" s="1961" t="s">
        <v>2071</v>
      </c>
      <c r="D6" s="2519"/>
      <c r="E6" s="2375">
        <f ca="1">SUMIF(INDIRECT("'"&amp;A6&amp;"'"&amp;"!C:C"),"建筑面积",INDIRECT("'"&amp;A6&amp;"'"&amp;"!D:D"))</f>
        <v>7681.7400000000007</v>
      </c>
      <c r="F6" s="2519"/>
      <c r="G6" s="2519"/>
      <c r="H6" s="2519"/>
      <c r="I6" s="2519"/>
      <c r="J6" s="2519"/>
      <c r="K6" s="2519"/>
      <c r="L6" s="2519"/>
      <c r="M6" s="2519"/>
      <c r="N6" s="2519"/>
      <c r="O6" s="2519"/>
      <c r="P6" s="2519"/>
    </row>
    <row r="7" spans="1:16" ht="15.75">
      <c r="A7" s="2372" t="s">
        <v>3966</v>
      </c>
      <c r="B7" s="2365">
        <f ca="1">SUMIF(INDIRECT("'"&amp;A7&amp;"'"&amp;"!A:A"),"总价",INDIRECT("'"&amp;A7&amp;"'"&amp;"!B:B"))</f>
        <v>44491</v>
      </c>
      <c r="C7" s="1961" t="s">
        <v>2071</v>
      </c>
      <c r="D7" s="2519"/>
      <c r="E7" s="2375">
        <f t="shared" ref="E7:E13" ca="1" si="0">SUMIF(INDIRECT("'"&amp;A7&amp;"'"&amp;"!C:C"),"建筑面积",INDIRECT("'"&amp;A7&amp;"'"&amp;"!D:D"))</f>
        <v>37532.270000000004</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2071</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2071</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2071</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2071</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2071</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2071</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20" sqref="D2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670</v>
      </c>
      <c r="D1" s="1249" t="s">
        <v>43</v>
      </c>
      <c r="E1" s="1250" t="s">
        <v>675</v>
      </c>
      <c r="F1" s="978">
        <f ca="1">J53</f>
        <v>33.86</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1272">
        <f ca="1">C40+J29+L46</f>
        <v>20678</v>
      </c>
      <c r="C2" s="1267" t="s">
        <v>802</v>
      </c>
      <c r="D2" s="1267"/>
      <c r="E2" s="1273"/>
      <c r="F2" s="1274"/>
      <c r="G2" s="2453"/>
      <c r="H2" s="2443"/>
      <c r="I2" s="2443"/>
      <c r="J2" s="2443"/>
      <c r="K2" s="2444"/>
      <c r="L2" s="2443"/>
      <c r="M2" s="2443"/>
    </row>
    <row r="3" spans="1:37" ht="18" customHeight="1" thickBot="1">
      <c r="A3" s="1275" t="s">
        <v>803</v>
      </c>
      <c r="B3" s="1276">
        <f ca="1">IF(ISERROR(B2*10000/F43),0,ROUND(B2*10000/F43,0))</f>
        <v>26918</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f ca="1">C6+C10+C12</f>
        <v>1390</v>
      </c>
      <c r="D5" s="1251" t="s">
        <v>690</v>
      </c>
      <c r="E5" s="987"/>
      <c r="F5" s="988"/>
      <c r="G5" s="1270"/>
      <c r="H5" s="285">
        <v>1</v>
      </c>
      <c r="I5" s="286" t="s">
        <v>689</v>
      </c>
      <c r="J5" s="986">
        <f ca="1">J6+J10+J12</f>
        <v>0</v>
      </c>
      <c r="K5" s="1251" t="s">
        <v>690</v>
      </c>
      <c r="L5" s="987"/>
      <c r="M5" s="988"/>
    </row>
    <row r="6" spans="1:37" ht="18" customHeight="1">
      <c r="A6" s="985" t="s">
        <v>398</v>
      </c>
      <c r="B6" s="3485" t="s">
        <v>691</v>
      </c>
      <c r="C6" s="990">
        <f ca="1">ROUND(F6*F8*F7*(1-F9)/10000,0)</f>
        <v>1388</v>
      </c>
      <c r="D6" s="141" t="s">
        <v>2104</v>
      </c>
      <c r="E6" s="288" t="s">
        <v>693</v>
      </c>
      <c r="F6" s="289">
        <f ca="1">INDIRECT("'数据-取费表'!u"&amp;$G$1)</f>
        <v>5.5</v>
      </c>
      <c r="G6" s="1270"/>
      <c r="H6" s="985" t="s">
        <v>398</v>
      </c>
      <c r="I6" s="3485" t="s">
        <v>691</v>
      </c>
      <c r="J6" s="287">
        <f ca="1">ROUND(M6*M8*M7*(1-M9)/10000,0)</f>
        <v>0</v>
      </c>
      <c r="K6" s="141" t="s">
        <v>2103</v>
      </c>
      <c r="L6" s="288" t="s">
        <v>693</v>
      </c>
      <c r="M6" s="289">
        <f ca="1">INDIRECT("'数据-取费表'!z"&amp;$G$1)</f>
        <v>0</v>
      </c>
    </row>
    <row r="7" spans="1:37" ht="18" customHeight="1">
      <c r="A7" s="989"/>
      <c r="B7" s="3486"/>
      <c r="C7" s="991"/>
      <c r="D7" s="293"/>
      <c r="E7" s="992" t="s">
        <v>694</v>
      </c>
      <c r="F7" s="289">
        <f ca="1">IF(INDIRECT("'数据-取费表'!ah"&amp;$G$1)="",INDIRECT("'数据-取费表'!k"&amp;$G$1),INDIRECT("'数据-取费表'!ah"&amp;$G$1))</f>
        <v>7681.7400000000007</v>
      </c>
      <c r="G7" s="1270"/>
      <c r="H7" s="290"/>
      <c r="I7" s="3486"/>
      <c r="J7" s="292"/>
      <c r="K7" s="293"/>
      <c r="L7" s="288" t="s">
        <v>694</v>
      </c>
      <c r="M7" s="289">
        <f ca="1">F7</f>
        <v>7681.7400000000007</v>
      </c>
    </row>
    <row r="8" spans="1:37" ht="18" customHeight="1">
      <c r="A8" s="290"/>
      <c r="B8" s="3486"/>
      <c r="C8" s="292"/>
      <c r="D8" s="293"/>
      <c r="E8" s="288" t="s">
        <v>695</v>
      </c>
      <c r="F8" s="289">
        <f ca="1">INDIRECT("'数据-取费表'!ai"&amp;$G$1)</f>
        <v>365</v>
      </c>
      <c r="G8" s="1270"/>
      <c r="H8" s="290"/>
      <c r="I8" s="3486"/>
      <c r="J8" s="292"/>
      <c r="K8" s="293"/>
      <c r="L8" s="288" t="s">
        <v>695</v>
      </c>
      <c r="M8" s="289">
        <f ca="1">INDIRECT("'数据-取费表'!ai"&amp;$G$1)</f>
        <v>365</v>
      </c>
    </row>
    <row r="9" spans="1:37" ht="18" customHeight="1">
      <c r="A9" s="290"/>
      <c r="B9" s="3487"/>
      <c r="C9" s="292"/>
      <c r="D9" s="293"/>
      <c r="E9" s="288" t="s">
        <v>696</v>
      </c>
      <c r="F9" s="298">
        <f ca="1">INDIRECT("'数据-取费表'!w"&amp;$G$1)</f>
        <v>0.1</v>
      </c>
      <c r="G9" s="1270"/>
      <c r="H9" s="290"/>
      <c r="I9" s="3487"/>
      <c r="J9" s="292"/>
      <c r="K9" s="293"/>
      <c r="L9" s="299" t="s">
        <v>696</v>
      </c>
      <c r="M9" s="300">
        <f ca="1">INDIRECT("'数据-取费表'!ab"&amp;$G$1)</f>
        <v>0</v>
      </c>
    </row>
    <row r="10" spans="1:37" ht="18" customHeight="1">
      <c r="A10" s="985" t="s">
        <v>402</v>
      </c>
      <c r="B10" s="1252" t="s">
        <v>697</v>
      </c>
      <c r="C10" s="302">
        <f ca="1">ROUND(IF(F10="押一",C6/12*F11,IF(F10="押二",C6/12*2*F11,IF(F10="押三",C6/12*3*F11,C11*F11))),0)</f>
        <v>2</v>
      </c>
      <c r="D10" s="144" t="s">
        <v>2112</v>
      </c>
      <c r="E10" s="299" t="s">
        <v>698</v>
      </c>
      <c r="F10" s="1031" t="s">
        <v>3980</v>
      </c>
      <c r="G10" s="1270"/>
      <c r="H10" s="985" t="s">
        <v>402</v>
      </c>
      <c r="I10" s="1252" t="s">
        <v>697</v>
      </c>
      <c r="J10" s="287">
        <f ca="1">ROUND(IF(M10="押一",J6/12*M11,IF(M10="押二",J6/12*2*M11,IF(M10="押三",J6/12*3*M11,J11*M11))),0)</f>
        <v>0</v>
      </c>
      <c r="K10" s="144" t="s">
        <v>2111</v>
      </c>
      <c r="L10" s="299" t="s">
        <v>698</v>
      </c>
      <c r="M10" s="1031"/>
    </row>
    <row r="11" spans="1:37" ht="18" customHeight="1">
      <c r="A11" s="294"/>
      <c r="B11" s="1253" t="s">
        <v>676</v>
      </c>
      <c r="C11" s="885"/>
      <c r="D11" s="1254"/>
      <c r="E11" s="299" t="s">
        <v>699</v>
      </c>
      <c r="F11" s="300">
        <f ca="1">'数据-取费表'!B39</f>
        <v>1.4999999999999999E-2</v>
      </c>
      <c r="G11" s="1270"/>
      <c r="H11" s="993"/>
      <c r="I11" s="1253" t="s">
        <v>676</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4881</v>
      </c>
      <c r="D13" s="996" t="s">
        <v>702</v>
      </c>
      <c r="E13" s="996" t="s">
        <v>703</v>
      </c>
      <c r="F13" s="997">
        <f ca="1">INDIRECT("'数据-取费表'!y"&amp;$G$1)</f>
        <v>0.93</v>
      </c>
      <c r="G13" s="1270"/>
      <c r="H13" s="994">
        <v>2</v>
      </c>
      <c r="I13" s="995" t="s">
        <v>701</v>
      </c>
      <c r="J13" s="984">
        <f ca="1">ROUND(J14*J15,0)</f>
        <v>0</v>
      </c>
      <c r="K13" s="1002" t="s">
        <v>702</v>
      </c>
      <c r="L13" s="1277"/>
      <c r="M13" s="1278"/>
    </row>
    <row r="14" spans="1:37" ht="18" customHeight="1">
      <c r="A14" s="908" t="s">
        <v>397</v>
      </c>
      <c r="B14" s="288" t="s">
        <v>704</v>
      </c>
      <c r="C14" s="303">
        <f ca="1">INDIRECT("'数据-取费表'!m"&amp;$G$1)+INDIRECT("'数据-取费表'!t"&amp;$G$1)</f>
        <v>3457</v>
      </c>
      <c r="D14" s="1235" t="s">
        <v>705</v>
      </c>
      <c r="E14" s="1233"/>
      <c r="F14" s="304"/>
      <c r="G14" s="1270"/>
      <c r="H14" s="908" t="s">
        <v>398</v>
      </c>
      <c r="I14" s="288" t="s">
        <v>706</v>
      </c>
      <c r="J14" s="21">
        <f ca="1">C29</f>
        <v>5248</v>
      </c>
      <c r="K14" s="12"/>
      <c r="L14" s="741"/>
      <c r="M14" s="742"/>
    </row>
    <row r="15" spans="1:37" s="1282" customFormat="1" ht="18" customHeight="1" thickBot="1">
      <c r="A15" s="908" t="s">
        <v>399</v>
      </c>
      <c r="B15" s="288" t="s">
        <v>707</v>
      </c>
      <c r="C15" s="21">
        <f ca="1">ROUND(C14*F15,0)</f>
        <v>173</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ROUND(INDIRECT("'数据-取费表'!m"&amp;$G$1)*F16,0)</f>
        <v>0</v>
      </c>
      <c r="D16" s="288" t="s">
        <v>708</v>
      </c>
      <c r="E16" s="288" t="s">
        <v>709</v>
      </c>
      <c r="F16" s="307">
        <f ca="1">IF(INDIRECT("'数据-取费表'!c"&amp;$G$1)="住宅",'数据-取费表'!B34,0)</f>
        <v>0</v>
      </c>
      <c r="G16" s="1270"/>
      <c r="H16" s="994" t="s">
        <v>393</v>
      </c>
      <c r="I16" s="995" t="s">
        <v>711</v>
      </c>
      <c r="J16" s="296">
        <f ca="1">ROUND(J17+J22+J23+J24,0)</f>
        <v>12</v>
      </c>
      <c r="K16" s="1002" t="s">
        <v>712</v>
      </c>
      <c r="L16" s="1003"/>
      <c r="M16" s="988"/>
    </row>
    <row r="17" spans="1:37" s="1282" customFormat="1" ht="18" customHeight="1">
      <c r="A17" s="908" t="s">
        <v>678</v>
      </c>
      <c r="B17" s="288" t="s">
        <v>713</v>
      </c>
      <c r="C17" s="21">
        <f ca="1">ROUND(F17*(F43+INDIRECT("'数据-取费表'!S"&amp;$G$1))/10000,0)</f>
        <v>154</v>
      </c>
      <c r="D17" s="288" t="s">
        <v>714</v>
      </c>
      <c r="E17" s="288" t="s">
        <v>715</v>
      </c>
      <c r="F17" s="23">
        <f>'数据-取费表'!B35</f>
        <v>200</v>
      </c>
      <c r="G17" s="1281"/>
      <c r="H17" s="908" t="s">
        <v>398</v>
      </c>
      <c r="I17" s="288" t="s">
        <v>716</v>
      </c>
      <c r="J17" s="2117">
        <f ca="1">ROUND(IF(AND(项目基本情况!B11="自然人",项目基本情况!B10="北京市"),J6*M17/(1+'数据-取费表'!C42),J18+J19+J20),2)</f>
        <v>1.92</v>
      </c>
      <c r="K17" s="1235" t="s">
        <v>717</v>
      </c>
      <c r="L17" s="1234" t="s">
        <v>718</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69</v>
      </c>
      <c r="D18" s="288" t="s">
        <v>708</v>
      </c>
      <c r="E18" s="288" t="s">
        <v>709</v>
      </c>
      <c r="F18" s="307">
        <f>'数据-取费表'!B36</f>
        <v>0.02</v>
      </c>
      <c r="G18" s="1281"/>
      <c r="H18" s="908" t="s">
        <v>397</v>
      </c>
      <c r="I18" s="288" t="s">
        <v>720</v>
      </c>
      <c r="J18" s="21">
        <f ca="1">ROUND(J6*M18/(1+'数据-取费表'!C42),2)</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3853</v>
      </c>
      <c r="D19" s="117" t="s">
        <v>723</v>
      </c>
      <c r="E19" s="1247"/>
      <c r="F19" s="23"/>
      <c r="G19" s="1270"/>
      <c r="H19" s="908" t="s">
        <v>399</v>
      </c>
      <c r="I19" s="288" t="s">
        <v>724</v>
      </c>
      <c r="J19" s="21">
        <f ca="1">IF(K19="按租金收入计税",ROUND(J6*M19/(1+'数据-取费表'!C42),2),ROUND(C29*M19*0.7,2))</f>
        <v>0</v>
      </c>
      <c r="K19" s="1256" t="s">
        <v>3318</v>
      </c>
      <c r="L19" s="288" t="s">
        <v>709</v>
      </c>
      <c r="M19" s="307">
        <f>IF(K19="按租金收入计税",'数据-取费表'!B51,'数据-取费表'!B50)</f>
        <v>0.12</v>
      </c>
    </row>
    <row r="20" spans="1:37" s="1282" customFormat="1" ht="18" customHeight="1">
      <c r="A20" s="908" t="s">
        <v>402</v>
      </c>
      <c r="B20" s="288" t="s">
        <v>725</v>
      </c>
      <c r="C20" s="21">
        <f ca="1">ROUND(C19*F20,0)</f>
        <v>77</v>
      </c>
      <c r="D20" s="308" t="s">
        <v>726</v>
      </c>
      <c r="E20" s="288" t="s">
        <v>709</v>
      </c>
      <c r="F20" s="307">
        <f>'数据-取费表'!B37</f>
        <v>0.02</v>
      </c>
      <c r="G20" s="1281"/>
      <c r="H20" s="908" t="s">
        <v>677</v>
      </c>
      <c r="I20" s="141" t="s">
        <v>727</v>
      </c>
      <c r="J20" s="22">
        <f ca="1">ROUND(M20*M21/10000,2)</f>
        <v>1.92</v>
      </c>
      <c r="K20" s="309" t="s">
        <v>728</v>
      </c>
      <c r="L20" s="288" t="s">
        <v>729</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15</v>
      </c>
      <c r="D21" s="308" t="s">
        <v>731</v>
      </c>
      <c r="E21" s="288" t="s">
        <v>732</v>
      </c>
      <c r="F21" s="307">
        <f>'数据-取费表'!B38</f>
        <v>0.02</v>
      </c>
      <c r="G21" s="1281"/>
      <c r="H21" s="311"/>
      <c r="I21" s="297"/>
      <c r="J21" s="26"/>
      <c r="K21" s="312"/>
      <c r="L21" s="288" t="s">
        <v>733</v>
      </c>
      <c r="M21" s="289">
        <f ca="1">INDIRECT("'数据-取费表'!r"&amp;$G$1)</f>
        <v>6398.04</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ROUND(J14*M22,2)</f>
        <v>10.5</v>
      </c>
      <c r="K22" s="1234" t="s">
        <v>736</v>
      </c>
      <c r="L22" s="288" t="s">
        <v>709</v>
      </c>
      <c r="M22" s="313">
        <f ca="1">INDIRECT("'数据-取费表'!Ak"&amp;$G$1)</f>
        <v>2E-3</v>
      </c>
    </row>
    <row r="23" spans="1:37" s="1282" customFormat="1" ht="18" customHeight="1">
      <c r="A23" s="908" t="s">
        <v>397</v>
      </c>
      <c r="B23" s="288" t="s">
        <v>737</v>
      </c>
      <c r="C23" s="21">
        <f ca="1">IF('数据-取费表'!B22&lt;=1,ROUND(C19*F24*F23/2,0)+ROUND(C20*F24*F23/2,0),ROUND(C19*(POWER((1+F24),F23/2)-1),0)+ROUND(C20*(POWER((1+F24),F23/2)-1),0))</f>
        <v>123</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ROUND(J13*M23,2)</f>
        <v>0</v>
      </c>
      <c r="K23" s="1234" t="s">
        <v>740</v>
      </c>
      <c r="L23" s="288" t="s">
        <v>741</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742</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3.1300000000000001E-2</v>
      </c>
      <c r="G24" s="1281"/>
      <c r="H24" s="1004" t="s">
        <v>681</v>
      </c>
      <c r="I24" s="1005" t="s">
        <v>725</v>
      </c>
      <c r="J24" s="1006">
        <f ca="1">ROUND(J5*M24,2)</f>
        <v>0</v>
      </c>
      <c r="K24" s="1007" t="s">
        <v>745</v>
      </c>
      <c r="L24" s="1005" t="s">
        <v>741</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746</v>
      </c>
      <c r="B25" s="288" t="s">
        <v>747</v>
      </c>
      <c r="C25" s="21"/>
      <c r="D25" s="117" t="s">
        <v>748</v>
      </c>
      <c r="E25" s="1247"/>
      <c r="F25" s="23"/>
      <c r="G25" s="1270"/>
      <c r="H25" s="994" t="s">
        <v>394</v>
      </c>
      <c r="I25" s="1009" t="s">
        <v>749</v>
      </c>
      <c r="J25" s="296">
        <f ca="1">J5-J16</f>
        <v>-12</v>
      </c>
      <c r="K25" s="1010" t="s">
        <v>750</v>
      </c>
      <c r="L25" s="1011"/>
      <c r="M25" s="1012"/>
    </row>
    <row r="26" spans="1:37">
      <c r="A26" s="908" t="s">
        <v>397</v>
      </c>
      <c r="B26" s="288" t="s">
        <v>751</v>
      </c>
      <c r="C26" s="21">
        <f ca="1">ROUND((C19+C20)*F26,0)</f>
        <v>786</v>
      </c>
      <c r="D26" s="308" t="s">
        <v>752</v>
      </c>
      <c r="E26" s="299" t="s">
        <v>753</v>
      </c>
      <c r="F26" s="298">
        <f ca="1">INDIRECT("'数据-取费表'!q"&amp;$G$1)</f>
        <v>0.2</v>
      </c>
      <c r="G26" s="1270"/>
      <c r="H26" s="285" t="s">
        <v>395</v>
      </c>
      <c r="I26" s="286" t="s">
        <v>754</v>
      </c>
      <c r="J26" s="287">
        <f ca="1">IF(J5&lt;&gt;0,ROUND(J25*(1-((1+M28)/(1+M26))^M27)/(M26-M28),0),0)</f>
        <v>0</v>
      </c>
      <c r="K26" s="309" t="s">
        <v>755</v>
      </c>
      <c r="L26" s="288" t="s">
        <v>756</v>
      </c>
      <c r="M26" s="298">
        <f ca="1">INDIRECT("'数据-取费表'!I"&amp;$G$1)</f>
        <v>0.06</v>
      </c>
    </row>
    <row r="27" spans="1:37" ht="18" customHeight="1">
      <c r="A27" s="908" t="s">
        <v>399</v>
      </c>
      <c r="B27" s="288" t="s">
        <v>757</v>
      </c>
      <c r="C27" s="21">
        <f ca="1">ROUND(F21*F26,4)</f>
        <v>4.0000000000000001E-3</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5248</v>
      </c>
      <c r="D29" s="1007"/>
      <c r="E29" s="1005"/>
      <c r="F29" s="1008"/>
      <c r="G29" s="1281"/>
      <c r="H29" s="318" t="s">
        <v>396</v>
      </c>
      <c r="I29" s="319" t="s">
        <v>765</v>
      </c>
      <c r="J29" s="320">
        <f ca="1">ROUND(J26/(1+F40)^F41,0)</f>
        <v>0</v>
      </c>
      <c r="K29" s="321" t="s">
        <v>766</v>
      </c>
      <c r="L29" s="322"/>
      <c r="M29" s="323">
        <f ca="1">INDIRECT("'数据-取费表'!k"&amp;$G$1)</f>
        <v>7681.7400000000007</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264</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ROUND(IF(AND(项目基本情况!B11="自然人",项目基本情况!B10="北京市"),C6*F31/(1+'数据-取费表'!C42),C32+C33+C34),2)</f>
        <v>234.58</v>
      </c>
      <c r="D31" s="1235" t="s">
        <v>717</v>
      </c>
      <c r="E31" s="1234" t="s">
        <v>767</v>
      </c>
      <c r="F31" s="2116" t="str">
        <f>IF(项目基本情况!B11="企业","——",IF(M47="住宅",IF(F6*F7*F8/12/(1+'数据-取费表'!F30)&gt;100000,4%,2.5%),IF(F6*F7*F8/12/(1+'数据-取费表'!F30)&gt;100000,12%,7%)))</f>
        <v>——</v>
      </c>
      <c r="G31" s="1270"/>
      <c r="H31" s="2543" t="s">
        <v>2290</v>
      </c>
      <c r="I31" s="1283"/>
      <c r="J31" s="1284"/>
      <c r="K31" s="115"/>
      <c r="L31" s="2446"/>
      <c r="M31" s="2447"/>
    </row>
    <row r="32" spans="1:37" ht="18" customHeight="1">
      <c r="A32" s="908" t="s">
        <v>397</v>
      </c>
      <c r="B32" s="288" t="s">
        <v>720</v>
      </c>
      <c r="C32" s="21">
        <f ca="1">IF(项目基本情况!B11="自然人","——",ROUND(C6*F32/(1+'数据-取费表'!C42),2))</f>
        <v>74.03</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IF(项目基本情况!B11="自然人","——",IF(D33="按租金收入计税",ROUND(C6*F33/(1+'数据-取费表'!C42),2),IF(D33="按房产原值计税",ROUND(C29*F33*0.7,2),INDIRECT("'数据-取费表'!Aj"&amp;$G$1))))</f>
        <v>158.63</v>
      </c>
      <c r="D33" s="1256" t="s">
        <v>3318</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IF(项目基本情况!B11="自然人","——",ROUND(F34*F35/10000,2))</f>
        <v>1.92</v>
      </c>
      <c r="D34" s="309" t="s">
        <v>728</v>
      </c>
      <c r="E34" s="288" t="s">
        <v>729</v>
      </c>
      <c r="F34" s="310">
        <f>'数据-取费表'!B52</f>
        <v>3</v>
      </c>
      <c r="G34" s="1270"/>
      <c r="H34" s="2445"/>
      <c r="I34" s="1283"/>
      <c r="J34" s="1284"/>
      <c r="K34" s="2450"/>
      <c r="L34" s="2451"/>
      <c r="M34" s="2451"/>
    </row>
    <row r="35" spans="1:18" ht="18" customHeight="1">
      <c r="A35" s="1018"/>
      <c r="B35" s="1016"/>
      <c r="C35" s="26"/>
      <c r="D35" s="312"/>
      <c r="E35" s="288" t="s">
        <v>733</v>
      </c>
      <c r="F35" s="289">
        <f ca="1">INDIRECT("'数据-取费表'!r"&amp;$G$1)</f>
        <v>6398.04</v>
      </c>
      <c r="G35" s="1270"/>
      <c r="H35" s="2445"/>
      <c r="I35" s="1283"/>
      <c r="J35" s="1284"/>
      <c r="K35" s="2449"/>
      <c r="L35" s="2448"/>
      <c r="M35" s="2448"/>
    </row>
    <row r="36" spans="1:18" ht="18" customHeight="1">
      <c r="A36" s="1017" t="s">
        <v>402</v>
      </c>
      <c r="B36" s="288" t="s">
        <v>735</v>
      </c>
      <c r="C36" s="21">
        <f ca="1">ROUND(C29*F36,2)</f>
        <v>10.5</v>
      </c>
      <c r="D36" s="1234" t="s">
        <v>768</v>
      </c>
      <c r="E36" s="288" t="s">
        <v>709</v>
      </c>
      <c r="F36" s="313">
        <f ca="1">INDIRECT("'数据-取费表'!Ak"&amp;$G$1)</f>
        <v>2E-3</v>
      </c>
      <c r="G36" s="1270"/>
      <c r="H36" s="2448"/>
      <c r="I36" s="1283"/>
      <c r="J36" s="1284"/>
      <c r="K36" s="2308"/>
      <c r="L36" s="2448"/>
      <c r="M36" s="2448"/>
    </row>
    <row r="37" spans="1:18" ht="18" customHeight="1">
      <c r="A37" s="908" t="s">
        <v>437</v>
      </c>
      <c r="B37" s="288" t="s">
        <v>739</v>
      </c>
      <c r="C37" s="21">
        <f ca="1">ROUND(C13*F37,2)</f>
        <v>4.88</v>
      </c>
      <c r="D37" s="1234" t="s">
        <v>740</v>
      </c>
      <c r="E37" s="288" t="s">
        <v>741</v>
      </c>
      <c r="F37" s="314">
        <f ca="1">INDIRECT("'数据-取费表'!Al"&amp;$G$1)</f>
        <v>1E-3</v>
      </c>
      <c r="G37" s="1270"/>
      <c r="H37" s="2448"/>
      <c r="I37" s="1283"/>
      <c r="J37" s="1284"/>
      <c r="K37" s="2308"/>
      <c r="L37" s="2448"/>
      <c r="M37" s="2448"/>
    </row>
    <row r="38" spans="1:18" ht="18" customHeight="1" thickBot="1">
      <c r="A38" s="1004" t="s">
        <v>681</v>
      </c>
      <c r="B38" s="1005" t="s">
        <v>725</v>
      </c>
      <c r="C38" s="1006">
        <f ca="1">ROUND(C5*F38,2)</f>
        <v>13.9</v>
      </c>
      <c r="D38" s="1007" t="s">
        <v>745</v>
      </c>
      <c r="E38" s="1005" t="s">
        <v>741</v>
      </c>
      <c r="F38" s="1001">
        <f ca="1">INDIRECT("'数据-取费表'!Am"&amp;$G$1)</f>
        <v>0.01</v>
      </c>
      <c r="G38" s="1270"/>
      <c r="H38" s="2448"/>
      <c r="I38" s="1283"/>
      <c r="J38" s="1284"/>
      <c r="K38" s="2446"/>
      <c r="L38" s="2448"/>
      <c r="M38" s="2448"/>
    </row>
    <row r="39" spans="1:18" ht="24.6" customHeight="1" thickTop="1">
      <c r="A39" s="994" t="s">
        <v>394</v>
      </c>
      <c r="B39" s="1009" t="s">
        <v>769</v>
      </c>
      <c r="C39" s="296">
        <f ca="1">C5-C30</f>
        <v>1126</v>
      </c>
      <c r="D39" s="1010" t="s">
        <v>770</v>
      </c>
      <c r="E39" s="1011"/>
      <c r="F39" s="1012"/>
      <c r="G39" s="1270"/>
      <c r="H39" s="2448"/>
      <c r="I39" s="1283"/>
      <c r="J39" s="1284"/>
      <c r="K39" s="2446"/>
      <c r="L39" s="2448"/>
      <c r="M39" s="2448"/>
    </row>
    <row r="40" spans="1:18" ht="18" customHeight="1">
      <c r="A40" s="285" t="s">
        <v>395</v>
      </c>
      <c r="B40" s="286" t="s">
        <v>771</v>
      </c>
      <c r="C40" s="287">
        <f ca="1">ROUND(C39*(1-((1+F42)/(1+F40))^F41)/(F40-F42),0)</f>
        <v>20497</v>
      </c>
      <c r="D40" s="309" t="s">
        <v>755</v>
      </c>
      <c r="E40" s="288" t="s">
        <v>756</v>
      </c>
      <c r="F40" s="298">
        <f ca="1">INDIRECT("'数据-取费表'!I"&amp;$G$1)</f>
        <v>0.06</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33.86</v>
      </c>
      <c r="G41" s="1270"/>
      <c r="H41" s="115"/>
      <c r="I41" s="1283"/>
      <c r="J41" s="1284"/>
      <c r="K41" s="2308"/>
      <c r="L41" s="115"/>
      <c r="M41" s="115"/>
    </row>
    <row r="42" spans="1:18" ht="18" customHeight="1">
      <c r="A42" s="294"/>
      <c r="B42" s="295"/>
      <c r="C42" s="296"/>
      <c r="D42" s="312"/>
      <c r="E42" s="288" t="s">
        <v>763</v>
      </c>
      <c r="F42" s="298">
        <f ca="1">INDIRECT("'数据-取费表'!v"&amp;$G$1)</f>
        <v>0.02</v>
      </c>
      <c r="G42" s="1270"/>
      <c r="H42" s="115"/>
      <c r="I42" s="1283"/>
      <c r="J42" s="1284"/>
      <c r="K42" s="2308"/>
      <c r="L42" s="115"/>
      <c r="M42" s="115"/>
    </row>
    <row r="43" spans="1:18" ht="18" customHeight="1" thickBot="1">
      <c r="A43" s="318" t="s">
        <v>396</v>
      </c>
      <c r="B43" s="319" t="s">
        <v>773</v>
      </c>
      <c r="C43" s="320">
        <f ca="1">ROUND(C40*10000/F43,0)</f>
        <v>26683</v>
      </c>
      <c r="D43" s="321" t="s">
        <v>774</v>
      </c>
      <c r="E43" s="322" t="s">
        <v>775</v>
      </c>
      <c r="F43" s="323">
        <f ca="1">INDIRECT("'数据-取费表'!k"&amp;$G$1)</f>
        <v>7681.7400000000007</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805</v>
      </c>
      <c r="P45" s="1344"/>
      <c r="Q45" s="1344"/>
      <c r="R45" s="1344"/>
    </row>
    <row r="46" spans="1:18" s="1270" customFormat="1" ht="13.5" thickBot="1">
      <c r="A46" s="1289" t="s">
        <v>806</v>
      </c>
      <c r="C46" s="1290">
        <f ca="1">C68-C40</f>
        <v>-20741</v>
      </c>
      <c r="D46" s="1291" t="str">
        <f>C2</f>
        <v>万元</v>
      </c>
      <c r="E46" s="1285"/>
      <c r="F46" s="1285"/>
      <c r="I46" s="1292" t="s">
        <v>807</v>
      </c>
      <c r="J46" s="1293"/>
      <c r="K46" s="1294"/>
      <c r="L46" s="1295">
        <f ca="1">IF(M47="住宅",0,IF(L48&gt;J51,L60,J60))</f>
        <v>181</v>
      </c>
      <c r="O46" s="1296" t="s">
        <v>808</v>
      </c>
      <c r="P46" s="1297" t="s">
        <v>809</v>
      </c>
      <c r="Q46" s="1298" t="s">
        <v>810</v>
      </c>
      <c r="R46" s="1298" t="s">
        <v>811</v>
      </c>
    </row>
    <row r="47" spans="1:18" s="1270" customFormat="1" ht="13.5" thickBot="1">
      <c r="A47" s="872" t="s">
        <v>684</v>
      </c>
      <c r="B47" s="904" t="s">
        <v>685</v>
      </c>
      <c r="C47" s="1032" t="s">
        <v>686</v>
      </c>
      <c r="D47" s="904" t="s">
        <v>687</v>
      </c>
      <c r="E47" s="974" t="s">
        <v>688</v>
      </c>
      <c r="F47" s="975"/>
      <c r="G47" s="671"/>
      <c r="I47" s="1299" t="s">
        <v>812</v>
      </c>
      <c r="J47" s="1300" t="s">
        <v>3981</v>
      </c>
      <c r="K47" s="1301" t="s">
        <v>813</v>
      </c>
      <c r="L47" s="1302">
        <f ca="1">INDIRECT("'数据-取费表'!d"&amp;$G$1)</f>
        <v>40</v>
      </c>
      <c r="M47" s="1266" t="str">
        <f>IF(ISNUMBER(FIND("住宅",C1)),"住宅","非住宅")</f>
        <v>非住宅</v>
      </c>
      <c r="O47" s="1303" t="s">
        <v>403</v>
      </c>
      <c r="P47" s="1304" t="s">
        <v>814</v>
      </c>
      <c r="Q47" s="1305">
        <f ca="1">C40+J29</f>
        <v>20497</v>
      </c>
      <c r="R47" s="1305" t="s">
        <v>815</v>
      </c>
    </row>
    <row r="48" spans="1:18" s="1270" customFormat="1" ht="28.5" thickBot="1">
      <c r="A48" s="1025" t="s">
        <v>438</v>
      </c>
      <c r="B48" s="286" t="s">
        <v>689</v>
      </c>
      <c r="C48" s="1246">
        <f ca="1">C49+C53+C55</f>
        <v>0</v>
      </c>
      <c r="D48" s="1027"/>
      <c r="E48" s="1028"/>
      <c r="F48" s="888"/>
      <c r="G48" s="671"/>
      <c r="H48" s="672"/>
      <c r="I48" s="1306" t="s">
        <v>816</v>
      </c>
      <c r="J48" s="1307" t="s">
        <v>3982</v>
      </c>
      <c r="K48" s="1308" t="s">
        <v>817</v>
      </c>
      <c r="L48" s="1309">
        <f ca="1">INDIRECT("'数据-取费表'!f"&amp;$G$1)</f>
        <v>33.86</v>
      </c>
      <c r="O48" s="1303" t="s">
        <v>404</v>
      </c>
      <c r="P48" s="1304" t="s">
        <v>818</v>
      </c>
      <c r="Q48" s="1305">
        <f ca="1">J60</f>
        <v>181</v>
      </c>
      <c r="R48" s="1305" t="s">
        <v>819</v>
      </c>
    </row>
    <row r="49" spans="1:18" s="1270" customFormat="1" ht="13.5" thickBot="1">
      <c r="A49" s="901" t="s">
        <v>439</v>
      </c>
      <c r="B49" s="1257" t="s">
        <v>776</v>
      </c>
      <c r="C49" s="1029">
        <f ca="1">ROUND(F49*F51*F50*(1-F52)/10000,0)</f>
        <v>0</v>
      </c>
      <c r="D49" s="971" t="s">
        <v>2105</v>
      </c>
      <c r="E49" s="1258" t="s">
        <v>777</v>
      </c>
      <c r="F49" s="976"/>
      <c r="H49" s="672"/>
      <c r="I49" s="1306" t="s">
        <v>820</v>
      </c>
      <c r="J49" s="1310">
        <v>2021</v>
      </c>
      <c r="K49" s="1308" t="s">
        <v>821</v>
      </c>
      <c r="L49" s="1311"/>
      <c r="O49" s="1312" t="s">
        <v>405</v>
      </c>
      <c r="P49" s="1304" t="s">
        <v>822</v>
      </c>
      <c r="Q49" s="1305">
        <f ca="1">C29</f>
        <v>5248</v>
      </c>
      <c r="R49" s="1305" t="s">
        <v>815</v>
      </c>
    </row>
    <row r="50" spans="1:18" s="1270" customFormat="1" ht="13.5" thickBot="1">
      <c r="A50" s="902"/>
      <c r="B50" s="905"/>
      <c r="C50" s="1033"/>
      <c r="D50" s="879"/>
      <c r="E50" s="972" t="s">
        <v>694</v>
      </c>
      <c r="F50" s="973">
        <f ca="1">F7</f>
        <v>7681.7400000000007</v>
      </c>
      <c r="H50" s="672"/>
      <c r="I50" s="1306" t="s">
        <v>823</v>
      </c>
      <c r="J50" s="1313">
        <f>SUMPRODUCT((I63:I65=J47)*(J62:L62=J48)*(J63:L65))</f>
        <v>60</v>
      </c>
      <c r="K50" s="1308" t="s">
        <v>824</v>
      </c>
      <c r="L50" s="1311"/>
      <c r="M50" s="1314"/>
      <c r="O50" s="1312" t="s">
        <v>406</v>
      </c>
      <c r="P50" s="1304" t="s">
        <v>825</v>
      </c>
      <c r="Q50" s="1315">
        <f ca="1">J58</f>
        <v>0.4</v>
      </c>
      <c r="R50" s="1305"/>
    </row>
    <row r="51" spans="1:18" s="1270" customFormat="1" ht="13.5" thickBot="1">
      <c r="A51" s="903"/>
      <c r="B51" s="905"/>
      <c r="C51" s="906"/>
      <c r="D51" s="879"/>
      <c r="E51" s="907" t="s">
        <v>695</v>
      </c>
      <c r="F51" s="289">
        <f ca="1">F8</f>
        <v>365</v>
      </c>
      <c r="I51" s="1316" t="s">
        <v>826</v>
      </c>
      <c r="J51" s="1309">
        <f>IF(J49="",J50,J49+J50-YEAR('数据-取费表'!B2))</f>
        <v>56</v>
      </c>
      <c r="K51" s="1317" t="s">
        <v>827</v>
      </c>
      <c r="L51" s="1318">
        <f ca="1">ROUND(-PV(INDIRECT("'数据-取费表'!h"&amp;$G$1),J51,(C39-C13*C76),0),0)</f>
        <v>13549</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f ca="1">J53</f>
        <v>33.86</v>
      </c>
      <c r="R52" s="1305" t="s">
        <v>832</v>
      </c>
    </row>
    <row r="53" spans="1:18" s="1270" customFormat="1" ht="24.75" thickBot="1">
      <c r="A53" s="1057" t="s">
        <v>440</v>
      </c>
      <c r="B53" s="1259" t="s">
        <v>697</v>
      </c>
      <c r="C53" s="302">
        <f ca="1">ROUND(IF(F53="押一",C49/12*F11,IF(F53="押二",C49/12*2*F11,IF(F53="押三",C49/12*3*F11,C54*F11))),0)</f>
        <v>0</v>
      </c>
      <c r="D53" s="144" t="s">
        <v>2111</v>
      </c>
      <c r="E53" s="299" t="s">
        <v>698</v>
      </c>
      <c r="F53" s="1031"/>
      <c r="I53" s="1322" t="s">
        <v>833</v>
      </c>
      <c r="J53" s="1983">
        <f ca="1">IF(M47="住宅",IF(D1="——",MAX(J51,L48),MAX(J51,L48-'数据-取费表'!B24)),IF(D1="——",MIN(J51,L48),MIN(J51,L48-'数据-取费表'!B24)))</f>
        <v>33.86</v>
      </c>
      <c r="K53" s="3483" t="s">
        <v>834</v>
      </c>
      <c r="L53" s="3484"/>
      <c r="O53" s="1303" t="s">
        <v>409</v>
      </c>
      <c r="P53" s="1304" t="s">
        <v>835</v>
      </c>
      <c r="Q53" s="1305">
        <f ca="1">Q47+Q48</f>
        <v>20678</v>
      </c>
      <c r="R53" s="1305" t="s">
        <v>410</v>
      </c>
    </row>
    <row r="54" spans="1:18" s="1270" customFormat="1" ht="13.5" thickBot="1">
      <c r="A54" s="1058"/>
      <c r="B54" s="1253" t="s">
        <v>676</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f ca="1">ROUND(IF(J47="钢混",J57/J50,1-(1-2%)*(J50-J57)/J50),3)</f>
        <v>0.36899999999999999</v>
      </c>
      <c r="K55" s="1328" t="s">
        <v>838</v>
      </c>
      <c r="L55" s="1329"/>
      <c r="O55" s="1296" t="s">
        <v>808</v>
      </c>
      <c r="P55" s="1297" t="s">
        <v>809</v>
      </c>
      <c r="Q55" s="1298" t="s">
        <v>810</v>
      </c>
      <c r="R55" s="1298" t="s">
        <v>811</v>
      </c>
    </row>
    <row r="56" spans="1:18" s="1270" customFormat="1" ht="25.5" thickTop="1" thickBot="1">
      <c r="A56" s="883">
        <v>2</v>
      </c>
      <c r="B56" s="884" t="s">
        <v>701</v>
      </c>
      <c r="C56" s="218">
        <f ca="1">C13</f>
        <v>4881</v>
      </c>
      <c r="D56" s="1330"/>
      <c r="E56" s="1331"/>
      <c r="F56" s="1323"/>
      <c r="I56" s="1332" t="s">
        <v>839</v>
      </c>
      <c r="J56" s="1333" t="s">
        <v>3502</v>
      </c>
      <c r="K56" s="1306" t="s">
        <v>840</v>
      </c>
      <c r="L56" s="1309" t="str">
        <f ca="1">IF(L48&lt;J51,"——",L48-J53)</f>
        <v>——</v>
      </c>
      <c r="O56" s="1303" t="s">
        <v>403</v>
      </c>
      <c r="P56" s="1304" t="s">
        <v>814</v>
      </c>
      <c r="Q56" s="1305">
        <f ca="1">C40+J29</f>
        <v>20497</v>
      </c>
      <c r="R56" s="1305" t="s">
        <v>815</v>
      </c>
    </row>
    <row r="57" spans="1:18" s="1270" customFormat="1" ht="24.75" thickBot="1">
      <c r="A57" s="1334"/>
      <c r="B57" s="876" t="s">
        <v>764</v>
      </c>
      <c r="C57" s="224">
        <f ca="1">C29</f>
        <v>5248</v>
      </c>
      <c r="D57" s="1335"/>
      <c r="E57" s="1336"/>
      <c r="F57" s="1337"/>
      <c r="I57" s="1338" t="s">
        <v>841</v>
      </c>
      <c r="J57" s="1339">
        <f ca="1">IF(OR(M47="住宅",J51&lt;L48,J56="是"),"——",J51-L48)</f>
        <v>22.14</v>
      </c>
      <c r="K57" s="1306" t="s">
        <v>842</v>
      </c>
      <c r="L57" s="1309" t="str">
        <f ca="1">IF(L48&lt;J51,"——",IF(L55="比较法",L49,IF(L55="基准地价",L50,L51)))</f>
        <v>——</v>
      </c>
      <c r="O57" s="1303" t="s">
        <v>404</v>
      </c>
      <c r="P57" s="1304" t="s">
        <v>843</v>
      </c>
      <c r="Q57" s="1305">
        <f ca="1">L60</f>
        <v>0</v>
      </c>
      <c r="R57" s="1305" t="s">
        <v>844</v>
      </c>
    </row>
    <row r="58" spans="1:18" s="1270" customFormat="1" ht="24.75" thickBot="1">
      <c r="A58" s="301" t="s">
        <v>393</v>
      </c>
      <c r="B58" s="884" t="s">
        <v>711</v>
      </c>
      <c r="C58" s="302">
        <f ca="1">ROUND(C59+C64+C65+C66,0)</f>
        <v>17</v>
      </c>
      <c r="D58" s="886" t="s">
        <v>712</v>
      </c>
      <c r="E58" s="887"/>
      <c r="F58" s="888"/>
      <c r="I58" s="1338" t="s">
        <v>845</v>
      </c>
      <c r="J58" s="1340">
        <f ca="1">IF(J55&lt;0.4,0.4,J55)</f>
        <v>0.4</v>
      </c>
      <c r="K58" s="1317" t="s">
        <v>846</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2</v>
      </c>
      <c r="D59" s="889" t="s">
        <v>717</v>
      </c>
      <c r="E59" s="890" t="s">
        <v>718</v>
      </c>
      <c r="F59" s="2116" t="str">
        <f>IF(项目基本情况!B11="企业","——",IF('数据-取费表'!B10="住宅",IF(F49*F50*F51/12/(1+'数据-取费表'!F30)&gt;100000,4%,2.5%),IF(F49*F50*F51/12/(1+'数据-取费表'!F30)&gt;100000,12%,7%)))</f>
        <v>——</v>
      </c>
      <c r="I59" s="1338" t="s">
        <v>848</v>
      </c>
      <c r="J59" s="1339">
        <f ca="1">IF(OR(M47="住宅",J51&lt;L48,J56="是"),"——",ROUND(C29*J58,0))</f>
        <v>2099</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1" t="s">
        <v>850</v>
      </c>
      <c r="J60" s="1342">
        <f ca="1">IF(OR(M47="住宅",J51&lt;L48,J56="是"),"0",ROUND(J59/(1+J52)^J53,0))</f>
        <v>181</v>
      </c>
      <c r="K60" s="1343" t="s">
        <v>851</v>
      </c>
      <c r="L60" s="1342">
        <f ca="1">IF(OR(M47="住宅",L48&lt;J51),0,ROUND(L57*(L58/L59-1),0))</f>
        <v>0</v>
      </c>
      <c r="O60" s="1312" t="s">
        <v>407</v>
      </c>
      <c r="P60" s="1304" t="s">
        <v>852</v>
      </c>
      <c r="Q60" s="1305" t="e">
        <f ca="1">L58</f>
        <v>#DIV/0!</v>
      </c>
      <c r="R60" s="1305" t="s">
        <v>853</v>
      </c>
    </row>
    <row r="61" spans="1:18" s="1270" customFormat="1" ht="13.5" thickBot="1">
      <c r="A61" s="908" t="s">
        <v>778</v>
      </c>
      <c r="B61" s="876" t="s">
        <v>779</v>
      </c>
      <c r="C61" s="21">
        <f ca="1">IF(项目基本情况!B11="自然人","——",IF(D61="按租金收入计税",ROUND(C49*F61/(1+'数据-取费表'!C42),2),IF(D61="按房产原值计税",ROUND(C57*F61*0.7,2),INDIRECT("'数据-取费表'!Aj"&amp;$G$1))))</f>
        <v>0</v>
      </c>
      <c r="D61" s="1256" t="s">
        <v>3318</v>
      </c>
      <c r="E61" s="876" t="s">
        <v>780</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782</v>
      </c>
      <c r="C62" s="22">
        <f ca="1">IF(项目基本情况!B11="自然人","——",ROUND(F62*F63/10000,2))</f>
        <v>1.92</v>
      </c>
      <c r="D62" s="891" t="s">
        <v>783</v>
      </c>
      <c r="E62" s="876" t="s">
        <v>784</v>
      </c>
      <c r="F62" s="310">
        <f t="shared" si="0"/>
        <v>3</v>
      </c>
      <c r="I62" s="1345" t="s">
        <v>855</v>
      </c>
      <c r="J62" s="603" t="s">
        <v>856</v>
      </c>
      <c r="K62" s="603" t="s">
        <v>857</v>
      </c>
      <c r="L62" s="603" t="s">
        <v>858</v>
      </c>
      <c r="M62" s="1346" t="s">
        <v>859</v>
      </c>
      <c r="O62" s="1303" t="s">
        <v>409</v>
      </c>
      <c r="P62" s="1304" t="s">
        <v>860</v>
      </c>
      <c r="Q62" s="1305">
        <f ca="1">Q56+Q57</f>
        <v>20497</v>
      </c>
      <c r="R62" s="1305" t="s">
        <v>410</v>
      </c>
    </row>
    <row r="63" spans="1:18" s="1270" customFormat="1" ht="13.5" thickBot="1">
      <c r="A63" s="311"/>
      <c r="B63" s="882"/>
      <c r="C63" s="26"/>
      <c r="D63" s="892"/>
      <c r="E63" s="876" t="s">
        <v>785</v>
      </c>
      <c r="F63" s="289">
        <f t="shared" ca="1" si="0"/>
        <v>6398.04</v>
      </c>
      <c r="I63" s="1345" t="s">
        <v>861</v>
      </c>
      <c r="J63" s="603">
        <v>70</v>
      </c>
      <c r="K63" s="603">
        <v>50</v>
      </c>
      <c r="L63" s="603">
        <v>80</v>
      </c>
      <c r="M63" s="1347">
        <v>0.02</v>
      </c>
      <c r="O63" s="1288" t="s">
        <v>862</v>
      </c>
      <c r="P63" s="1267"/>
      <c r="Q63" s="1267"/>
      <c r="R63" s="1267"/>
    </row>
    <row r="64" spans="1:18" s="1270" customFormat="1" ht="13.5" thickBot="1">
      <c r="A64" s="908" t="s">
        <v>786</v>
      </c>
      <c r="B64" s="876" t="s">
        <v>787</v>
      </c>
      <c r="C64" s="21">
        <f ca="1">ROUND(C57*F64,2)</f>
        <v>10.5</v>
      </c>
      <c r="D64" s="890" t="s">
        <v>788</v>
      </c>
      <c r="E64" s="876" t="s">
        <v>780</v>
      </c>
      <c r="F64" s="313">
        <f t="shared" ca="1" si="0"/>
        <v>2E-3</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ROUND(C56*F65,2)</f>
        <v>4.88</v>
      </c>
      <c r="D65" s="890" t="s">
        <v>740</v>
      </c>
      <c r="E65" s="876" t="s">
        <v>741</v>
      </c>
      <c r="F65" s="314">
        <f t="shared" ca="1" si="0"/>
        <v>1E-3</v>
      </c>
      <c r="I65" s="1345" t="s">
        <v>864</v>
      </c>
      <c r="J65" s="603">
        <v>40</v>
      </c>
      <c r="K65" s="603">
        <v>30</v>
      </c>
      <c r="L65" s="603">
        <v>50</v>
      </c>
      <c r="M65" s="1347">
        <v>0.02</v>
      </c>
      <c r="O65" s="1303" t="s">
        <v>403</v>
      </c>
      <c r="P65" s="1304" t="s">
        <v>865</v>
      </c>
      <c r="Q65" s="1305">
        <f ca="1">C40+J29</f>
        <v>20497</v>
      </c>
      <c r="R65" s="1305" t="s">
        <v>815</v>
      </c>
    </row>
    <row r="66" spans="1:18" s="1270" customFormat="1" ht="16.5" thickBot="1">
      <c r="A66" s="908" t="s">
        <v>790</v>
      </c>
      <c r="B66" s="876" t="s">
        <v>725</v>
      </c>
      <c r="C66" s="21">
        <f ca="1">ROUND(C48*F66,2)</f>
        <v>0</v>
      </c>
      <c r="D66" s="890" t="s">
        <v>791</v>
      </c>
      <c r="E66" s="876" t="s">
        <v>709</v>
      </c>
      <c r="F66" s="298">
        <f t="shared" ca="1" si="0"/>
        <v>0.01</v>
      </c>
      <c r="O66" s="1303" t="s">
        <v>404</v>
      </c>
      <c r="P66" s="1304" t="s">
        <v>843</v>
      </c>
      <c r="Q66" s="1305">
        <f ca="1">L60</f>
        <v>0</v>
      </c>
      <c r="R66" s="1305" t="s">
        <v>866</v>
      </c>
    </row>
    <row r="67" spans="1:18" s="1270" customFormat="1" ht="16.5" thickBot="1">
      <c r="A67" s="883" t="s">
        <v>394</v>
      </c>
      <c r="B67" s="893" t="s">
        <v>749</v>
      </c>
      <c r="C67" s="302">
        <f ca="1">C48-C58</f>
        <v>-17</v>
      </c>
      <c r="D67" s="889" t="s">
        <v>750</v>
      </c>
      <c r="E67" s="894"/>
      <c r="F67" s="895"/>
      <c r="O67" s="1312" t="s">
        <v>405</v>
      </c>
      <c r="P67" s="1304" t="s">
        <v>847</v>
      </c>
      <c r="Q67" s="1348">
        <f ca="1">L51</f>
        <v>13549</v>
      </c>
      <c r="R67" s="1305" t="s">
        <v>867</v>
      </c>
    </row>
    <row r="68" spans="1:18" s="1270" customFormat="1" ht="16.5" thickBot="1">
      <c r="A68" s="873" t="s">
        <v>395</v>
      </c>
      <c r="B68" s="874" t="s">
        <v>771</v>
      </c>
      <c r="C68" s="287">
        <f ca="1">ROUND(C67*(1-((1+F70)/(1+F68))^F69)/(F68-F70),0)</f>
        <v>-244</v>
      </c>
      <c r="D68" s="891" t="s">
        <v>755</v>
      </c>
      <c r="E68" s="876" t="s">
        <v>756</v>
      </c>
      <c r="F68" s="298">
        <f ca="1">F40</f>
        <v>0.06</v>
      </c>
      <c r="O68" s="1312" t="s">
        <v>406</v>
      </c>
      <c r="P68" s="1349" t="s">
        <v>868</v>
      </c>
      <c r="Q68" s="1305">
        <f ca="1">ROUND(Q69-Q70*Q71,0)</f>
        <v>784</v>
      </c>
      <c r="R68" s="1305" t="s">
        <v>414</v>
      </c>
    </row>
    <row r="69" spans="1:18" s="1270" customFormat="1" ht="13.5" thickBot="1">
      <c r="A69" s="877"/>
      <c r="B69" s="878"/>
      <c r="C69" s="292"/>
      <c r="D69" s="896" t="s">
        <v>759</v>
      </c>
      <c r="E69" s="876" t="s">
        <v>760</v>
      </c>
      <c r="F69" s="317">
        <f ca="1">F41</f>
        <v>33.86</v>
      </c>
      <c r="O69" s="1312" t="s">
        <v>411</v>
      </c>
      <c r="P69" s="1349" t="s">
        <v>869</v>
      </c>
      <c r="Q69" s="1305">
        <f ca="1">C39</f>
        <v>1126</v>
      </c>
      <c r="R69" s="1305" t="s">
        <v>815</v>
      </c>
    </row>
    <row r="70" spans="1:18" s="1270" customFormat="1" ht="13.5" thickBot="1">
      <c r="A70" s="880"/>
      <c r="B70" s="881"/>
      <c r="C70" s="296"/>
      <c r="D70" s="892"/>
      <c r="E70" s="876" t="s">
        <v>763</v>
      </c>
      <c r="F70" s="970"/>
      <c r="O70" s="1312" t="s">
        <v>412</v>
      </c>
      <c r="P70" s="1349" t="s">
        <v>870</v>
      </c>
      <c r="Q70" s="1305">
        <f ca="1">C13</f>
        <v>4881</v>
      </c>
      <c r="R70" s="1305" t="s">
        <v>815</v>
      </c>
    </row>
    <row r="71" spans="1:18" s="1270" customFormat="1" ht="13.5" thickBot="1">
      <c r="A71" s="897" t="s">
        <v>396</v>
      </c>
      <c r="B71" s="898" t="s">
        <v>773</v>
      </c>
      <c r="C71" s="320">
        <f ca="1">ROUND(C68*10000/F71,0)</f>
        <v>-318</v>
      </c>
      <c r="D71" s="899" t="s">
        <v>774</v>
      </c>
      <c r="E71" s="900" t="s">
        <v>775</v>
      </c>
      <c r="F71" s="323">
        <f ca="1">F43</f>
        <v>7681.7400000000007</v>
      </c>
      <c r="O71" s="1312" t="s">
        <v>413</v>
      </c>
      <c r="P71" s="1349" t="s">
        <v>871</v>
      </c>
      <c r="Q71" s="1315">
        <f ca="1">C76</f>
        <v>7.0000000000000007E-2</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342</v>
      </c>
      <c r="D75" s="1270"/>
      <c r="E75" s="1270"/>
      <c r="F75" s="1270"/>
      <c r="K75" s="1287"/>
      <c r="L75" s="1270"/>
      <c r="O75" s="1303" t="s">
        <v>409</v>
      </c>
      <c r="P75" s="1304" t="s">
        <v>835</v>
      </c>
      <c r="Q75" s="1305">
        <f ca="1">Q65+Q66</f>
        <v>20497</v>
      </c>
      <c r="R75" s="1305" t="s">
        <v>410</v>
      </c>
    </row>
    <row r="76" spans="1:18">
      <c r="B76" s="326" t="s">
        <v>793</v>
      </c>
      <c r="C76" s="327">
        <f ca="1">INDIRECT("'数据-取费表'!j"&amp;$G$1)</f>
        <v>7.0000000000000007E-2</v>
      </c>
      <c r="I76" s="1270"/>
      <c r="J76" s="1270"/>
      <c r="K76" s="1287"/>
      <c r="L76" s="1270"/>
    </row>
    <row r="77" spans="1:18">
      <c r="B77" s="328" t="s">
        <v>794</v>
      </c>
      <c r="C77" s="329"/>
      <c r="I77" s="1270"/>
      <c r="J77" s="1270"/>
      <c r="K77" s="1287"/>
      <c r="L77" s="1270"/>
    </row>
    <row r="78" spans="1:18">
      <c r="B78" s="256" t="s">
        <v>795</v>
      </c>
      <c r="C78" s="330"/>
    </row>
    <row r="79" spans="1:18">
      <c r="B79" s="324" t="s">
        <v>796</v>
      </c>
      <c r="C79" s="260">
        <f ca="1">1-C80</f>
        <v>0.69599999999999995</v>
      </c>
    </row>
    <row r="80" spans="1:18">
      <c r="B80" s="324" t="s">
        <v>797</v>
      </c>
      <c r="C80" s="260">
        <f ca="1">ROUND(C75/C39,3)</f>
        <v>0.30399999999999999</v>
      </c>
    </row>
    <row r="81" spans="2:3">
      <c r="B81" s="256" t="s">
        <v>798</v>
      </c>
      <c r="C81" s="224"/>
    </row>
    <row r="82" spans="2:3">
      <c r="B82" s="259" t="s">
        <v>799</v>
      </c>
      <c r="C82" s="261">
        <f ca="1">1-C83</f>
        <v>0.76200000000000001</v>
      </c>
    </row>
    <row r="83" spans="2:3">
      <c r="B83" s="259" t="s">
        <v>800</v>
      </c>
      <c r="C83" s="260">
        <f ca="1">ROUND(C13/C40,3)</f>
        <v>0.23799999999999999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CB22-94A9-47B1-8BD2-03C8DD895F72}">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21</v>
      </c>
      <c r="D1" s="1249" t="s">
        <v>43</v>
      </c>
      <c r="E1" s="1250" t="s">
        <v>675</v>
      </c>
      <c r="F1" s="978">
        <f ca="1">J53</f>
        <v>43.87</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1272">
        <f ca="1">C40+J29+L46</f>
        <v>92723</v>
      </c>
      <c r="C2" s="1267" t="s">
        <v>802</v>
      </c>
      <c r="D2" s="1267"/>
      <c r="E2" s="1273"/>
      <c r="F2" s="1274"/>
      <c r="G2" s="2453"/>
      <c r="H2" s="2443"/>
      <c r="I2" s="2443"/>
      <c r="J2" s="2443"/>
      <c r="K2" s="2444"/>
      <c r="L2" s="2443"/>
      <c r="M2" s="2443"/>
    </row>
    <row r="3" spans="1:37" ht="18" customHeight="1" thickBot="1">
      <c r="A3" s="1275" t="s">
        <v>803</v>
      </c>
      <c r="B3" s="1276">
        <f ca="1">IF(ISERROR(B2*10000/F43),0,ROUND(B2*10000/F43,0))</f>
        <v>24705</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f ca="1">C6+C10+C12</f>
        <v>5184</v>
      </c>
      <c r="D5" s="1251" t="s">
        <v>690</v>
      </c>
      <c r="E5" s="987"/>
      <c r="F5" s="988"/>
      <c r="G5" s="1270"/>
      <c r="H5" s="285">
        <v>1</v>
      </c>
      <c r="I5" s="286" t="s">
        <v>689</v>
      </c>
      <c r="J5" s="986">
        <f ca="1">J6+J10+J12</f>
        <v>0</v>
      </c>
      <c r="K5" s="1251" t="s">
        <v>690</v>
      </c>
      <c r="L5" s="987"/>
      <c r="M5" s="988"/>
    </row>
    <row r="6" spans="1:37" ht="18" customHeight="1">
      <c r="A6" s="985" t="s">
        <v>398</v>
      </c>
      <c r="B6" s="3485" t="s">
        <v>691</v>
      </c>
      <c r="C6" s="990">
        <f ca="1">ROUND(F6*F8*F7*(1-F9)/10000,0)</f>
        <v>5178</v>
      </c>
      <c r="D6" s="141" t="s">
        <v>2104</v>
      </c>
      <c r="E6" s="288" t="s">
        <v>693</v>
      </c>
      <c r="F6" s="289">
        <f ca="1">INDIRECT("'数据-取费表'!u"&amp;$G$1)</f>
        <v>4.2</v>
      </c>
      <c r="G6" s="1270"/>
      <c r="H6" s="985" t="s">
        <v>398</v>
      </c>
      <c r="I6" s="3485" t="s">
        <v>691</v>
      </c>
      <c r="J6" s="287">
        <f ca="1">ROUND(M6*M8*M7*(1-M9)/10000,0)</f>
        <v>0</v>
      </c>
      <c r="K6" s="141" t="s">
        <v>2103</v>
      </c>
      <c r="L6" s="288" t="s">
        <v>693</v>
      </c>
      <c r="M6" s="289">
        <f ca="1">INDIRECT("'数据-取费表'!z"&amp;$G$1)</f>
        <v>0</v>
      </c>
    </row>
    <row r="7" spans="1:37" ht="18" customHeight="1">
      <c r="A7" s="989"/>
      <c r="B7" s="3486"/>
      <c r="C7" s="991"/>
      <c r="D7" s="293"/>
      <c r="E7" s="992" t="s">
        <v>694</v>
      </c>
      <c r="F7" s="289">
        <f ca="1">IF(INDIRECT("'数据-取费表'!ah"&amp;$G$1)="",INDIRECT("'数据-取费表'!k"&amp;$G$1),INDIRECT("'数据-取费表'!ah"&amp;$G$1))</f>
        <v>37532.270000000004</v>
      </c>
      <c r="G7" s="1270"/>
      <c r="H7" s="290"/>
      <c r="I7" s="3486"/>
      <c r="J7" s="292"/>
      <c r="K7" s="293"/>
      <c r="L7" s="288" t="s">
        <v>694</v>
      </c>
      <c r="M7" s="289">
        <f ca="1">F7</f>
        <v>37532.270000000004</v>
      </c>
    </row>
    <row r="8" spans="1:37" ht="18" customHeight="1">
      <c r="A8" s="290"/>
      <c r="B8" s="3486"/>
      <c r="C8" s="292"/>
      <c r="D8" s="293"/>
      <c r="E8" s="288" t="s">
        <v>695</v>
      </c>
      <c r="F8" s="289">
        <f ca="1">INDIRECT("'数据-取费表'!ai"&amp;$G$1)</f>
        <v>365</v>
      </c>
      <c r="G8" s="1270"/>
      <c r="H8" s="290"/>
      <c r="I8" s="3486"/>
      <c r="J8" s="292"/>
      <c r="K8" s="293"/>
      <c r="L8" s="288" t="s">
        <v>695</v>
      </c>
      <c r="M8" s="289">
        <f ca="1">INDIRECT("'数据-取费表'!ai"&amp;$G$1)</f>
        <v>365</v>
      </c>
    </row>
    <row r="9" spans="1:37" ht="18" customHeight="1">
      <c r="A9" s="290"/>
      <c r="B9" s="3487"/>
      <c r="C9" s="292"/>
      <c r="D9" s="293"/>
      <c r="E9" s="288" t="s">
        <v>696</v>
      </c>
      <c r="F9" s="298">
        <f ca="1">INDIRECT("'数据-取费表'!w"&amp;$G$1)</f>
        <v>0.1</v>
      </c>
      <c r="G9" s="1270"/>
      <c r="H9" s="290"/>
      <c r="I9" s="3487"/>
      <c r="J9" s="292"/>
      <c r="K9" s="293"/>
      <c r="L9" s="299" t="s">
        <v>696</v>
      </c>
      <c r="M9" s="300">
        <f ca="1">INDIRECT("'数据-取费表'!ab"&amp;$G$1)</f>
        <v>0</v>
      </c>
    </row>
    <row r="10" spans="1:37" ht="18" customHeight="1">
      <c r="A10" s="985" t="s">
        <v>402</v>
      </c>
      <c r="B10" s="1252" t="s">
        <v>697</v>
      </c>
      <c r="C10" s="302">
        <f ca="1">ROUND(IF(F10="押一",C6/12*F11,IF(F10="押二",C6/12*2*F11,IF(F10="押三",C6/12*3*F11,C11*F11))),0)</f>
        <v>6</v>
      </c>
      <c r="D10" s="144" t="s">
        <v>2111</v>
      </c>
      <c r="E10" s="299" t="s">
        <v>698</v>
      </c>
      <c r="F10" s="1031" t="s">
        <v>3980</v>
      </c>
      <c r="G10" s="1270"/>
      <c r="H10" s="985" t="s">
        <v>402</v>
      </c>
      <c r="I10" s="1252" t="s">
        <v>697</v>
      </c>
      <c r="J10" s="287">
        <f ca="1">ROUND(IF(M10="押一",J6/12*M11,IF(M10="押二",J6/12*2*M11,IF(M10="押三",J6/12*3*M11,J11*M11))),0)</f>
        <v>0</v>
      </c>
      <c r="K10" s="144" t="s">
        <v>2111</v>
      </c>
      <c r="L10" s="299" t="s">
        <v>698</v>
      </c>
      <c r="M10" s="1031"/>
    </row>
    <row r="11" spans="1:37" ht="18" customHeight="1">
      <c r="A11" s="294"/>
      <c r="B11" s="1253" t="s">
        <v>676</v>
      </c>
      <c r="C11" s="885"/>
      <c r="D11" s="1254"/>
      <c r="E11" s="299" t="s">
        <v>699</v>
      </c>
      <c r="F11" s="300">
        <f ca="1">'数据-取费表'!B39</f>
        <v>1.4999999999999999E-2</v>
      </c>
      <c r="G11" s="1270"/>
      <c r="H11" s="993"/>
      <c r="I11" s="1253" t="s">
        <v>676</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22850</v>
      </c>
      <c r="D13" s="996" t="s">
        <v>702</v>
      </c>
      <c r="E13" s="996" t="s">
        <v>703</v>
      </c>
      <c r="F13" s="997">
        <f ca="1">INDIRECT("'数据-取费表'!y"&amp;$G$1)</f>
        <v>0.93</v>
      </c>
      <c r="G13" s="1270"/>
      <c r="H13" s="994">
        <v>2</v>
      </c>
      <c r="I13" s="995" t="s">
        <v>701</v>
      </c>
      <c r="J13" s="984">
        <f ca="1">ROUND(J14*J15,0)</f>
        <v>0</v>
      </c>
      <c r="K13" s="1002" t="s">
        <v>702</v>
      </c>
      <c r="L13" s="1277"/>
      <c r="M13" s="1278"/>
    </row>
    <row r="14" spans="1:37" ht="18" customHeight="1">
      <c r="A14" s="908" t="s">
        <v>397</v>
      </c>
      <c r="B14" s="288" t="s">
        <v>704</v>
      </c>
      <c r="C14" s="303">
        <f ca="1">INDIRECT("'数据-取费表'!m"&amp;$G$1)+INDIRECT("'数据-取费表'!t"&amp;$G$1)</f>
        <v>16890</v>
      </c>
      <c r="D14" s="1235" t="s">
        <v>705</v>
      </c>
      <c r="E14" s="1233"/>
      <c r="F14" s="304"/>
      <c r="G14" s="1270"/>
      <c r="H14" s="908" t="s">
        <v>398</v>
      </c>
      <c r="I14" s="288" t="s">
        <v>706</v>
      </c>
      <c r="J14" s="21">
        <f ca="1">C29</f>
        <v>24570</v>
      </c>
      <c r="K14" s="12"/>
      <c r="L14" s="741"/>
      <c r="M14" s="742"/>
    </row>
    <row r="15" spans="1:37" s="1282" customFormat="1" ht="18" customHeight="1" thickBot="1">
      <c r="A15" s="908" t="s">
        <v>399</v>
      </c>
      <c r="B15" s="288" t="s">
        <v>707</v>
      </c>
      <c r="C15" s="21">
        <f ca="1">ROUND(C14*F15,0)</f>
        <v>845</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ROUND(INDIRECT("'数据-取费表'!m"&amp;$G$1)*F16,0)</f>
        <v>0</v>
      </c>
      <c r="D16" s="288" t="s">
        <v>708</v>
      </c>
      <c r="E16" s="288" t="s">
        <v>709</v>
      </c>
      <c r="F16" s="307">
        <f ca="1">IF(INDIRECT("'数据-取费表'!c"&amp;$G$1)="住宅",'数据-取费表'!B34,0)</f>
        <v>0</v>
      </c>
      <c r="G16" s="1270"/>
      <c r="H16" s="994" t="s">
        <v>393</v>
      </c>
      <c r="I16" s="995" t="s">
        <v>711</v>
      </c>
      <c r="J16" s="296">
        <f ca="1">ROUND(J17+J22+J23+J24,0)</f>
        <v>59</v>
      </c>
      <c r="K16" s="1002" t="s">
        <v>712</v>
      </c>
      <c r="L16" s="1003"/>
      <c r="M16" s="988"/>
    </row>
    <row r="17" spans="1:37" s="1282" customFormat="1" ht="18" customHeight="1">
      <c r="A17" s="908" t="s">
        <v>678</v>
      </c>
      <c r="B17" s="288" t="s">
        <v>713</v>
      </c>
      <c r="C17" s="21">
        <f ca="1">ROUND(F17*(F43+INDIRECT("'数据-取费表'!S"&amp;$G$1))/10000,0)</f>
        <v>751</v>
      </c>
      <c r="D17" s="288" t="s">
        <v>714</v>
      </c>
      <c r="E17" s="288" t="s">
        <v>715</v>
      </c>
      <c r="F17" s="23">
        <f>'数据-取费表'!B35</f>
        <v>200</v>
      </c>
      <c r="G17" s="1281"/>
      <c r="H17" s="908" t="s">
        <v>398</v>
      </c>
      <c r="I17" s="288" t="s">
        <v>716</v>
      </c>
      <c r="J17" s="2117">
        <f ca="1">ROUND(IF(AND(项目基本情况!B11="自然人",项目基本情况!B10="北京市"),J6*M17/(1+'数据-取费表'!C42),J18+J19+J20),2)</f>
        <v>9.3800000000000008</v>
      </c>
      <c r="K17" s="1235" t="s">
        <v>717</v>
      </c>
      <c r="L17" s="1234" t="s">
        <v>718</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338</v>
      </c>
      <c r="D18" s="288" t="s">
        <v>708</v>
      </c>
      <c r="E18" s="288" t="s">
        <v>709</v>
      </c>
      <c r="F18" s="307">
        <f>'数据-取费表'!B36</f>
        <v>0.02</v>
      </c>
      <c r="G18" s="1281"/>
      <c r="H18" s="908" t="s">
        <v>397</v>
      </c>
      <c r="I18" s="288" t="s">
        <v>720</v>
      </c>
      <c r="J18" s="21">
        <f ca="1">ROUND(J6*M18/(1+'数据-取费表'!C42),2)</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18824</v>
      </c>
      <c r="D19" s="117" t="s">
        <v>723</v>
      </c>
      <c r="E19" s="1247"/>
      <c r="F19" s="23"/>
      <c r="G19" s="1270"/>
      <c r="H19" s="908" t="s">
        <v>399</v>
      </c>
      <c r="I19" s="288" t="s">
        <v>724</v>
      </c>
      <c r="J19" s="21">
        <f ca="1">IF(K19="按租金收入计税",ROUND(J6*M19/(1+'数据-取费表'!C42),2),ROUND(C29*M19*0.7,2))</f>
        <v>0</v>
      </c>
      <c r="K19" s="1256" t="s">
        <v>3318</v>
      </c>
      <c r="L19" s="288" t="s">
        <v>709</v>
      </c>
      <c r="M19" s="307">
        <f>IF(K19="按租金收入计税",'数据-取费表'!B51,'数据-取费表'!B50)</f>
        <v>0.12</v>
      </c>
    </row>
    <row r="20" spans="1:37" s="1282" customFormat="1" ht="18" customHeight="1">
      <c r="A20" s="908" t="s">
        <v>402</v>
      </c>
      <c r="B20" s="288" t="s">
        <v>725</v>
      </c>
      <c r="C20" s="21">
        <f ca="1">ROUND(C19*F20,0)</f>
        <v>376</v>
      </c>
      <c r="D20" s="308" t="s">
        <v>726</v>
      </c>
      <c r="E20" s="288" t="s">
        <v>709</v>
      </c>
      <c r="F20" s="307">
        <f>'数据-取费表'!B37</f>
        <v>0.02</v>
      </c>
      <c r="G20" s="1281"/>
      <c r="H20" s="908" t="s">
        <v>677</v>
      </c>
      <c r="I20" s="141" t="s">
        <v>727</v>
      </c>
      <c r="J20" s="22">
        <f ca="1">ROUND(M20*M21/10000,2)</f>
        <v>9.3800000000000008</v>
      </c>
      <c r="K20" s="309" t="s">
        <v>728</v>
      </c>
      <c r="L20" s="288" t="s">
        <v>729</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f ca="1">INDIRECT("'数据-取费表'!r"&amp;$G$1)</f>
        <v>31260.240000000002</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ROUND(J14*M22,2)</f>
        <v>49.14</v>
      </c>
      <c r="K22" s="1234" t="s">
        <v>736</v>
      </c>
      <c r="L22" s="288" t="s">
        <v>709</v>
      </c>
      <c r="M22" s="313">
        <f ca="1">INDIRECT("'数据-取费表'!Ak"&amp;$G$1)</f>
        <v>2E-3</v>
      </c>
    </row>
    <row r="23" spans="1:37" s="1282" customFormat="1" ht="18" customHeight="1">
      <c r="A23" s="908" t="s">
        <v>397</v>
      </c>
      <c r="B23" s="288" t="s">
        <v>737</v>
      </c>
      <c r="C23" s="21">
        <f ca="1">IF('数据-取费表'!B22&lt;=1,ROUND(C19*F24*F23/2,0)+ROUND(C20*F24*F23/2,0),ROUND(C19*(POWER((1+F24),F23/2)-1),0)+ROUND(C20*(POWER((1+F24),F23/2)-1),0))</f>
        <v>601</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ROUND(J13*M23,2)</f>
        <v>0</v>
      </c>
      <c r="K23" s="1234" t="s">
        <v>740</v>
      </c>
      <c r="L23" s="288" t="s">
        <v>709</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3.1300000000000001E-2</v>
      </c>
      <c r="G24" s="1281"/>
      <c r="H24" s="1004" t="s">
        <v>680</v>
      </c>
      <c r="I24" s="1005" t="s">
        <v>725</v>
      </c>
      <c r="J24" s="1006">
        <f ca="1">ROUND(J5*M24,2)</f>
        <v>0</v>
      </c>
      <c r="K24" s="1007" t="s">
        <v>745</v>
      </c>
      <c r="L24" s="1005" t="s">
        <v>709</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746</v>
      </c>
      <c r="B25" s="288" t="s">
        <v>747</v>
      </c>
      <c r="C25" s="21"/>
      <c r="D25" s="117" t="s">
        <v>748</v>
      </c>
      <c r="E25" s="1247"/>
      <c r="F25" s="23"/>
      <c r="G25" s="1270"/>
      <c r="H25" s="994" t="s">
        <v>394</v>
      </c>
      <c r="I25" s="1009" t="s">
        <v>749</v>
      </c>
      <c r="J25" s="296">
        <f ca="1">J5-J16</f>
        <v>-59</v>
      </c>
      <c r="K25" s="1010" t="s">
        <v>750</v>
      </c>
      <c r="L25" s="1011"/>
      <c r="M25" s="1012"/>
    </row>
    <row r="26" spans="1:37">
      <c r="A26" s="908" t="s">
        <v>397</v>
      </c>
      <c r="B26" s="288" t="s">
        <v>751</v>
      </c>
      <c r="C26" s="21">
        <f ca="1">ROUND((C19+C20)*F26,0)</f>
        <v>2880</v>
      </c>
      <c r="D26" s="308" t="s">
        <v>752</v>
      </c>
      <c r="E26" s="299" t="s">
        <v>753</v>
      </c>
      <c r="F26" s="298">
        <f ca="1">INDIRECT("'数据-取费表'!q"&amp;$G$1)</f>
        <v>0.15</v>
      </c>
      <c r="G26" s="1270"/>
      <c r="H26" s="285" t="s">
        <v>395</v>
      </c>
      <c r="I26" s="286" t="s">
        <v>754</v>
      </c>
      <c r="J26" s="287">
        <f ca="1">IF(J5&lt;&gt;0,ROUND(J25*(1-((1+M28)/(1+M26))^M27)/(M26-M28),0),0)</f>
        <v>0</v>
      </c>
      <c r="K26" s="309" t="s">
        <v>755</v>
      </c>
      <c r="L26" s="288" t="s">
        <v>756</v>
      </c>
      <c r="M26" s="298">
        <f ca="1">INDIRECT("'数据-取费表'!I"&amp;$G$1)</f>
        <v>5.5E-2</v>
      </c>
    </row>
    <row r="27" spans="1:37" ht="18" customHeight="1">
      <c r="A27" s="908" t="s">
        <v>399</v>
      </c>
      <c r="B27" s="288" t="s">
        <v>757</v>
      </c>
      <c r="C27" s="21">
        <f ca="1">ROUND(F21*F26,4)</f>
        <v>3.0000000000000001E-3</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24570</v>
      </c>
      <c r="D29" s="1007"/>
      <c r="E29" s="1005"/>
      <c r="F29" s="1008"/>
      <c r="G29" s="1281"/>
      <c r="H29" s="318" t="s">
        <v>396</v>
      </c>
      <c r="I29" s="319" t="s">
        <v>765</v>
      </c>
      <c r="J29" s="320">
        <f ca="1">ROUND(J26/(1+F40)^F41,0)</f>
        <v>0</v>
      </c>
      <c r="K29" s="321" t="s">
        <v>766</v>
      </c>
      <c r="L29" s="322"/>
      <c r="M29" s="323">
        <f ca="1">INDIRECT("'数据-取费表'!k"&amp;$G$1)</f>
        <v>37532.270000000004</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1001</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ROUND(IF(AND(项目基本情况!B11="自然人",项目基本情况!B10="北京市"),C6*F31/(1+'数据-取费表'!C42),C32+C33+C34),2)</f>
        <v>877.31</v>
      </c>
      <c r="D31" s="1235" t="s">
        <v>717</v>
      </c>
      <c r="E31" s="1234" t="s">
        <v>767</v>
      </c>
      <c r="F31" s="2116" t="str">
        <f>IF(项目基本情况!B11="企业","——",IF(M47="住宅",IF(F6*F7*F8/12/(1+'数据-取费表'!F30)&gt;100000,4%,2.5%),IF(F6*F7*F8/12/(1+'数据-取费表'!F30)&gt;100000,12%,7%)))</f>
        <v>——</v>
      </c>
      <c r="G31" s="1270"/>
      <c r="H31" s="2543" t="s">
        <v>2290</v>
      </c>
      <c r="I31" s="1283"/>
      <c r="J31" s="1284"/>
      <c r="K31" s="115"/>
      <c r="L31" s="2446"/>
      <c r="M31" s="2447"/>
    </row>
    <row r="32" spans="1:37" ht="18" customHeight="1">
      <c r="A32" s="908" t="s">
        <v>397</v>
      </c>
      <c r="B32" s="288" t="s">
        <v>720</v>
      </c>
      <c r="C32" s="21">
        <f ca="1">IF(项目基本情况!B11="自然人","——",ROUND(C6*F32/(1+'数据-取费表'!C42),2))</f>
        <v>276.16000000000003</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IF(项目基本情况!B11="自然人","——",IF(D33="按租金收入计税",ROUND(C6*F33/(1+'数据-取费表'!C42),2),IF(D33="按房产原值计税",ROUND(C29*F33*0.7,2),INDIRECT("'数据-取费表'!Aj"&amp;$G$1))))</f>
        <v>591.77</v>
      </c>
      <c r="D33" s="1256" t="s">
        <v>3318</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IF(项目基本情况!B11="自然人","——",ROUND(F34*F35/10000,2))</f>
        <v>9.3800000000000008</v>
      </c>
      <c r="D34" s="309" t="s">
        <v>728</v>
      </c>
      <c r="E34" s="288" t="s">
        <v>729</v>
      </c>
      <c r="F34" s="310">
        <f>'数据-取费表'!B52</f>
        <v>3</v>
      </c>
      <c r="G34" s="1270"/>
      <c r="H34" s="2445"/>
      <c r="I34" s="1283"/>
      <c r="J34" s="1284"/>
      <c r="K34" s="2450"/>
      <c r="L34" s="2451"/>
      <c r="M34" s="2451"/>
    </row>
    <row r="35" spans="1:18" ht="18" customHeight="1">
      <c r="A35" s="1018"/>
      <c r="B35" s="1016"/>
      <c r="C35" s="26"/>
      <c r="D35" s="312"/>
      <c r="E35" s="288" t="s">
        <v>733</v>
      </c>
      <c r="F35" s="289">
        <f ca="1">INDIRECT("'数据-取费表'!r"&amp;$G$1)</f>
        <v>31260.240000000002</v>
      </c>
      <c r="G35" s="1270"/>
      <c r="H35" s="2445"/>
      <c r="I35" s="1283"/>
      <c r="J35" s="1284"/>
      <c r="K35" s="2449"/>
      <c r="L35" s="2448"/>
      <c r="M35" s="2448"/>
    </row>
    <row r="36" spans="1:18" ht="18" customHeight="1">
      <c r="A36" s="1017" t="s">
        <v>402</v>
      </c>
      <c r="B36" s="288" t="s">
        <v>735</v>
      </c>
      <c r="C36" s="21">
        <f ca="1">ROUND(C29*F36,2)</f>
        <v>49.14</v>
      </c>
      <c r="D36" s="1234" t="s">
        <v>768</v>
      </c>
      <c r="E36" s="288" t="s">
        <v>709</v>
      </c>
      <c r="F36" s="313">
        <f ca="1">INDIRECT("'数据-取费表'!Ak"&amp;$G$1)</f>
        <v>2E-3</v>
      </c>
      <c r="G36" s="1270"/>
      <c r="H36" s="2448"/>
      <c r="I36" s="1283"/>
      <c r="J36" s="1284"/>
      <c r="K36" s="2308"/>
      <c r="L36" s="2448"/>
      <c r="M36" s="2448"/>
    </row>
    <row r="37" spans="1:18" ht="18" customHeight="1">
      <c r="A37" s="908" t="s">
        <v>437</v>
      </c>
      <c r="B37" s="288" t="s">
        <v>739</v>
      </c>
      <c r="C37" s="21">
        <f ca="1">ROUND(C13*F37,2)</f>
        <v>22.85</v>
      </c>
      <c r="D37" s="1234" t="s">
        <v>740</v>
      </c>
      <c r="E37" s="288" t="s">
        <v>709</v>
      </c>
      <c r="F37" s="314">
        <f ca="1">INDIRECT("'数据-取费表'!Al"&amp;$G$1)</f>
        <v>1E-3</v>
      </c>
      <c r="G37" s="1270"/>
      <c r="H37" s="2448"/>
      <c r="I37" s="1283"/>
      <c r="J37" s="1284"/>
      <c r="K37" s="2308"/>
      <c r="L37" s="2448"/>
      <c r="M37" s="2448"/>
    </row>
    <row r="38" spans="1:18" ht="18" customHeight="1" thickBot="1">
      <c r="A38" s="1004" t="s">
        <v>680</v>
      </c>
      <c r="B38" s="1005" t="s">
        <v>725</v>
      </c>
      <c r="C38" s="1006">
        <f ca="1">ROUND(C5*F38,2)</f>
        <v>51.84</v>
      </c>
      <c r="D38" s="1007" t="s">
        <v>745</v>
      </c>
      <c r="E38" s="1005" t="s">
        <v>709</v>
      </c>
      <c r="F38" s="1001">
        <f ca="1">INDIRECT("'数据-取费表'!Am"&amp;$G$1)</f>
        <v>0.01</v>
      </c>
      <c r="G38" s="1270"/>
      <c r="H38" s="2448"/>
      <c r="I38" s="1283"/>
      <c r="J38" s="1284"/>
      <c r="K38" s="2446"/>
      <c r="L38" s="2448"/>
      <c r="M38" s="2448"/>
    </row>
    <row r="39" spans="1:18" ht="24.6" customHeight="1" thickTop="1">
      <c r="A39" s="994" t="s">
        <v>394</v>
      </c>
      <c r="B39" s="1009" t="s">
        <v>749</v>
      </c>
      <c r="C39" s="296">
        <f ca="1">C5-C30</f>
        <v>4183</v>
      </c>
      <c r="D39" s="1010" t="s">
        <v>750</v>
      </c>
      <c r="E39" s="1011"/>
      <c r="F39" s="1012"/>
      <c r="G39" s="1270"/>
      <c r="H39" s="2448"/>
      <c r="I39" s="1283"/>
      <c r="J39" s="1284"/>
      <c r="K39" s="2446"/>
      <c r="L39" s="2448"/>
      <c r="M39" s="2448"/>
    </row>
    <row r="40" spans="1:18" ht="18" customHeight="1">
      <c r="A40" s="285" t="s">
        <v>395</v>
      </c>
      <c r="B40" s="286" t="s">
        <v>771</v>
      </c>
      <c r="C40" s="287">
        <f ca="1">ROUND(C39*(1-((1+F42)/(1+F40))^F41)/(F40-F42),0)</f>
        <v>92311</v>
      </c>
      <c r="D40" s="309" t="s">
        <v>755</v>
      </c>
      <c r="E40" s="288" t="s">
        <v>756</v>
      </c>
      <c r="F40" s="298">
        <f ca="1">INDIRECT("'数据-取费表'!I"&amp;$G$1)</f>
        <v>5.5E-2</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43.87</v>
      </c>
      <c r="G41" s="1270"/>
      <c r="H41" s="115"/>
      <c r="I41" s="1283"/>
      <c r="J41" s="1284"/>
      <c r="K41" s="2308"/>
      <c r="L41" s="115"/>
      <c r="M41" s="115"/>
    </row>
    <row r="42" spans="1:18" ht="18" customHeight="1">
      <c r="A42" s="294"/>
      <c r="B42" s="295"/>
      <c r="C42" s="296"/>
      <c r="D42" s="312"/>
      <c r="E42" s="288" t="s">
        <v>763</v>
      </c>
      <c r="F42" s="298">
        <f ca="1">INDIRECT("'数据-取费表'!v"&amp;$G$1)</f>
        <v>0.02</v>
      </c>
      <c r="G42" s="1270"/>
      <c r="H42" s="115"/>
      <c r="I42" s="1283"/>
      <c r="J42" s="1284"/>
      <c r="K42" s="2308"/>
      <c r="L42" s="115"/>
      <c r="M42" s="115"/>
    </row>
    <row r="43" spans="1:18" ht="18" customHeight="1" thickBot="1">
      <c r="A43" s="318" t="s">
        <v>396</v>
      </c>
      <c r="B43" s="319" t="s">
        <v>773</v>
      </c>
      <c r="C43" s="320">
        <f ca="1">ROUND(C40*10000/F43,0)</f>
        <v>24595</v>
      </c>
      <c r="D43" s="321" t="s">
        <v>774</v>
      </c>
      <c r="E43" s="322" t="s">
        <v>775</v>
      </c>
      <c r="F43" s="323">
        <f ca="1">INDIRECT("'数据-取费表'!k"&amp;$G$1)</f>
        <v>37532.270000000004</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805</v>
      </c>
      <c r="P45" s="1344"/>
      <c r="Q45" s="1344"/>
      <c r="R45" s="1344"/>
    </row>
    <row r="46" spans="1:18" s="1270" customFormat="1" ht="13.5" thickBot="1">
      <c r="A46" s="1289" t="s">
        <v>806</v>
      </c>
      <c r="C46" s="1290">
        <f ca="1">C68-C40</f>
        <v>-93643</v>
      </c>
      <c r="D46" s="1291" t="str">
        <f>C2</f>
        <v>万元</v>
      </c>
      <c r="E46" s="1285"/>
      <c r="F46" s="1285"/>
      <c r="I46" s="1292" t="s">
        <v>807</v>
      </c>
      <c r="J46" s="1293"/>
      <c r="K46" s="1294"/>
      <c r="L46" s="1295">
        <f ca="1">IF(M47="住宅",0,IF(L48&gt;J51,L60,J60))</f>
        <v>412</v>
      </c>
      <c r="O46" s="1296" t="s">
        <v>808</v>
      </c>
      <c r="P46" s="1297" t="s">
        <v>809</v>
      </c>
      <c r="Q46" s="1298" t="s">
        <v>810</v>
      </c>
      <c r="R46" s="1298" t="s">
        <v>811</v>
      </c>
    </row>
    <row r="47" spans="1:18" s="1270" customFormat="1" ht="13.5" thickBot="1">
      <c r="A47" s="872" t="s">
        <v>684</v>
      </c>
      <c r="B47" s="904" t="s">
        <v>685</v>
      </c>
      <c r="C47" s="1032" t="s">
        <v>686</v>
      </c>
      <c r="D47" s="904" t="s">
        <v>687</v>
      </c>
      <c r="E47" s="974" t="s">
        <v>688</v>
      </c>
      <c r="F47" s="975"/>
      <c r="G47" s="671"/>
      <c r="I47" s="1299" t="s">
        <v>812</v>
      </c>
      <c r="J47" s="1300" t="s">
        <v>3981</v>
      </c>
      <c r="K47" s="1301" t="s">
        <v>813</v>
      </c>
      <c r="L47" s="1302">
        <f ca="1">INDIRECT("'数据-取费表'!d"&amp;$G$1)</f>
        <v>50</v>
      </c>
      <c r="M47" s="1266" t="str">
        <f>IF(ISNUMBER(FIND("住宅",C1)),"住宅","非住宅")</f>
        <v>非住宅</v>
      </c>
      <c r="O47" s="1303" t="s">
        <v>403</v>
      </c>
      <c r="P47" s="1304" t="s">
        <v>814</v>
      </c>
      <c r="Q47" s="1305">
        <f ca="1">C40+J29</f>
        <v>92311</v>
      </c>
      <c r="R47" s="1305" t="s">
        <v>815</v>
      </c>
    </row>
    <row r="48" spans="1:18" s="1270" customFormat="1" ht="28.5" thickBot="1">
      <c r="A48" s="1025" t="s">
        <v>438</v>
      </c>
      <c r="B48" s="286" t="s">
        <v>689</v>
      </c>
      <c r="C48" s="1246">
        <f ca="1">C49+C53+C55</f>
        <v>0</v>
      </c>
      <c r="D48" s="1027"/>
      <c r="E48" s="1028"/>
      <c r="F48" s="888"/>
      <c r="G48" s="671"/>
      <c r="H48" s="672"/>
      <c r="I48" s="1306" t="s">
        <v>816</v>
      </c>
      <c r="J48" s="1307" t="s">
        <v>3982</v>
      </c>
      <c r="K48" s="1308" t="s">
        <v>817</v>
      </c>
      <c r="L48" s="1309">
        <f ca="1">INDIRECT("'数据-取费表'!f"&amp;$G$1)</f>
        <v>43.87</v>
      </c>
      <c r="O48" s="1303" t="s">
        <v>404</v>
      </c>
      <c r="P48" s="1304" t="s">
        <v>818</v>
      </c>
      <c r="Q48" s="1305">
        <f ca="1">J60</f>
        <v>412</v>
      </c>
      <c r="R48" s="1305" t="s">
        <v>819</v>
      </c>
    </row>
    <row r="49" spans="1:18" s="1270" customFormat="1" ht="13.5" thickBot="1">
      <c r="A49" s="901" t="s">
        <v>439</v>
      </c>
      <c r="B49" s="1257" t="s">
        <v>776</v>
      </c>
      <c r="C49" s="1029">
        <f ca="1">ROUND(F49*F51*F50*(1-F52)/10000,0)</f>
        <v>0</v>
      </c>
      <c r="D49" s="971" t="s">
        <v>2103</v>
      </c>
      <c r="E49" s="1258" t="s">
        <v>777</v>
      </c>
      <c r="F49" s="976"/>
      <c r="H49" s="672"/>
      <c r="I49" s="1306" t="s">
        <v>820</v>
      </c>
      <c r="J49" s="1310">
        <v>2021</v>
      </c>
      <c r="K49" s="1308" t="s">
        <v>821</v>
      </c>
      <c r="L49" s="1311"/>
      <c r="O49" s="1312" t="s">
        <v>405</v>
      </c>
      <c r="P49" s="1304" t="s">
        <v>822</v>
      </c>
      <c r="Q49" s="1305">
        <f ca="1">C29</f>
        <v>24570</v>
      </c>
      <c r="R49" s="1305" t="s">
        <v>815</v>
      </c>
    </row>
    <row r="50" spans="1:18" s="1270" customFormat="1" ht="13.5" thickBot="1">
      <c r="A50" s="902"/>
      <c r="B50" s="905"/>
      <c r="C50" s="1033"/>
      <c r="D50" s="879"/>
      <c r="E50" s="972" t="s">
        <v>694</v>
      </c>
      <c r="F50" s="973">
        <f ca="1">F7</f>
        <v>37532.270000000004</v>
      </c>
      <c r="H50" s="672"/>
      <c r="I50" s="1306" t="s">
        <v>823</v>
      </c>
      <c r="J50" s="1313">
        <f>SUMPRODUCT((I63:I65=J47)*(J62:L62=J48)*(J63:L65))</f>
        <v>60</v>
      </c>
      <c r="K50" s="1308" t="s">
        <v>824</v>
      </c>
      <c r="L50" s="1311"/>
      <c r="M50" s="1314"/>
      <c r="O50" s="1312" t="s">
        <v>406</v>
      </c>
      <c r="P50" s="1304" t="s">
        <v>825</v>
      </c>
      <c r="Q50" s="1315">
        <f ca="1">J58</f>
        <v>0.4</v>
      </c>
      <c r="R50" s="1305"/>
    </row>
    <row r="51" spans="1:18" s="1270" customFormat="1" ht="13.5" thickBot="1">
      <c r="A51" s="903"/>
      <c r="B51" s="905"/>
      <c r="C51" s="906"/>
      <c r="D51" s="879"/>
      <c r="E51" s="907" t="s">
        <v>695</v>
      </c>
      <c r="F51" s="289">
        <f ca="1">F8</f>
        <v>365</v>
      </c>
      <c r="I51" s="1316" t="s">
        <v>826</v>
      </c>
      <c r="J51" s="1309">
        <f>IF(J49="",J50,J49+J50-YEAR('数据-取费表'!B2))</f>
        <v>56</v>
      </c>
      <c r="K51" s="1317" t="s">
        <v>827</v>
      </c>
      <c r="L51" s="1318">
        <f ca="1">ROUND(-PV(INDIRECT("'数据-取费表'!h"&amp;$G$1),J51,(C39-C13*C76),0),0)</f>
        <v>48308</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f ca="1">J53</f>
        <v>43.87</v>
      </c>
      <c r="R52" s="1305" t="s">
        <v>832</v>
      </c>
    </row>
    <row r="53" spans="1:18" s="1270" customFormat="1" ht="24.75" thickBot="1">
      <c r="A53" s="1057" t="s">
        <v>440</v>
      </c>
      <c r="B53" s="1259" t="s">
        <v>697</v>
      </c>
      <c r="C53" s="302">
        <f ca="1">ROUND(IF(F53="押一",C49/12*F11,IF(F53="押二",C49/12*2*F11,IF(F53="押三",C49/12*3*F11,C54*F11))),0)</f>
        <v>0</v>
      </c>
      <c r="D53" s="144" t="s">
        <v>2111</v>
      </c>
      <c r="E53" s="299" t="s">
        <v>698</v>
      </c>
      <c r="F53" s="1031"/>
      <c r="I53" s="1322" t="s">
        <v>833</v>
      </c>
      <c r="J53" s="1983">
        <f ca="1">IF(M47="住宅",IF(D1="——",MAX(J51,L48),MAX(J51,L48-'数据-取费表'!B24)),IF(D1="——",MIN(J51,L48),MIN(J51,L48-'数据-取费表'!B24)))</f>
        <v>43.87</v>
      </c>
      <c r="K53" s="3483" t="s">
        <v>834</v>
      </c>
      <c r="L53" s="3484"/>
      <c r="O53" s="1303" t="s">
        <v>409</v>
      </c>
      <c r="P53" s="1304" t="s">
        <v>835</v>
      </c>
      <c r="Q53" s="1305">
        <f ca="1">Q47+Q48</f>
        <v>92723</v>
      </c>
      <c r="R53" s="1305" t="s">
        <v>410</v>
      </c>
    </row>
    <row r="54" spans="1:18" s="1270" customFormat="1" ht="13.5" thickBot="1">
      <c r="A54" s="1058"/>
      <c r="B54" s="1253" t="s">
        <v>676</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f ca="1">ROUND(IF(J47="钢混",J57/J50,1-(1-2%)*(J50-J57)/J50),3)</f>
        <v>0.20200000000000001</v>
      </c>
      <c r="K55" s="1328" t="s">
        <v>838</v>
      </c>
      <c r="L55" s="1329"/>
      <c r="O55" s="1296" t="s">
        <v>808</v>
      </c>
      <c r="P55" s="1297" t="s">
        <v>809</v>
      </c>
      <c r="Q55" s="1298" t="s">
        <v>810</v>
      </c>
      <c r="R55" s="1298" t="s">
        <v>811</v>
      </c>
    </row>
    <row r="56" spans="1:18" s="1270" customFormat="1" ht="25.5" thickTop="1" thickBot="1">
      <c r="A56" s="883">
        <v>2</v>
      </c>
      <c r="B56" s="884" t="s">
        <v>701</v>
      </c>
      <c r="C56" s="218">
        <f ca="1">C13</f>
        <v>22850</v>
      </c>
      <c r="D56" s="1330"/>
      <c r="E56" s="1331"/>
      <c r="F56" s="1323"/>
      <c r="I56" s="1332" t="s">
        <v>839</v>
      </c>
      <c r="J56" s="1333" t="s">
        <v>3502</v>
      </c>
      <c r="K56" s="1306" t="s">
        <v>840</v>
      </c>
      <c r="L56" s="1309" t="str">
        <f ca="1">IF(L48&lt;J51,"——",L48-J53)</f>
        <v>——</v>
      </c>
      <c r="O56" s="1303" t="s">
        <v>403</v>
      </c>
      <c r="P56" s="1304" t="s">
        <v>814</v>
      </c>
      <c r="Q56" s="1305">
        <f ca="1">C40+J29</f>
        <v>92311</v>
      </c>
      <c r="R56" s="1305" t="s">
        <v>815</v>
      </c>
    </row>
    <row r="57" spans="1:18" s="1270" customFormat="1" ht="24.75" thickBot="1">
      <c r="A57" s="1334"/>
      <c r="B57" s="876" t="s">
        <v>764</v>
      </c>
      <c r="C57" s="224">
        <f ca="1">C29</f>
        <v>24570</v>
      </c>
      <c r="D57" s="1335"/>
      <c r="E57" s="1336"/>
      <c r="F57" s="1337"/>
      <c r="I57" s="1338" t="s">
        <v>841</v>
      </c>
      <c r="J57" s="1339">
        <f ca="1">IF(OR(M47="住宅",J51&lt;L48,J56="是"),"——",J51-L48)</f>
        <v>12.130000000000003</v>
      </c>
      <c r="K57" s="1306" t="s">
        <v>842</v>
      </c>
      <c r="L57" s="1309" t="str">
        <f ca="1">IF(L48&lt;J51,"——",IF(L55="比较法",L49,IF(L55="基准地价",L50,L51)))</f>
        <v>——</v>
      </c>
      <c r="O57" s="1303" t="s">
        <v>404</v>
      </c>
      <c r="P57" s="1304" t="s">
        <v>843</v>
      </c>
      <c r="Q57" s="1305">
        <f ca="1">L60</f>
        <v>0</v>
      </c>
      <c r="R57" s="1305" t="s">
        <v>844</v>
      </c>
    </row>
    <row r="58" spans="1:18" s="1270" customFormat="1" ht="24.75" thickBot="1">
      <c r="A58" s="301" t="s">
        <v>393</v>
      </c>
      <c r="B58" s="884" t="s">
        <v>711</v>
      </c>
      <c r="C58" s="302">
        <f ca="1">ROUND(C59+C64+C65+C66,0)</f>
        <v>81</v>
      </c>
      <c r="D58" s="886" t="s">
        <v>712</v>
      </c>
      <c r="E58" s="887"/>
      <c r="F58" s="888"/>
      <c r="I58" s="1338" t="s">
        <v>845</v>
      </c>
      <c r="J58" s="1340">
        <f ca="1">IF(J55&lt;0.4,0.4,J55)</f>
        <v>0.4</v>
      </c>
      <c r="K58" s="1317" t="s">
        <v>846</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9</v>
      </c>
      <c r="D59" s="889" t="s">
        <v>717</v>
      </c>
      <c r="E59" s="890" t="s">
        <v>718</v>
      </c>
      <c r="F59" s="2116" t="str">
        <f>IF(项目基本情况!B11="企业","——",IF('数据-取费表'!B10="住宅",IF(F49*F50*F51/12/(1+'数据-取费表'!F30)&gt;100000,4%,2.5%),IF(F49*F50*F51/12/(1+'数据-取费表'!F30)&gt;100000,12%,7%)))</f>
        <v>——</v>
      </c>
      <c r="I59" s="1338" t="s">
        <v>848</v>
      </c>
      <c r="J59" s="1339">
        <f ca="1">IF(OR(M47="住宅",J51&lt;L48,J56="是"),"——",ROUND(C29*J58,0))</f>
        <v>9828</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IF(项目基本情况!B11="自然人","——",ROUND(C48*F60/(1+'数据-取费表'!C42),2))</f>
        <v>0</v>
      </c>
      <c r="D60" s="890" t="s">
        <v>721</v>
      </c>
      <c r="E60" s="876" t="s">
        <v>709</v>
      </c>
      <c r="F60" s="315">
        <f t="shared" ref="F60:F66" si="0">F32</f>
        <v>5.6000000000000001E-2</v>
      </c>
      <c r="I60" s="1341" t="s">
        <v>850</v>
      </c>
      <c r="J60" s="1342">
        <f ca="1">IF(OR(M47="住宅",J51&lt;L48,J56="是"),"0",ROUND(J59/(1+J52)^J53,0))</f>
        <v>412</v>
      </c>
      <c r="K60" s="1343" t="s">
        <v>851</v>
      </c>
      <c r="L60" s="1342">
        <f ca="1">IF(OR(M47="住宅",L48&lt;J51),0,ROUND(L57*(L58/L59-1),0))</f>
        <v>0</v>
      </c>
      <c r="O60" s="1312" t="s">
        <v>407</v>
      </c>
      <c r="P60" s="1304" t="s">
        <v>852</v>
      </c>
      <c r="Q60" s="1305" t="e">
        <f ca="1">L58</f>
        <v>#DIV/0!</v>
      </c>
      <c r="R60" s="1305" t="s">
        <v>853</v>
      </c>
    </row>
    <row r="61" spans="1:18" s="1270" customFormat="1" ht="13.5" thickBot="1">
      <c r="A61" s="908" t="s">
        <v>778</v>
      </c>
      <c r="B61" s="876" t="s">
        <v>724</v>
      </c>
      <c r="C61" s="21">
        <f ca="1">IF(项目基本情况!B11="自然人","——",IF(D61="按租金收入计税",ROUND(C49*F61/(1+'数据-取费表'!C42),2),IF(D61="按房产原值计税",ROUND(C57*F61*0.7,2),INDIRECT("'数据-取费表'!Aj"&amp;$G$1))))</f>
        <v>0</v>
      </c>
      <c r="D61" s="1256" t="s">
        <v>3318</v>
      </c>
      <c r="E61" s="876" t="s">
        <v>709</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727</v>
      </c>
      <c r="C62" s="22">
        <f ca="1">IF(项目基本情况!B11="自然人","——",ROUND(F62*F63/10000,2))</f>
        <v>9.3800000000000008</v>
      </c>
      <c r="D62" s="891" t="s">
        <v>728</v>
      </c>
      <c r="E62" s="876" t="s">
        <v>729</v>
      </c>
      <c r="F62" s="310">
        <f t="shared" si="0"/>
        <v>3</v>
      </c>
      <c r="I62" s="1345" t="s">
        <v>855</v>
      </c>
      <c r="J62" s="603" t="s">
        <v>856</v>
      </c>
      <c r="K62" s="603" t="s">
        <v>857</v>
      </c>
      <c r="L62" s="603" t="s">
        <v>858</v>
      </c>
      <c r="M62" s="1346" t="s">
        <v>859</v>
      </c>
      <c r="O62" s="1303" t="s">
        <v>409</v>
      </c>
      <c r="P62" s="1304" t="s">
        <v>835</v>
      </c>
      <c r="Q62" s="1305">
        <f ca="1">Q56+Q57</f>
        <v>92311</v>
      </c>
      <c r="R62" s="1305" t="s">
        <v>410</v>
      </c>
    </row>
    <row r="63" spans="1:18" s="1270" customFormat="1" ht="13.5" thickBot="1">
      <c r="A63" s="311"/>
      <c r="B63" s="882"/>
      <c r="C63" s="26"/>
      <c r="D63" s="892"/>
      <c r="E63" s="876" t="s">
        <v>733</v>
      </c>
      <c r="F63" s="289">
        <f t="shared" ca="1" si="0"/>
        <v>31260.240000000002</v>
      </c>
      <c r="I63" s="1345" t="s">
        <v>861</v>
      </c>
      <c r="J63" s="603">
        <v>70</v>
      </c>
      <c r="K63" s="603">
        <v>50</v>
      </c>
      <c r="L63" s="603">
        <v>80</v>
      </c>
      <c r="M63" s="1347">
        <v>0.02</v>
      </c>
      <c r="O63" s="1288" t="s">
        <v>862</v>
      </c>
      <c r="P63" s="1267"/>
      <c r="Q63" s="1267"/>
      <c r="R63" s="1267"/>
    </row>
    <row r="64" spans="1:18" s="1270" customFormat="1" ht="13.5" thickBot="1">
      <c r="A64" s="908" t="s">
        <v>402</v>
      </c>
      <c r="B64" s="876" t="s">
        <v>735</v>
      </c>
      <c r="C64" s="21">
        <f ca="1">ROUND(C57*F64,2)</f>
        <v>49.14</v>
      </c>
      <c r="D64" s="890" t="s">
        <v>768</v>
      </c>
      <c r="E64" s="876" t="s">
        <v>709</v>
      </c>
      <c r="F64" s="313">
        <f t="shared" ca="1" si="0"/>
        <v>2E-3</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ROUND(C56*F65,2)</f>
        <v>22.85</v>
      </c>
      <c r="D65" s="890" t="s">
        <v>740</v>
      </c>
      <c r="E65" s="876" t="s">
        <v>709</v>
      </c>
      <c r="F65" s="314">
        <f t="shared" ca="1" si="0"/>
        <v>1E-3</v>
      </c>
      <c r="I65" s="1345" t="s">
        <v>864</v>
      </c>
      <c r="J65" s="603">
        <v>40</v>
      </c>
      <c r="K65" s="603">
        <v>30</v>
      </c>
      <c r="L65" s="603">
        <v>50</v>
      </c>
      <c r="M65" s="1347">
        <v>0.02</v>
      </c>
      <c r="O65" s="1303" t="s">
        <v>403</v>
      </c>
      <c r="P65" s="1304" t="s">
        <v>814</v>
      </c>
      <c r="Q65" s="1305">
        <f ca="1">C40+J29</f>
        <v>92311</v>
      </c>
      <c r="R65" s="1305" t="s">
        <v>815</v>
      </c>
    </row>
    <row r="66" spans="1:18" s="1270" customFormat="1" ht="16.5" thickBot="1">
      <c r="A66" s="908" t="s">
        <v>790</v>
      </c>
      <c r="B66" s="876" t="s">
        <v>725</v>
      </c>
      <c r="C66" s="21">
        <f ca="1">ROUND(C48*F66,2)</f>
        <v>0</v>
      </c>
      <c r="D66" s="890" t="s">
        <v>745</v>
      </c>
      <c r="E66" s="876" t="s">
        <v>709</v>
      </c>
      <c r="F66" s="298">
        <f t="shared" ca="1" si="0"/>
        <v>0.01</v>
      </c>
      <c r="O66" s="1303" t="s">
        <v>404</v>
      </c>
      <c r="P66" s="1304" t="s">
        <v>843</v>
      </c>
      <c r="Q66" s="1305">
        <f ca="1">L60</f>
        <v>0</v>
      </c>
      <c r="R66" s="1305" t="s">
        <v>866</v>
      </c>
    </row>
    <row r="67" spans="1:18" s="1270" customFormat="1" ht="16.5" thickBot="1">
      <c r="A67" s="883" t="s">
        <v>394</v>
      </c>
      <c r="B67" s="893" t="s">
        <v>749</v>
      </c>
      <c r="C67" s="302">
        <f ca="1">C48-C58</f>
        <v>-81</v>
      </c>
      <c r="D67" s="889" t="s">
        <v>750</v>
      </c>
      <c r="E67" s="894"/>
      <c r="F67" s="895"/>
      <c r="O67" s="1312" t="s">
        <v>405</v>
      </c>
      <c r="P67" s="1304" t="s">
        <v>847</v>
      </c>
      <c r="Q67" s="1348">
        <f ca="1">L51</f>
        <v>48308</v>
      </c>
      <c r="R67" s="1305" t="s">
        <v>867</v>
      </c>
    </row>
    <row r="68" spans="1:18" s="1270" customFormat="1" ht="16.5" thickBot="1">
      <c r="A68" s="873" t="s">
        <v>395</v>
      </c>
      <c r="B68" s="874" t="s">
        <v>771</v>
      </c>
      <c r="C68" s="287">
        <f ca="1">ROUND(C67*(1-((1+F70)/(1+F68))^F69)/(F68-F70),0)</f>
        <v>-1332</v>
      </c>
      <c r="D68" s="891" t="s">
        <v>755</v>
      </c>
      <c r="E68" s="876" t="s">
        <v>756</v>
      </c>
      <c r="F68" s="298">
        <f ca="1">F40</f>
        <v>5.5E-2</v>
      </c>
      <c r="O68" s="1312" t="s">
        <v>406</v>
      </c>
      <c r="P68" s="1349" t="s">
        <v>868</v>
      </c>
      <c r="Q68" s="1305">
        <f ca="1">ROUND(Q69-Q70*Q71,0)</f>
        <v>2584</v>
      </c>
      <c r="R68" s="1305" t="s">
        <v>414</v>
      </c>
    </row>
    <row r="69" spans="1:18" s="1270" customFormat="1" ht="13.5" thickBot="1">
      <c r="A69" s="877"/>
      <c r="B69" s="878"/>
      <c r="C69" s="292"/>
      <c r="D69" s="896" t="s">
        <v>759</v>
      </c>
      <c r="E69" s="876" t="s">
        <v>760</v>
      </c>
      <c r="F69" s="317">
        <f ca="1">F41</f>
        <v>43.87</v>
      </c>
      <c r="O69" s="1312" t="s">
        <v>411</v>
      </c>
      <c r="P69" s="1349" t="s">
        <v>869</v>
      </c>
      <c r="Q69" s="1305">
        <f ca="1">C39</f>
        <v>4183</v>
      </c>
      <c r="R69" s="1305" t="s">
        <v>815</v>
      </c>
    </row>
    <row r="70" spans="1:18" s="1270" customFormat="1" ht="13.5" thickBot="1">
      <c r="A70" s="880"/>
      <c r="B70" s="881"/>
      <c r="C70" s="296"/>
      <c r="D70" s="892"/>
      <c r="E70" s="876" t="s">
        <v>763</v>
      </c>
      <c r="F70" s="970"/>
      <c r="O70" s="1312" t="s">
        <v>412</v>
      </c>
      <c r="P70" s="1349" t="s">
        <v>870</v>
      </c>
      <c r="Q70" s="1305">
        <f ca="1">C13</f>
        <v>22850</v>
      </c>
      <c r="R70" s="1305" t="s">
        <v>815</v>
      </c>
    </row>
    <row r="71" spans="1:18" s="1270" customFormat="1" ht="13.5" thickBot="1">
      <c r="A71" s="897" t="s">
        <v>396</v>
      </c>
      <c r="B71" s="898" t="s">
        <v>773</v>
      </c>
      <c r="C71" s="320">
        <f ca="1">ROUND(C68*10000/F71,0)</f>
        <v>-355</v>
      </c>
      <c r="D71" s="899" t="s">
        <v>774</v>
      </c>
      <c r="E71" s="900" t="s">
        <v>775</v>
      </c>
      <c r="F71" s="323">
        <f ca="1">F43</f>
        <v>37532.270000000004</v>
      </c>
      <c r="O71" s="1312" t="s">
        <v>413</v>
      </c>
      <c r="P71" s="1349" t="s">
        <v>871</v>
      </c>
      <c r="Q71" s="1315">
        <f ca="1">C76</f>
        <v>7.0000000000000007E-2</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1600</v>
      </c>
      <c r="D75" s="1270"/>
      <c r="E75" s="1270"/>
      <c r="F75" s="1270"/>
      <c r="K75" s="1287"/>
      <c r="L75" s="1270"/>
      <c r="O75" s="1303" t="s">
        <v>409</v>
      </c>
      <c r="P75" s="1304" t="s">
        <v>835</v>
      </c>
      <c r="Q75" s="1305">
        <f ca="1">Q65+Q66</f>
        <v>92311</v>
      </c>
      <c r="R75" s="1305" t="s">
        <v>410</v>
      </c>
    </row>
    <row r="76" spans="1:18">
      <c r="B76" s="326" t="s">
        <v>793</v>
      </c>
      <c r="C76" s="327">
        <f ca="1">INDIRECT("'数据-取费表'!j"&amp;$G$1)</f>
        <v>7.0000000000000007E-2</v>
      </c>
      <c r="I76" s="1270"/>
      <c r="J76" s="1270"/>
      <c r="K76" s="1287"/>
      <c r="L76" s="1270"/>
    </row>
    <row r="77" spans="1:18">
      <c r="B77" s="328" t="s">
        <v>794</v>
      </c>
      <c r="C77" s="329"/>
      <c r="I77" s="1270"/>
      <c r="J77" s="1270"/>
      <c r="K77" s="1287"/>
      <c r="L77" s="1270"/>
    </row>
    <row r="78" spans="1:18">
      <c r="B78" s="256" t="s">
        <v>795</v>
      </c>
      <c r="C78" s="330"/>
    </row>
    <row r="79" spans="1:18">
      <c r="B79" s="324" t="s">
        <v>796</v>
      </c>
      <c r="C79" s="260">
        <f ca="1">1-C80</f>
        <v>0.61699999999999999</v>
      </c>
    </row>
    <row r="80" spans="1:18">
      <c r="B80" s="324" t="s">
        <v>797</v>
      </c>
      <c r="C80" s="260">
        <f ca="1">ROUND(C75/C39,3)</f>
        <v>0.38300000000000001</v>
      </c>
    </row>
    <row r="81" spans="2:3">
      <c r="B81" s="256" t="s">
        <v>798</v>
      </c>
      <c r="C81" s="224"/>
    </row>
    <row r="82" spans="2:3">
      <c r="B82" s="259" t="s">
        <v>799</v>
      </c>
      <c r="C82" s="261">
        <f ca="1">1-C83</f>
        <v>0.752</v>
      </c>
    </row>
    <row r="83" spans="2:3">
      <c r="B83" s="259" t="s">
        <v>800</v>
      </c>
      <c r="C83" s="260">
        <f ca="1">ROUND(C13/C40,3)</f>
        <v>0.248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D1" xr:uid="{AE81A30E-2555-4F52-BF4F-7091C5E14E6E}">
      <formula1>"在建（套用方法）,土地（套用方法）,——"</formula1>
    </dataValidation>
    <dataValidation type="list" allowBlank="1" showInputMessage="1" showErrorMessage="1" sqref="M10 F10 F53" xr:uid="{1DD2E429-62B3-4906-97C4-3818834E7657}">
      <formula1>"押一,押二,押三,自定义"</formula1>
    </dataValidation>
    <dataValidation type="list" allowBlank="1" showInputMessage="1" showErrorMessage="1" sqref="L55" xr:uid="{2C7611CD-2CEB-4185-AA60-BE2534DB5BF5}">
      <formula1>"比较法,基准地价,收益还原"</formula1>
    </dataValidation>
    <dataValidation type="list" allowBlank="1" showInputMessage="1" showErrorMessage="1" sqref="J56" xr:uid="{4E51A62F-C741-40AA-899F-2B3462BB9390}">
      <formula1>估价范围判定</formula1>
    </dataValidation>
    <dataValidation type="list" allowBlank="1" showInputMessage="1" showErrorMessage="1" sqref="J48" xr:uid="{D6EAC3B6-57C8-48BE-BCEB-995392779ED4}">
      <formula1>"非生产用房,生产用房,受腐蚀的生产用房"</formula1>
    </dataValidation>
    <dataValidation type="list" allowBlank="1" showInputMessage="1" showErrorMessage="1" sqref="J47" xr:uid="{2FF41AF1-9BDC-406B-8569-269CEC3F42E1}">
      <formula1>"钢,钢混,砖混"</formula1>
    </dataValidation>
    <dataValidation type="list" allowBlank="1" showInputMessage="1" showErrorMessage="1" sqref="C1" xr:uid="{BFD20A2F-BCFA-41CC-8591-622EFD993D36}">
      <formula1>项目类型</formula1>
    </dataValidation>
    <dataValidation type="list" allowBlank="1" showInputMessage="1" showErrorMessage="1" sqref="D33 D61" xr:uid="{C6507143-276C-4B08-8117-F00E09993A58}">
      <formula1>"按租金收入计税,按房产原值计税,按票据"</formula1>
    </dataValidation>
    <dataValidation type="list" allowBlank="1" showInputMessage="1" showErrorMessage="1" sqref="K19" xr:uid="{DE6E52C3-B7BC-4D09-BA66-0CE7FD68A3E5}">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21F9-AA15-43B1-86C2-351C0FBC486D}">
  <sheetPr>
    <tabColor rgb="FF92D050"/>
  </sheetPr>
  <dimension ref="A1:AK83"/>
  <sheetViews>
    <sheetView view="pageBreakPreview" zoomScaleNormal="70" zoomScaleSheetLayoutView="100" workbookViewId="0">
      <selection activeCell="C6" sqref="C6"/>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t="s">
        <v>3991</v>
      </c>
      <c r="D1" s="1249" t="s">
        <v>43</v>
      </c>
      <c r="E1" s="1250" t="s">
        <v>675</v>
      </c>
      <c r="F1" s="978" t="e">
        <f ca="1">J53</f>
        <v>#N/A</v>
      </c>
      <c r="G1" s="1264" t="e">
        <f>MATCH(C1,'数据-取费表'!A6:A16,0)+5</f>
        <v>#N/A</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801</v>
      </c>
      <c r="B2" s="1272" t="e">
        <f ca="1">C40+J29+L46</f>
        <v>#N/A</v>
      </c>
      <c r="C2" s="1267" t="s">
        <v>802</v>
      </c>
      <c r="D2" s="1267"/>
      <c r="E2" s="1273"/>
      <c r="F2" s="1274"/>
      <c r="G2" s="2453"/>
      <c r="H2" s="2443"/>
      <c r="I2" s="2443"/>
      <c r="J2" s="2443"/>
      <c r="K2" s="2444"/>
      <c r="L2" s="2443"/>
      <c r="M2" s="2443"/>
    </row>
    <row r="3" spans="1:37" ht="18" customHeight="1" thickBot="1">
      <c r="A3" s="1275" t="s">
        <v>803</v>
      </c>
      <c r="B3" s="1276">
        <f ca="1">IF(ISERROR(B2*10000/F43),0,ROUND(B2*10000/F43,0))</f>
        <v>0</v>
      </c>
      <c r="C3" s="1267" t="s">
        <v>804</v>
      </c>
      <c r="D3" s="1267"/>
      <c r="E3" s="1273"/>
      <c r="F3" s="1274"/>
      <c r="G3" s="2453"/>
      <c r="H3" s="639" t="s">
        <v>873</v>
      </c>
      <c r="I3" s="1268"/>
      <c r="J3" s="1268"/>
      <c r="K3" s="1269"/>
      <c r="L3" s="1268"/>
      <c r="M3" s="1268"/>
    </row>
    <row r="4" spans="1:37" ht="18" customHeight="1">
      <c r="A4" s="281" t="s">
        <v>684</v>
      </c>
      <c r="B4" s="282" t="s">
        <v>685</v>
      </c>
      <c r="C4" s="282" t="s">
        <v>686</v>
      </c>
      <c r="D4" s="282" t="s">
        <v>687</v>
      </c>
      <c r="E4" s="283" t="s">
        <v>688</v>
      </c>
      <c r="F4" s="284"/>
      <c r="G4" s="1270"/>
      <c r="H4" s="281" t="s">
        <v>684</v>
      </c>
      <c r="I4" s="282" t="s">
        <v>685</v>
      </c>
      <c r="J4" s="282" t="s">
        <v>686</v>
      </c>
      <c r="K4" s="282" t="s">
        <v>687</v>
      </c>
      <c r="L4" s="283" t="s">
        <v>688</v>
      </c>
      <c r="M4" s="284"/>
    </row>
    <row r="5" spans="1:37" ht="18" customHeight="1">
      <c r="A5" s="285">
        <v>1</v>
      </c>
      <c r="B5" s="286" t="s">
        <v>689</v>
      </c>
      <c r="C5" s="986" t="e">
        <f ca="1">C6+C10+C12</f>
        <v>#N/A</v>
      </c>
      <c r="D5" s="1251" t="s">
        <v>690</v>
      </c>
      <c r="E5" s="987"/>
      <c r="F5" s="988"/>
      <c r="G5" s="1270"/>
      <c r="H5" s="285">
        <v>1</v>
      </c>
      <c r="I5" s="286" t="s">
        <v>689</v>
      </c>
      <c r="J5" s="986" t="e">
        <f ca="1">J6+J10+J12</f>
        <v>#N/A</v>
      </c>
      <c r="K5" s="1251" t="s">
        <v>690</v>
      </c>
      <c r="L5" s="987"/>
      <c r="M5" s="988"/>
    </row>
    <row r="6" spans="1:37" ht="18" customHeight="1">
      <c r="A6" s="985" t="s">
        <v>398</v>
      </c>
      <c r="B6" s="3485" t="s">
        <v>691</v>
      </c>
      <c r="C6" s="990" t="e">
        <f ca="1">ROUND(F6*F8*F7*(1-F9)/10000,0)</f>
        <v>#N/A</v>
      </c>
      <c r="D6" s="141" t="s">
        <v>2104</v>
      </c>
      <c r="E6" s="288" t="s">
        <v>693</v>
      </c>
      <c r="F6" s="289" t="e">
        <f ca="1">INDIRECT("'数据-取费表'!u"&amp;$G$1)</f>
        <v>#N/A</v>
      </c>
      <c r="G6" s="1270"/>
      <c r="H6" s="985" t="s">
        <v>398</v>
      </c>
      <c r="I6" s="3485" t="s">
        <v>691</v>
      </c>
      <c r="J6" s="287" t="e">
        <f ca="1">ROUND(M6*M8*M7*(1-M9)/10000,0)</f>
        <v>#N/A</v>
      </c>
      <c r="K6" s="141" t="s">
        <v>2103</v>
      </c>
      <c r="L6" s="288" t="s">
        <v>693</v>
      </c>
      <c r="M6" s="289" t="e">
        <f ca="1">INDIRECT("'数据-取费表'!z"&amp;$G$1)</f>
        <v>#N/A</v>
      </c>
    </row>
    <row r="7" spans="1:37" ht="18" customHeight="1">
      <c r="A7" s="989"/>
      <c r="B7" s="3486"/>
      <c r="C7" s="991"/>
      <c r="D7" s="293"/>
      <c r="E7" s="992" t="s">
        <v>694</v>
      </c>
      <c r="F7" s="289" t="e">
        <f ca="1">IF(INDIRECT("'数据-取费表'!ah"&amp;$G$1)="",INDIRECT("'数据-取费表'!k"&amp;$G$1),INDIRECT("'数据-取费表'!ah"&amp;$G$1))</f>
        <v>#N/A</v>
      </c>
      <c r="G7" s="1270"/>
      <c r="H7" s="290"/>
      <c r="I7" s="3486"/>
      <c r="J7" s="292"/>
      <c r="K7" s="293"/>
      <c r="L7" s="288" t="s">
        <v>694</v>
      </c>
      <c r="M7" s="289" t="e">
        <f ca="1">F7</f>
        <v>#N/A</v>
      </c>
    </row>
    <row r="8" spans="1:37" ht="18" customHeight="1">
      <c r="A8" s="290"/>
      <c r="B8" s="3486"/>
      <c r="C8" s="292"/>
      <c r="D8" s="293"/>
      <c r="E8" s="288" t="s">
        <v>695</v>
      </c>
      <c r="F8" s="289" t="e">
        <f ca="1">INDIRECT("'数据-取费表'!ai"&amp;$G$1)</f>
        <v>#N/A</v>
      </c>
      <c r="G8" s="1270"/>
      <c r="H8" s="290"/>
      <c r="I8" s="3486"/>
      <c r="J8" s="292"/>
      <c r="K8" s="293"/>
      <c r="L8" s="288" t="s">
        <v>695</v>
      </c>
      <c r="M8" s="289" t="e">
        <f ca="1">INDIRECT("'数据-取费表'!ai"&amp;$G$1)</f>
        <v>#N/A</v>
      </c>
    </row>
    <row r="9" spans="1:37" ht="18" customHeight="1">
      <c r="A9" s="290"/>
      <c r="B9" s="3487"/>
      <c r="C9" s="292"/>
      <c r="D9" s="293"/>
      <c r="E9" s="288" t="s">
        <v>696</v>
      </c>
      <c r="F9" s="298" t="e">
        <f ca="1">INDIRECT("'数据-取费表'!w"&amp;$G$1)</f>
        <v>#N/A</v>
      </c>
      <c r="G9" s="1270"/>
      <c r="H9" s="290"/>
      <c r="I9" s="3487"/>
      <c r="J9" s="292"/>
      <c r="K9" s="293"/>
      <c r="L9" s="299" t="s">
        <v>696</v>
      </c>
      <c r="M9" s="300" t="e">
        <f ca="1">INDIRECT("'数据-取费表'!ab"&amp;$G$1)</f>
        <v>#N/A</v>
      </c>
    </row>
    <row r="10" spans="1:37" ht="18" customHeight="1">
      <c r="A10" s="985" t="s">
        <v>402</v>
      </c>
      <c r="B10" s="1252" t="s">
        <v>697</v>
      </c>
      <c r="C10" s="302" t="e">
        <f ca="1">ROUND(IF(F10="押一",C6/12*F11,IF(F10="押二",C6/12*2*F11,IF(F10="押三",C6/12*3*F11,C11*F11))),0)</f>
        <v>#N/A</v>
      </c>
      <c r="D10" s="144" t="s">
        <v>2111</v>
      </c>
      <c r="E10" s="299" t="s">
        <v>698</v>
      </c>
      <c r="F10" s="1031" t="s">
        <v>3980</v>
      </c>
      <c r="G10" s="1270"/>
      <c r="H10" s="985" t="s">
        <v>402</v>
      </c>
      <c r="I10" s="1252" t="s">
        <v>697</v>
      </c>
      <c r="J10" s="287">
        <f ca="1">ROUND(IF(M10="押一",J6/12*M11,IF(M10="押二",J6/12*2*M11,IF(M10="押三",J6/12*3*M11,J11*M11))),0)</f>
        <v>0</v>
      </c>
      <c r="K10" s="144" t="s">
        <v>2111</v>
      </c>
      <c r="L10" s="299" t="s">
        <v>698</v>
      </c>
      <c r="M10" s="1031"/>
    </row>
    <row r="11" spans="1:37" ht="18" customHeight="1">
      <c r="A11" s="294"/>
      <c r="B11" s="1253" t="s">
        <v>676</v>
      </c>
      <c r="C11" s="885"/>
      <c r="D11" s="1254"/>
      <c r="E11" s="299" t="s">
        <v>699</v>
      </c>
      <c r="F11" s="300">
        <f ca="1">'数据-取费表'!B39</f>
        <v>1.4999999999999999E-2</v>
      </c>
      <c r="G11" s="1270"/>
      <c r="H11" s="993"/>
      <c r="I11" s="1253" t="s">
        <v>676</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t="e">
        <f ca="1">ROUND(C29*F13,0)</f>
        <v>#N/A</v>
      </c>
      <c r="D13" s="996" t="s">
        <v>702</v>
      </c>
      <c r="E13" s="996" t="s">
        <v>703</v>
      </c>
      <c r="F13" s="997" t="e">
        <f ca="1">INDIRECT("'数据-取费表'!y"&amp;$G$1)</f>
        <v>#N/A</v>
      </c>
      <c r="G13" s="1270"/>
      <c r="H13" s="994">
        <v>2</v>
      </c>
      <c r="I13" s="995" t="s">
        <v>701</v>
      </c>
      <c r="J13" s="984" t="e">
        <f ca="1">ROUND(J14*J15,0)</f>
        <v>#N/A</v>
      </c>
      <c r="K13" s="1002" t="s">
        <v>702</v>
      </c>
      <c r="L13" s="1277"/>
      <c r="M13" s="1278"/>
    </row>
    <row r="14" spans="1:37" ht="18" customHeight="1">
      <c r="A14" s="908" t="s">
        <v>397</v>
      </c>
      <c r="B14" s="288" t="s">
        <v>704</v>
      </c>
      <c r="C14" s="303" t="e">
        <f ca="1">INDIRECT("'数据-取费表'!m"&amp;$G$1)+INDIRECT("'数据-取费表'!t"&amp;$G$1)</f>
        <v>#N/A</v>
      </c>
      <c r="D14" s="1235" t="s">
        <v>705</v>
      </c>
      <c r="E14" s="1233"/>
      <c r="F14" s="304"/>
      <c r="G14" s="1270"/>
      <c r="H14" s="908" t="s">
        <v>398</v>
      </c>
      <c r="I14" s="288" t="s">
        <v>706</v>
      </c>
      <c r="J14" s="21" t="e">
        <f ca="1">C29</f>
        <v>#N/A</v>
      </c>
      <c r="K14" s="12"/>
      <c r="L14" s="741"/>
      <c r="M14" s="742"/>
    </row>
    <row r="15" spans="1:37" s="1282" customFormat="1" ht="18" customHeight="1" thickBot="1">
      <c r="A15" s="908" t="s">
        <v>399</v>
      </c>
      <c r="B15" s="288" t="s">
        <v>707</v>
      </c>
      <c r="C15" s="21" t="e">
        <f ca="1">ROUND(C14*F15,0)</f>
        <v>#N/A</v>
      </c>
      <c r="D15" s="305" t="s">
        <v>708</v>
      </c>
      <c r="E15" s="305" t="s">
        <v>709</v>
      </c>
      <c r="F15" s="306">
        <f>'数据-取费表'!B33</f>
        <v>0.05</v>
      </c>
      <c r="G15" s="1281"/>
      <c r="H15" s="1004" t="s">
        <v>402</v>
      </c>
      <c r="I15" s="1005" t="s">
        <v>703</v>
      </c>
      <c r="J15" s="1014" t="e">
        <f ca="1">INDIRECT("'数据-取费表'!ad"&amp;$G$1)</f>
        <v>#N/A</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t="e">
        <f ca="1">ROUND(INDIRECT("'数据-取费表'!m"&amp;$G$1)*F16,0)</f>
        <v>#N/A</v>
      </c>
      <c r="D16" s="288" t="s">
        <v>708</v>
      </c>
      <c r="E16" s="288" t="s">
        <v>709</v>
      </c>
      <c r="F16" s="307" t="e">
        <f ca="1">IF(INDIRECT("'数据-取费表'!c"&amp;$G$1)="住宅",'数据-取费表'!B34,0)</f>
        <v>#N/A</v>
      </c>
      <c r="G16" s="1270"/>
      <c r="H16" s="994" t="s">
        <v>393</v>
      </c>
      <c r="I16" s="995" t="s">
        <v>711</v>
      </c>
      <c r="J16" s="296" t="e">
        <f ca="1">ROUND(J17+J22+J23+J24,0)</f>
        <v>#N/A</v>
      </c>
      <c r="K16" s="1002" t="s">
        <v>712</v>
      </c>
      <c r="L16" s="1003"/>
      <c r="M16" s="988"/>
    </row>
    <row r="17" spans="1:37" s="1282" customFormat="1" ht="18" customHeight="1">
      <c r="A17" s="908" t="s">
        <v>678</v>
      </c>
      <c r="B17" s="288" t="s">
        <v>713</v>
      </c>
      <c r="C17" s="21" t="e">
        <f ca="1">ROUND(F17*(F43+INDIRECT("'数据-取费表'!S"&amp;$G$1))/10000,0)</f>
        <v>#N/A</v>
      </c>
      <c r="D17" s="288" t="s">
        <v>714</v>
      </c>
      <c r="E17" s="288" t="s">
        <v>715</v>
      </c>
      <c r="F17" s="23">
        <f>'数据-取费表'!B35</f>
        <v>200</v>
      </c>
      <c r="G17" s="1281"/>
      <c r="H17" s="908" t="s">
        <v>398</v>
      </c>
      <c r="I17" s="288" t="s">
        <v>716</v>
      </c>
      <c r="J17" s="2117" t="e">
        <f ca="1">ROUND(IF(AND(项目基本情况!B11="自然人",项目基本情况!B10="北京市"),J6*M17/(1+'数据-取费表'!C42),J18+J19+J20),2)</f>
        <v>#N/A</v>
      </c>
      <c r="K17" s="1235" t="s">
        <v>717</v>
      </c>
      <c r="L17" s="1234" t="s">
        <v>718</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t="e">
        <f ca="1">ROUND(C14*F18,0)</f>
        <v>#N/A</v>
      </c>
      <c r="D18" s="288" t="s">
        <v>708</v>
      </c>
      <c r="E18" s="288" t="s">
        <v>709</v>
      </c>
      <c r="F18" s="307">
        <f>'数据-取费表'!B36</f>
        <v>0.02</v>
      </c>
      <c r="G18" s="1281"/>
      <c r="H18" s="908" t="s">
        <v>397</v>
      </c>
      <c r="I18" s="288" t="s">
        <v>720</v>
      </c>
      <c r="J18" s="21" t="e">
        <f ca="1">ROUND(J6*M18/(1+'数据-取费表'!C42),2)</f>
        <v>#N/A</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t="e">
        <f ca="1">SUM(C14:C18)</f>
        <v>#N/A</v>
      </c>
      <c r="D19" s="117" t="s">
        <v>723</v>
      </c>
      <c r="E19" s="1247"/>
      <c r="F19" s="23"/>
      <c r="G19" s="1270"/>
      <c r="H19" s="908" t="s">
        <v>399</v>
      </c>
      <c r="I19" s="288" t="s">
        <v>724</v>
      </c>
      <c r="J19" s="21" t="e">
        <f ca="1">IF(K19="按租金收入计税",ROUND(J6*M19/(1+'数据-取费表'!C42),2),ROUND(C29*M19*0.7,2))</f>
        <v>#N/A</v>
      </c>
      <c r="K19" s="1256" t="s">
        <v>3318</v>
      </c>
      <c r="L19" s="288" t="s">
        <v>709</v>
      </c>
      <c r="M19" s="307">
        <f>IF(K19="按租金收入计税",'数据-取费表'!B51,'数据-取费表'!B50)</f>
        <v>0.12</v>
      </c>
    </row>
    <row r="20" spans="1:37" s="1282" customFormat="1" ht="18" customHeight="1">
      <c r="A20" s="908" t="s">
        <v>402</v>
      </c>
      <c r="B20" s="288" t="s">
        <v>725</v>
      </c>
      <c r="C20" s="21" t="e">
        <f ca="1">ROUND(C19*F20,0)</f>
        <v>#N/A</v>
      </c>
      <c r="D20" s="308" t="s">
        <v>726</v>
      </c>
      <c r="E20" s="288" t="s">
        <v>709</v>
      </c>
      <c r="F20" s="307">
        <f>'数据-取费表'!B37</f>
        <v>0.02</v>
      </c>
      <c r="G20" s="1281"/>
      <c r="H20" s="908" t="s">
        <v>677</v>
      </c>
      <c r="I20" s="141" t="s">
        <v>727</v>
      </c>
      <c r="J20" s="22" t="e">
        <f ca="1">ROUND(M20*M21/10000,2)</f>
        <v>#N/A</v>
      </c>
      <c r="K20" s="309" t="s">
        <v>728</v>
      </c>
      <c r="L20" s="288" t="s">
        <v>729</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t="e">
        <f ca="1">INDIRECT("'数据-取费表'!r"&amp;$G$1)</f>
        <v>#N/A</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t="e">
        <f ca="1">ROUND(J14*M22,2)</f>
        <v>#N/A</v>
      </c>
      <c r="K22" s="1234" t="s">
        <v>736</v>
      </c>
      <c r="L22" s="288" t="s">
        <v>709</v>
      </c>
      <c r="M22" s="313" t="e">
        <f ca="1">INDIRECT("'数据-取费表'!Ak"&amp;$G$1)</f>
        <v>#N/A</v>
      </c>
    </row>
    <row r="23" spans="1:37" s="1282" customFormat="1" ht="18" customHeight="1">
      <c r="A23" s="908" t="s">
        <v>397</v>
      </c>
      <c r="B23" s="288" t="s">
        <v>737</v>
      </c>
      <c r="C23" s="21" t="e">
        <f ca="1">IF('数据-取费表'!B22&lt;=1,ROUND(C19*F24*F23/2,0)+ROUND(C20*F24*F23/2,0),ROUND(C19*(POWER((1+F24),F23/2)-1),0)+ROUND(C20*(POWER((1+F24),F23/2)-1),0))</f>
        <v>#N/A</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t="e">
        <f ca="1">ROUND(J13*M23,2)</f>
        <v>#N/A</v>
      </c>
      <c r="K23" s="1234" t="s">
        <v>740</v>
      </c>
      <c r="L23" s="288" t="s">
        <v>709</v>
      </c>
      <c r="M23" s="314" t="e">
        <f ca="1">INDIRECT("'数据-取费表'!Al"&amp;$G$1)</f>
        <v>#N/A</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3.1300000000000001E-2</v>
      </c>
      <c r="G24" s="1281"/>
      <c r="H24" s="1004" t="s">
        <v>680</v>
      </c>
      <c r="I24" s="1005" t="s">
        <v>725</v>
      </c>
      <c r="J24" s="1006" t="e">
        <f ca="1">ROUND(J5*M24,2)</f>
        <v>#N/A</v>
      </c>
      <c r="K24" s="1007" t="s">
        <v>745</v>
      </c>
      <c r="L24" s="1005" t="s">
        <v>709</v>
      </c>
      <c r="M24" s="1001" t="e">
        <f ca="1">INDIRECT("'数据-取费表'!Am"&amp;$G$1)</f>
        <v>#N/A</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746</v>
      </c>
      <c r="B25" s="288" t="s">
        <v>747</v>
      </c>
      <c r="C25" s="21"/>
      <c r="D25" s="117" t="s">
        <v>748</v>
      </c>
      <c r="E25" s="1247"/>
      <c r="F25" s="23"/>
      <c r="G25" s="1270"/>
      <c r="H25" s="994" t="s">
        <v>394</v>
      </c>
      <c r="I25" s="1009" t="s">
        <v>749</v>
      </c>
      <c r="J25" s="296" t="e">
        <f ca="1">J5-J16</f>
        <v>#N/A</v>
      </c>
      <c r="K25" s="1010" t="s">
        <v>750</v>
      </c>
      <c r="L25" s="1011"/>
      <c r="M25" s="1012"/>
    </row>
    <row r="26" spans="1:37">
      <c r="A26" s="908" t="s">
        <v>397</v>
      </c>
      <c r="B26" s="288" t="s">
        <v>751</v>
      </c>
      <c r="C26" s="21" t="e">
        <f ca="1">ROUND((C19+C20)*F26,0)</f>
        <v>#N/A</v>
      </c>
      <c r="D26" s="308" t="s">
        <v>752</v>
      </c>
      <c r="E26" s="299" t="s">
        <v>753</v>
      </c>
      <c r="F26" s="298" t="e">
        <f ca="1">INDIRECT("'数据-取费表'!q"&amp;$G$1)</f>
        <v>#N/A</v>
      </c>
      <c r="G26" s="1270"/>
      <c r="H26" s="285" t="s">
        <v>395</v>
      </c>
      <c r="I26" s="286" t="s">
        <v>754</v>
      </c>
      <c r="J26" s="287" t="e">
        <f ca="1">IF(J5&lt;&gt;0,ROUND(J25*(1-((1+M28)/(1+M26))^M27)/(M26-M28),0),0)</f>
        <v>#N/A</v>
      </c>
      <c r="K26" s="309" t="s">
        <v>755</v>
      </c>
      <c r="L26" s="288" t="s">
        <v>756</v>
      </c>
      <c r="M26" s="298" t="e">
        <f ca="1">INDIRECT("'数据-取费表'!I"&amp;$G$1)</f>
        <v>#N/A</v>
      </c>
    </row>
    <row r="27" spans="1:37" ht="18" customHeight="1">
      <c r="A27" s="908" t="s">
        <v>399</v>
      </c>
      <c r="B27" s="288" t="s">
        <v>757</v>
      </c>
      <c r="C27" s="21" t="e">
        <f ca="1">ROUND(F21*F26,4)</f>
        <v>#N/A</v>
      </c>
      <c r="D27" s="308" t="s">
        <v>758</v>
      </c>
      <c r="E27" s="305"/>
      <c r="F27" s="306"/>
      <c r="G27" s="1270"/>
      <c r="H27" s="290"/>
      <c r="I27" s="291"/>
      <c r="J27" s="292"/>
      <c r="K27" s="316" t="s">
        <v>759</v>
      </c>
      <c r="L27" s="288" t="s">
        <v>760</v>
      </c>
      <c r="M27" s="317" t="e">
        <f ca="1">INDIRECT("'数据-取费表'!ag"&amp;$G$1)</f>
        <v>#N/A</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t="e">
        <f ca="1">INDIRECT("'数据-取费表'!aa"&amp;$G$1)</f>
        <v>#N/A</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t="e">
        <f ca="1">ROUND((C19+C20+C23+C26)/(1-F21-C24-C27-C28),0)</f>
        <v>#N/A</v>
      </c>
      <c r="D29" s="1007"/>
      <c r="E29" s="1005"/>
      <c r="F29" s="1008"/>
      <c r="G29" s="1281"/>
      <c r="H29" s="318" t="s">
        <v>396</v>
      </c>
      <c r="I29" s="319" t="s">
        <v>765</v>
      </c>
      <c r="J29" s="320" t="e">
        <f ca="1">ROUND(J26/(1+F40)^F41,0)</f>
        <v>#N/A</v>
      </c>
      <c r="K29" s="321" t="s">
        <v>766</v>
      </c>
      <c r="L29" s="322"/>
      <c r="M29" s="323" t="e">
        <f ca="1">INDIRECT("'数据-取费表'!k"&amp;$G$1)</f>
        <v>#N/A</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t="e">
        <f ca="1">ROUND(C31+C36+C37+C38,0)</f>
        <v>#N/A</v>
      </c>
      <c r="D30" s="1002" t="s">
        <v>712</v>
      </c>
      <c r="E30" s="1003"/>
      <c r="F30" s="988"/>
      <c r="G30" s="1270"/>
      <c r="H30" s="2445"/>
      <c r="I30" s="1283"/>
      <c r="J30" s="1284"/>
      <c r="K30" s="115"/>
      <c r="L30" s="2446"/>
      <c r="M30" s="2447"/>
    </row>
    <row r="31" spans="1:37" ht="18" customHeight="1">
      <c r="A31" s="908" t="s">
        <v>398</v>
      </c>
      <c r="B31" s="288" t="s">
        <v>716</v>
      </c>
      <c r="C31" s="2117" t="e">
        <f ca="1">ROUND(IF(AND(项目基本情况!B11="自然人",项目基本情况!B10="北京市"),C6*F31/(1+'数据-取费表'!C42),C32+C33+C34),2)</f>
        <v>#N/A</v>
      </c>
      <c r="D31" s="1235" t="s">
        <v>717</v>
      </c>
      <c r="E31" s="1234" t="s">
        <v>767</v>
      </c>
      <c r="F31" s="2116" t="str">
        <f>IF(项目基本情况!B11="企业","——",IF(M47="住宅",IF(F6*F7*F8/12/(1+'数据-取费表'!F30)&gt;100000,4%,2.5%),IF(F6*F7*F8/12/(1+'数据-取费表'!F30)&gt;100000,12%,7%)))</f>
        <v>——</v>
      </c>
      <c r="G31" s="1270"/>
      <c r="H31" s="2543" t="s">
        <v>2290</v>
      </c>
      <c r="I31" s="1283"/>
      <c r="J31" s="1284"/>
      <c r="K31" s="115"/>
      <c r="L31" s="2446"/>
      <c r="M31" s="2447"/>
    </row>
    <row r="32" spans="1:37" ht="18" customHeight="1">
      <c r="A32" s="908" t="s">
        <v>397</v>
      </c>
      <c r="B32" s="288" t="s">
        <v>720</v>
      </c>
      <c r="C32" s="21" t="e">
        <f ca="1">IF(项目基本情况!B11="自然人","——",ROUND(C6*F32/(1+'数据-取费表'!C42),2))</f>
        <v>#N/A</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t="e">
        <f ca="1">IF(项目基本情况!B11="自然人","——",IF(D33="按租金收入计税",ROUND(C6*F33/(1+'数据-取费表'!C42),2),IF(D33="按房产原值计税",ROUND(C29*F33*0.7,2),INDIRECT("'数据-取费表'!Aj"&amp;$G$1))))</f>
        <v>#N/A</v>
      </c>
      <c r="D33" s="1256" t="s">
        <v>3318</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t="e">
        <f ca="1">IF(项目基本情况!B11="自然人","——",ROUND(F34*F35/10000,2))</f>
        <v>#N/A</v>
      </c>
      <c r="D34" s="309" t="s">
        <v>728</v>
      </c>
      <c r="E34" s="288" t="s">
        <v>729</v>
      </c>
      <c r="F34" s="310">
        <f>'数据-取费表'!B52</f>
        <v>3</v>
      </c>
      <c r="G34" s="1270"/>
      <c r="H34" s="2445"/>
      <c r="I34" s="1283"/>
      <c r="J34" s="1284"/>
      <c r="K34" s="2450"/>
      <c r="L34" s="2451"/>
      <c r="M34" s="2451"/>
    </row>
    <row r="35" spans="1:18" ht="18" customHeight="1">
      <c r="A35" s="1018"/>
      <c r="B35" s="1016"/>
      <c r="C35" s="26"/>
      <c r="D35" s="312"/>
      <c r="E35" s="288" t="s">
        <v>733</v>
      </c>
      <c r="F35" s="289" t="e">
        <f ca="1">INDIRECT("'数据-取费表'!r"&amp;$G$1)</f>
        <v>#N/A</v>
      </c>
      <c r="G35" s="1270"/>
      <c r="H35" s="2445"/>
      <c r="I35" s="1283"/>
      <c r="J35" s="1284"/>
      <c r="K35" s="2449"/>
      <c r="L35" s="2448"/>
      <c r="M35" s="2448"/>
    </row>
    <row r="36" spans="1:18" ht="18" customHeight="1">
      <c r="A36" s="1017" t="s">
        <v>402</v>
      </c>
      <c r="B36" s="288" t="s">
        <v>735</v>
      </c>
      <c r="C36" s="21" t="e">
        <f ca="1">ROUND(C29*F36,2)</f>
        <v>#N/A</v>
      </c>
      <c r="D36" s="1234" t="s">
        <v>768</v>
      </c>
      <c r="E36" s="288" t="s">
        <v>709</v>
      </c>
      <c r="F36" s="313" t="e">
        <f ca="1">INDIRECT("'数据-取费表'!Ak"&amp;$G$1)</f>
        <v>#N/A</v>
      </c>
      <c r="G36" s="1270"/>
      <c r="H36" s="2448"/>
      <c r="I36" s="1283"/>
      <c r="J36" s="1284"/>
      <c r="K36" s="2308"/>
      <c r="L36" s="2448"/>
      <c r="M36" s="2448"/>
    </row>
    <row r="37" spans="1:18" ht="18" customHeight="1">
      <c r="A37" s="908" t="s">
        <v>437</v>
      </c>
      <c r="B37" s="288" t="s">
        <v>739</v>
      </c>
      <c r="C37" s="21" t="e">
        <f ca="1">ROUND(C13*F37,2)</f>
        <v>#N/A</v>
      </c>
      <c r="D37" s="1234" t="s">
        <v>740</v>
      </c>
      <c r="E37" s="288" t="s">
        <v>709</v>
      </c>
      <c r="F37" s="314" t="e">
        <f ca="1">INDIRECT("'数据-取费表'!Al"&amp;$G$1)</f>
        <v>#N/A</v>
      </c>
      <c r="G37" s="1270"/>
      <c r="H37" s="2448"/>
      <c r="I37" s="1283"/>
      <c r="J37" s="1284"/>
      <c r="K37" s="2308"/>
      <c r="L37" s="2448"/>
      <c r="M37" s="2448"/>
    </row>
    <row r="38" spans="1:18" ht="18" customHeight="1" thickBot="1">
      <c r="A38" s="1004" t="s">
        <v>680</v>
      </c>
      <c r="B38" s="1005" t="s">
        <v>725</v>
      </c>
      <c r="C38" s="1006" t="e">
        <f ca="1">ROUND(C5*F38,2)</f>
        <v>#N/A</v>
      </c>
      <c r="D38" s="1007" t="s">
        <v>745</v>
      </c>
      <c r="E38" s="1005" t="s">
        <v>709</v>
      </c>
      <c r="F38" s="1001" t="e">
        <f ca="1">INDIRECT("'数据-取费表'!Am"&amp;$G$1)</f>
        <v>#N/A</v>
      </c>
      <c r="G38" s="1270"/>
      <c r="H38" s="2448"/>
      <c r="I38" s="1283"/>
      <c r="J38" s="1284"/>
      <c r="K38" s="2446"/>
      <c r="L38" s="2448"/>
      <c r="M38" s="2448"/>
    </row>
    <row r="39" spans="1:18" ht="24.6" customHeight="1" thickTop="1">
      <c r="A39" s="994" t="s">
        <v>394</v>
      </c>
      <c r="B39" s="1009" t="s">
        <v>749</v>
      </c>
      <c r="C39" s="296" t="e">
        <f ca="1">C5-C30</f>
        <v>#N/A</v>
      </c>
      <c r="D39" s="1010" t="s">
        <v>750</v>
      </c>
      <c r="E39" s="1011"/>
      <c r="F39" s="1012"/>
      <c r="G39" s="1270"/>
      <c r="H39" s="2448"/>
      <c r="I39" s="1283"/>
      <c r="J39" s="1284"/>
      <c r="K39" s="2446"/>
      <c r="L39" s="2448"/>
      <c r="M39" s="2448"/>
    </row>
    <row r="40" spans="1:18" ht="18" customHeight="1">
      <c r="A40" s="285" t="s">
        <v>395</v>
      </c>
      <c r="B40" s="286" t="s">
        <v>771</v>
      </c>
      <c r="C40" s="287" t="e">
        <f ca="1">ROUND(C39*(1-((1+F42)/(1+F40))^F41)/(F40-F42),0)</f>
        <v>#N/A</v>
      </c>
      <c r="D40" s="309" t="s">
        <v>755</v>
      </c>
      <c r="E40" s="288" t="s">
        <v>756</v>
      </c>
      <c r="F40" s="298" t="e">
        <f ca="1">INDIRECT("'数据-取费表'!I"&amp;$G$1)</f>
        <v>#N/A</v>
      </c>
      <c r="G40" s="1270"/>
      <c r="H40" s="1344"/>
      <c r="I40" s="1283"/>
      <c r="J40" s="1284"/>
      <c r="K40" s="2446"/>
      <c r="L40" s="1344"/>
      <c r="M40" s="1344"/>
    </row>
    <row r="41" spans="1:18" ht="18" customHeight="1">
      <c r="A41" s="290"/>
      <c r="B41" s="291"/>
      <c r="C41" s="292"/>
      <c r="D41" s="316" t="s">
        <v>772</v>
      </c>
      <c r="E41" s="288" t="s">
        <v>760</v>
      </c>
      <c r="F41" s="317" t="e">
        <f ca="1">IF(INDIRECT("'数据-取费表'!af"&amp;$G$1)=0,INDIRECT("'数据-取费表'!ae"&amp;$G$1),INDIRECT("'数据-取费表'!af"&amp;$G$1))</f>
        <v>#N/A</v>
      </c>
      <c r="G41" s="1270"/>
      <c r="H41" s="115"/>
      <c r="I41" s="1283"/>
      <c r="J41" s="1284"/>
      <c r="K41" s="2308"/>
      <c r="L41" s="115"/>
      <c r="M41" s="115"/>
    </row>
    <row r="42" spans="1:18" ht="18" customHeight="1">
      <c r="A42" s="294"/>
      <c r="B42" s="295"/>
      <c r="C42" s="296"/>
      <c r="D42" s="312"/>
      <c r="E42" s="288" t="s">
        <v>763</v>
      </c>
      <c r="F42" s="298" t="e">
        <f ca="1">INDIRECT("'数据-取费表'!v"&amp;$G$1)</f>
        <v>#N/A</v>
      </c>
      <c r="G42" s="1270"/>
      <c r="H42" s="115"/>
      <c r="I42" s="1283"/>
      <c r="J42" s="1284"/>
      <c r="K42" s="2308"/>
      <c r="L42" s="115"/>
      <c r="M42" s="115"/>
    </row>
    <row r="43" spans="1:18" ht="18" customHeight="1" thickBot="1">
      <c r="A43" s="318" t="s">
        <v>396</v>
      </c>
      <c r="B43" s="319" t="s">
        <v>773</v>
      </c>
      <c r="C43" s="320" t="e">
        <f ca="1">ROUND(C40*10000/F43,0)</f>
        <v>#N/A</v>
      </c>
      <c r="D43" s="321" t="s">
        <v>774</v>
      </c>
      <c r="E43" s="322" t="s">
        <v>775</v>
      </c>
      <c r="F43" s="323" t="e">
        <f ca="1">INDIRECT("'数据-取费表'!k"&amp;$G$1)</f>
        <v>#N/A</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805</v>
      </c>
      <c r="P45" s="1344"/>
      <c r="Q45" s="1344"/>
      <c r="R45" s="1344"/>
    </row>
    <row r="46" spans="1:18" s="1270" customFormat="1" ht="13.5" thickBot="1">
      <c r="A46" s="1289" t="s">
        <v>806</v>
      </c>
      <c r="C46" s="1290" t="e">
        <f ca="1">C68-C40</f>
        <v>#N/A</v>
      </c>
      <c r="D46" s="1291" t="str">
        <f>C2</f>
        <v>万元</v>
      </c>
      <c r="E46" s="1285"/>
      <c r="F46" s="1285"/>
      <c r="I46" s="1292" t="s">
        <v>807</v>
      </c>
      <c r="J46" s="1293"/>
      <c r="K46" s="1294"/>
      <c r="L46" s="1295" t="e">
        <f ca="1">IF(M47="住宅",0,IF(L48&gt;J51,L60,J60))</f>
        <v>#N/A</v>
      </c>
      <c r="O46" s="1296" t="s">
        <v>808</v>
      </c>
      <c r="P46" s="1297" t="s">
        <v>809</v>
      </c>
      <c r="Q46" s="1298" t="s">
        <v>810</v>
      </c>
      <c r="R46" s="1298" t="s">
        <v>811</v>
      </c>
    </row>
    <row r="47" spans="1:18" s="1270" customFormat="1" ht="13.5" thickBot="1">
      <c r="A47" s="872" t="s">
        <v>684</v>
      </c>
      <c r="B47" s="904" t="s">
        <v>685</v>
      </c>
      <c r="C47" s="1032" t="s">
        <v>686</v>
      </c>
      <c r="D47" s="904" t="s">
        <v>687</v>
      </c>
      <c r="E47" s="974" t="s">
        <v>688</v>
      </c>
      <c r="F47" s="975"/>
      <c r="G47" s="671"/>
      <c r="I47" s="1299" t="s">
        <v>812</v>
      </c>
      <c r="J47" s="1300" t="s">
        <v>3981</v>
      </c>
      <c r="K47" s="1301" t="s">
        <v>813</v>
      </c>
      <c r="L47" s="1302" t="e">
        <f ca="1">INDIRECT("'数据-取费表'!d"&amp;$G$1)</f>
        <v>#N/A</v>
      </c>
      <c r="M47" s="1266" t="str">
        <f>IF(ISNUMBER(FIND("住宅",C1)),"住宅","非住宅")</f>
        <v>非住宅</v>
      </c>
      <c r="O47" s="1303" t="s">
        <v>403</v>
      </c>
      <c r="P47" s="1304" t="s">
        <v>814</v>
      </c>
      <c r="Q47" s="1305" t="e">
        <f ca="1">C40+J29</f>
        <v>#N/A</v>
      </c>
      <c r="R47" s="1305" t="s">
        <v>815</v>
      </c>
    </row>
    <row r="48" spans="1:18" s="1270" customFormat="1" ht="28.5" thickBot="1">
      <c r="A48" s="1025" t="s">
        <v>438</v>
      </c>
      <c r="B48" s="286" t="s">
        <v>689</v>
      </c>
      <c r="C48" s="1246" t="e">
        <f ca="1">C49+C53+C55</f>
        <v>#N/A</v>
      </c>
      <c r="D48" s="1027"/>
      <c r="E48" s="1028"/>
      <c r="F48" s="888"/>
      <c r="G48" s="671"/>
      <c r="H48" s="672"/>
      <c r="I48" s="1306" t="s">
        <v>816</v>
      </c>
      <c r="J48" s="1307" t="s">
        <v>3982</v>
      </c>
      <c r="K48" s="1308" t="s">
        <v>817</v>
      </c>
      <c r="L48" s="1309" t="e">
        <f ca="1">INDIRECT("'数据-取费表'!f"&amp;$G$1)</f>
        <v>#N/A</v>
      </c>
      <c r="O48" s="1303" t="s">
        <v>404</v>
      </c>
      <c r="P48" s="1304" t="s">
        <v>818</v>
      </c>
      <c r="Q48" s="1305" t="e">
        <f ca="1">J60</f>
        <v>#N/A</v>
      </c>
      <c r="R48" s="1305" t="s">
        <v>819</v>
      </c>
    </row>
    <row r="49" spans="1:18" s="1270" customFormat="1" ht="13.5" thickBot="1">
      <c r="A49" s="901" t="s">
        <v>439</v>
      </c>
      <c r="B49" s="1257" t="s">
        <v>776</v>
      </c>
      <c r="C49" s="1029" t="e">
        <f ca="1">ROUND(F49*F51*F50*(1-F52)/10000,0)</f>
        <v>#N/A</v>
      </c>
      <c r="D49" s="971" t="s">
        <v>2103</v>
      </c>
      <c r="E49" s="1258" t="s">
        <v>777</v>
      </c>
      <c r="F49" s="976"/>
      <c r="H49" s="672"/>
      <c r="I49" s="1306" t="s">
        <v>820</v>
      </c>
      <c r="J49" s="1310">
        <v>2021</v>
      </c>
      <c r="K49" s="1308" t="s">
        <v>821</v>
      </c>
      <c r="L49" s="1311"/>
      <c r="O49" s="1312" t="s">
        <v>405</v>
      </c>
      <c r="P49" s="1304" t="s">
        <v>822</v>
      </c>
      <c r="Q49" s="1305" t="e">
        <f ca="1">C29</f>
        <v>#N/A</v>
      </c>
      <c r="R49" s="1305" t="s">
        <v>815</v>
      </c>
    </row>
    <row r="50" spans="1:18" s="1270" customFormat="1" ht="13.5" thickBot="1">
      <c r="A50" s="902"/>
      <c r="B50" s="905"/>
      <c r="C50" s="1033"/>
      <c r="D50" s="879"/>
      <c r="E50" s="972" t="s">
        <v>694</v>
      </c>
      <c r="F50" s="973" t="e">
        <f ca="1">F7</f>
        <v>#N/A</v>
      </c>
      <c r="H50" s="672"/>
      <c r="I50" s="1306" t="s">
        <v>823</v>
      </c>
      <c r="J50" s="1313">
        <f>SUMPRODUCT((I63:I65=J47)*(J62:L62=J48)*(J63:L65))</f>
        <v>60</v>
      </c>
      <c r="K50" s="1308" t="s">
        <v>824</v>
      </c>
      <c r="L50" s="1311"/>
      <c r="M50" s="1314"/>
      <c r="O50" s="1312" t="s">
        <v>406</v>
      </c>
      <c r="P50" s="1304" t="s">
        <v>825</v>
      </c>
      <c r="Q50" s="1315" t="e">
        <f ca="1">J58</f>
        <v>#N/A</v>
      </c>
      <c r="R50" s="1305"/>
    </row>
    <row r="51" spans="1:18" s="1270" customFormat="1" ht="13.5" thickBot="1">
      <c r="A51" s="903"/>
      <c r="B51" s="905"/>
      <c r="C51" s="906"/>
      <c r="D51" s="879"/>
      <c r="E51" s="907" t="s">
        <v>695</v>
      </c>
      <c r="F51" s="289" t="e">
        <f ca="1">F8</f>
        <v>#N/A</v>
      </c>
      <c r="I51" s="1316" t="s">
        <v>826</v>
      </c>
      <c r="J51" s="1309">
        <f>IF(J49="",J50,J49+J50-YEAR('数据-取费表'!B2))</f>
        <v>56</v>
      </c>
      <c r="K51" s="1317" t="s">
        <v>827</v>
      </c>
      <c r="L51" s="1318" t="e">
        <f ca="1">ROUND(-PV(INDIRECT("'数据-取费表'!h"&amp;$G$1),J51,(C39-C13*C76),0),0)</f>
        <v>#N/A</v>
      </c>
      <c r="M51" s="1319"/>
      <c r="O51" s="1312" t="s">
        <v>407</v>
      </c>
      <c r="P51" s="1304" t="s">
        <v>828</v>
      </c>
      <c r="Q51" s="1315">
        <f>J52</f>
        <v>7.4999999999999997E-2</v>
      </c>
      <c r="R51" s="1305"/>
    </row>
    <row r="52" spans="1:18" s="1270" customFormat="1" ht="13.5" thickBot="1">
      <c r="A52" s="903"/>
      <c r="B52" s="905"/>
      <c r="C52" s="906"/>
      <c r="D52" s="879"/>
      <c r="E52" s="907" t="s">
        <v>696</v>
      </c>
      <c r="F52" s="970"/>
      <c r="I52" s="1320" t="s">
        <v>829</v>
      </c>
      <c r="J52" s="1321">
        <v>7.4999999999999997E-2</v>
      </c>
      <c r="K52" s="1320" t="s">
        <v>830</v>
      </c>
      <c r="L52" s="1321"/>
      <c r="O52" s="1312" t="s">
        <v>408</v>
      </c>
      <c r="P52" s="1304" t="s">
        <v>831</v>
      </c>
      <c r="Q52" s="1305" t="e">
        <f ca="1">J53</f>
        <v>#N/A</v>
      </c>
      <c r="R52" s="1305" t="s">
        <v>832</v>
      </c>
    </row>
    <row r="53" spans="1:18" s="1270" customFormat="1" ht="24.75" thickBot="1">
      <c r="A53" s="1057" t="s">
        <v>440</v>
      </c>
      <c r="B53" s="1259" t="s">
        <v>697</v>
      </c>
      <c r="C53" s="302">
        <f ca="1">ROUND(IF(F53="押一",C49/12*F11,IF(F53="押二",C49/12*2*F11,IF(F53="押三",C49/12*3*F11,C54*F11))),0)</f>
        <v>0</v>
      </c>
      <c r="D53" s="144" t="s">
        <v>2111</v>
      </c>
      <c r="E53" s="299" t="s">
        <v>698</v>
      </c>
      <c r="F53" s="1031"/>
      <c r="I53" s="1322" t="s">
        <v>833</v>
      </c>
      <c r="J53" s="1983" t="e">
        <f ca="1">IF(M47="住宅",IF(D1="——",MAX(J51,L48),MAX(J51,L48-'数据-取费表'!B24)),IF(D1="——",MIN(J51,L48),MIN(J51,L48-'数据-取费表'!B24)))</f>
        <v>#N/A</v>
      </c>
      <c r="K53" s="3483" t="s">
        <v>834</v>
      </c>
      <c r="L53" s="3484"/>
      <c r="O53" s="1303" t="s">
        <v>409</v>
      </c>
      <c r="P53" s="1304" t="s">
        <v>835</v>
      </c>
      <c r="Q53" s="1305" t="e">
        <f ca="1">Q47+Q48</f>
        <v>#N/A</v>
      </c>
      <c r="R53" s="1305" t="s">
        <v>410</v>
      </c>
    </row>
    <row r="54" spans="1:18" s="1270" customFormat="1" ht="13.5" thickBot="1">
      <c r="A54" s="1058"/>
      <c r="B54" s="1253" t="s">
        <v>676</v>
      </c>
      <c r="C54" s="885"/>
      <c r="D54" s="144"/>
      <c r="E54" s="1260"/>
      <c r="F54" s="1323"/>
      <c r="I54" s="13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t="e">
        <f ca="1">ROUND(IF(J47="钢混",J57/J50,1-(1-2%)*(J50-J57)/J50),3)</f>
        <v>#N/A</v>
      </c>
      <c r="K55" s="1328" t="s">
        <v>838</v>
      </c>
      <c r="L55" s="1329"/>
      <c r="O55" s="1296" t="s">
        <v>808</v>
      </c>
      <c r="P55" s="1297" t="s">
        <v>809</v>
      </c>
      <c r="Q55" s="1298" t="s">
        <v>810</v>
      </c>
      <c r="R55" s="1298" t="s">
        <v>811</v>
      </c>
    </row>
    <row r="56" spans="1:18" s="1270" customFormat="1" ht="25.5" thickTop="1" thickBot="1">
      <c r="A56" s="883">
        <v>2</v>
      </c>
      <c r="B56" s="884" t="s">
        <v>701</v>
      </c>
      <c r="C56" s="218" t="e">
        <f ca="1">C13</f>
        <v>#N/A</v>
      </c>
      <c r="D56" s="1330"/>
      <c r="E56" s="1331"/>
      <c r="F56" s="1323"/>
      <c r="I56" s="1332" t="s">
        <v>839</v>
      </c>
      <c r="J56" s="1333" t="s">
        <v>3502</v>
      </c>
      <c r="K56" s="1306" t="s">
        <v>840</v>
      </c>
      <c r="L56" s="1309" t="e">
        <f ca="1">IF(L48&lt;J51,"——",L48-J53)</f>
        <v>#N/A</v>
      </c>
      <c r="O56" s="1303" t="s">
        <v>403</v>
      </c>
      <c r="P56" s="1304" t="s">
        <v>814</v>
      </c>
      <c r="Q56" s="1305" t="e">
        <f ca="1">C40+J29</f>
        <v>#N/A</v>
      </c>
      <c r="R56" s="1305" t="s">
        <v>815</v>
      </c>
    </row>
    <row r="57" spans="1:18" s="1270" customFormat="1" ht="24.75" thickBot="1">
      <c r="A57" s="1334"/>
      <c r="B57" s="876" t="s">
        <v>764</v>
      </c>
      <c r="C57" s="224" t="e">
        <f ca="1">C29</f>
        <v>#N/A</v>
      </c>
      <c r="D57" s="1335"/>
      <c r="E57" s="1336"/>
      <c r="F57" s="1337"/>
      <c r="I57" s="1338" t="s">
        <v>841</v>
      </c>
      <c r="J57" s="1339" t="e">
        <f ca="1">IF(OR(M47="住宅",J51&lt;L48,J56="是"),"——",J51-L48)</f>
        <v>#N/A</v>
      </c>
      <c r="K57" s="1306" t="s">
        <v>842</v>
      </c>
      <c r="L57" s="1309" t="e">
        <f ca="1">IF(L48&lt;J51,"——",IF(L55="比较法",L49,IF(L55="基准地价",L50,L51)))</f>
        <v>#N/A</v>
      </c>
      <c r="O57" s="1303" t="s">
        <v>404</v>
      </c>
      <c r="P57" s="1304" t="s">
        <v>843</v>
      </c>
      <c r="Q57" s="1305" t="e">
        <f ca="1">L60</f>
        <v>#N/A</v>
      </c>
      <c r="R57" s="1305" t="s">
        <v>844</v>
      </c>
    </row>
    <row r="58" spans="1:18" s="1270" customFormat="1" ht="24.75" thickBot="1">
      <c r="A58" s="301" t="s">
        <v>393</v>
      </c>
      <c r="B58" s="884" t="s">
        <v>711</v>
      </c>
      <c r="C58" s="302" t="e">
        <f ca="1">ROUND(C59+C64+C65+C66,0)</f>
        <v>#N/A</v>
      </c>
      <c r="D58" s="886" t="s">
        <v>712</v>
      </c>
      <c r="E58" s="887"/>
      <c r="F58" s="888"/>
      <c r="I58" s="1338" t="s">
        <v>845</v>
      </c>
      <c r="J58" s="1340" t="e">
        <f ca="1">IF(J55&lt;0.4,0.4,J55)</f>
        <v>#N/A</v>
      </c>
      <c r="K58" s="1317" t="s">
        <v>846</v>
      </c>
      <c r="L58" s="1309" t="e">
        <f ca="1">ROUND(POWER(1+L52,L47-L48)*(POWER(1+L52,L48)-1)/(POWER(1+L52,L47)-1),4)</f>
        <v>#N/A</v>
      </c>
      <c r="O58" s="1312" t="s">
        <v>405</v>
      </c>
      <c r="P58" s="1304" t="s">
        <v>847</v>
      </c>
      <c r="Q58" s="1305">
        <f>IF(L55="比较法",L49,IF(L55="基准地价",L50,0))</f>
        <v>0</v>
      </c>
      <c r="R58" s="1305" t="s">
        <v>815</v>
      </c>
    </row>
    <row r="59" spans="1:18" s="1270" customFormat="1" ht="24.75" thickBot="1">
      <c r="A59" s="908" t="s">
        <v>398</v>
      </c>
      <c r="B59" s="876" t="s">
        <v>716</v>
      </c>
      <c r="C59" s="2117" t="e">
        <f ca="1">ROUND(IF(AND(项目基本情况!B11="自然人",项目基本情况!B10="北京市"),C49*F59/(1+'数据-取费表'!C42),C60+C61+C62),0)</f>
        <v>#N/A</v>
      </c>
      <c r="D59" s="889" t="s">
        <v>717</v>
      </c>
      <c r="E59" s="890" t="s">
        <v>718</v>
      </c>
      <c r="F59" s="2116" t="str">
        <f>IF(项目基本情况!B11="企业","——",IF('数据-取费表'!B10="住宅",IF(F49*F50*F51/12/(1+'数据-取费表'!F30)&gt;100000,4%,2.5%),IF(F49*F50*F51/12/(1+'数据-取费表'!F30)&gt;100000,12%,7%)))</f>
        <v>——</v>
      </c>
      <c r="I59" s="1338" t="s">
        <v>848</v>
      </c>
      <c r="J59" s="1339" t="e">
        <f ca="1">IF(OR(M47="住宅",J51&lt;L48,J56="是"),"——",ROUND(C29*J58,0))</f>
        <v>#N/A</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#N/A</v>
      </c>
      <c r="M59" s="1266" t="e">
        <f ca="1">ROUND(POWER(1+L52,L47-(J51+'数据-取费表'!B24))*(POWER(1+L52,(J51+'数据-取费表'!B24))-1)/(POWER(1+L52,L47)-1),4)</f>
        <v>#N/A</v>
      </c>
      <c r="N59" s="1266" t="e">
        <f ca="1">ROUND(POWER(1+L52,L47-(J51+'数据-取费表'!B20))*(POWER(1+L52,(J51+'数据-取费表'!B20))-1)/(POWER(1+L52,L47)-1),4)</f>
        <v>#N/A</v>
      </c>
      <c r="O59" s="1312" t="s">
        <v>406</v>
      </c>
      <c r="P59" s="1304" t="s">
        <v>849</v>
      </c>
      <c r="Q59" s="1315">
        <f>L52</f>
        <v>0</v>
      </c>
      <c r="R59" s="1305"/>
    </row>
    <row r="60" spans="1:18" s="1270" customFormat="1" ht="16.5" thickBot="1">
      <c r="A60" s="908" t="s">
        <v>397</v>
      </c>
      <c r="B60" s="876" t="s">
        <v>720</v>
      </c>
      <c r="C60" s="21" t="e">
        <f ca="1">IF(项目基本情况!B11="自然人","——",ROUND(C48*F60/(1+'数据-取费表'!C42),2))</f>
        <v>#N/A</v>
      </c>
      <c r="D60" s="890" t="s">
        <v>721</v>
      </c>
      <c r="E60" s="876" t="s">
        <v>709</v>
      </c>
      <c r="F60" s="315">
        <f t="shared" ref="F60:F66" si="0">F32</f>
        <v>5.6000000000000001E-2</v>
      </c>
      <c r="I60" s="1341" t="s">
        <v>850</v>
      </c>
      <c r="J60" s="1342" t="e">
        <f ca="1">IF(OR(M47="住宅",J51&lt;L48,J56="是"),"0",ROUND(J59/(1+J52)^J53,0))</f>
        <v>#N/A</v>
      </c>
      <c r="K60" s="1343" t="s">
        <v>851</v>
      </c>
      <c r="L60" s="1342" t="e">
        <f ca="1">IF(OR(M47="住宅",L48&lt;J51),0,ROUND(L57*(L58/L59-1),0))</f>
        <v>#N/A</v>
      </c>
      <c r="O60" s="1312" t="s">
        <v>407</v>
      </c>
      <c r="P60" s="1304" t="s">
        <v>852</v>
      </c>
      <c r="Q60" s="1305" t="e">
        <f ca="1">L58</f>
        <v>#N/A</v>
      </c>
      <c r="R60" s="1305" t="s">
        <v>853</v>
      </c>
    </row>
    <row r="61" spans="1:18" s="1270" customFormat="1" ht="13.5" thickBot="1">
      <c r="A61" s="908" t="s">
        <v>778</v>
      </c>
      <c r="B61" s="876" t="s">
        <v>724</v>
      </c>
      <c r="C61" s="21" t="e">
        <f ca="1">IF(项目基本情况!B11="自然人","——",IF(D61="按租金收入计税",ROUND(C49*F61/(1+'数据-取费表'!C42),2),IF(D61="按房产原值计税",ROUND(C57*F61*0.7,2),INDIRECT("'数据-取费表'!Aj"&amp;$G$1))))</f>
        <v>#N/A</v>
      </c>
      <c r="D61" s="1256" t="s">
        <v>3318</v>
      </c>
      <c r="E61" s="876" t="s">
        <v>709</v>
      </c>
      <c r="F61" s="307">
        <f t="shared" si="0"/>
        <v>0.12</v>
      </c>
      <c r="I61" s="1344"/>
      <c r="J61" s="1344"/>
      <c r="K61" s="1344"/>
      <c r="L61" s="1344"/>
      <c r="O61" s="1312" t="s">
        <v>408</v>
      </c>
      <c r="P61" s="1304" t="str">
        <f>K59</f>
        <v>建筑物剩余耐用年限下的土地年期修正系数Kn</v>
      </c>
      <c r="Q61" s="1305" t="e">
        <f ca="1">L59</f>
        <v>#N/A</v>
      </c>
      <c r="R61" s="1305" t="s">
        <v>854</v>
      </c>
    </row>
    <row r="62" spans="1:18" s="1270" customFormat="1" ht="13.5" thickBot="1">
      <c r="A62" s="908" t="s">
        <v>781</v>
      </c>
      <c r="B62" s="875" t="s">
        <v>727</v>
      </c>
      <c r="C62" s="22" t="e">
        <f ca="1">IF(项目基本情况!B11="自然人","——",ROUND(F62*F63/10000,2))</f>
        <v>#N/A</v>
      </c>
      <c r="D62" s="891" t="s">
        <v>728</v>
      </c>
      <c r="E62" s="876" t="s">
        <v>729</v>
      </c>
      <c r="F62" s="310">
        <f t="shared" si="0"/>
        <v>3</v>
      </c>
      <c r="I62" s="1345" t="s">
        <v>855</v>
      </c>
      <c r="J62" s="603" t="s">
        <v>856</v>
      </c>
      <c r="K62" s="603" t="s">
        <v>857</v>
      </c>
      <c r="L62" s="603" t="s">
        <v>858</v>
      </c>
      <c r="M62" s="1346" t="s">
        <v>859</v>
      </c>
      <c r="O62" s="1303" t="s">
        <v>409</v>
      </c>
      <c r="P62" s="1304" t="s">
        <v>835</v>
      </c>
      <c r="Q62" s="1305" t="e">
        <f ca="1">Q56+Q57</f>
        <v>#N/A</v>
      </c>
      <c r="R62" s="1305" t="s">
        <v>410</v>
      </c>
    </row>
    <row r="63" spans="1:18" s="1270" customFormat="1" ht="13.5" thickBot="1">
      <c r="A63" s="311"/>
      <c r="B63" s="882"/>
      <c r="C63" s="26"/>
      <c r="D63" s="892"/>
      <c r="E63" s="876" t="s">
        <v>733</v>
      </c>
      <c r="F63" s="289" t="e">
        <f t="shared" ca="1" si="0"/>
        <v>#N/A</v>
      </c>
      <c r="I63" s="1345" t="s">
        <v>861</v>
      </c>
      <c r="J63" s="603">
        <v>70</v>
      </c>
      <c r="K63" s="603">
        <v>50</v>
      </c>
      <c r="L63" s="603">
        <v>80</v>
      </c>
      <c r="M63" s="1347">
        <v>0.02</v>
      </c>
      <c r="O63" s="1288" t="s">
        <v>862</v>
      </c>
      <c r="P63" s="1267"/>
      <c r="Q63" s="1267"/>
      <c r="R63" s="1267"/>
    </row>
    <row r="64" spans="1:18" s="1270" customFormat="1" ht="13.5" thickBot="1">
      <c r="A64" s="908" t="s">
        <v>402</v>
      </c>
      <c r="B64" s="876" t="s">
        <v>735</v>
      </c>
      <c r="C64" s="21" t="e">
        <f ca="1">ROUND(C57*F64,2)</f>
        <v>#N/A</v>
      </c>
      <c r="D64" s="890" t="s">
        <v>768</v>
      </c>
      <c r="E64" s="876" t="s">
        <v>709</v>
      </c>
      <c r="F64" s="313" t="e">
        <f t="shared" ca="1" si="0"/>
        <v>#N/A</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t="e">
        <f ca="1">ROUND(C56*F65,2)</f>
        <v>#N/A</v>
      </c>
      <c r="D65" s="890" t="s">
        <v>740</v>
      </c>
      <c r="E65" s="876" t="s">
        <v>709</v>
      </c>
      <c r="F65" s="314" t="e">
        <f t="shared" ca="1" si="0"/>
        <v>#N/A</v>
      </c>
      <c r="I65" s="1345" t="s">
        <v>864</v>
      </c>
      <c r="J65" s="603">
        <v>40</v>
      </c>
      <c r="K65" s="603">
        <v>30</v>
      </c>
      <c r="L65" s="603">
        <v>50</v>
      </c>
      <c r="M65" s="1347">
        <v>0.02</v>
      </c>
      <c r="O65" s="1303" t="s">
        <v>403</v>
      </c>
      <c r="P65" s="1304" t="s">
        <v>814</v>
      </c>
      <c r="Q65" s="1305" t="e">
        <f ca="1">C40+J29</f>
        <v>#N/A</v>
      </c>
      <c r="R65" s="1305" t="s">
        <v>815</v>
      </c>
    </row>
    <row r="66" spans="1:18" s="1270" customFormat="1" ht="16.5" thickBot="1">
      <c r="A66" s="908" t="s">
        <v>790</v>
      </c>
      <c r="B66" s="876" t="s">
        <v>725</v>
      </c>
      <c r="C66" s="21" t="e">
        <f ca="1">ROUND(C48*F66,2)</f>
        <v>#N/A</v>
      </c>
      <c r="D66" s="890" t="s">
        <v>745</v>
      </c>
      <c r="E66" s="876" t="s">
        <v>709</v>
      </c>
      <c r="F66" s="298" t="e">
        <f t="shared" ca="1" si="0"/>
        <v>#N/A</v>
      </c>
      <c r="O66" s="1303" t="s">
        <v>404</v>
      </c>
      <c r="P66" s="1304" t="s">
        <v>843</v>
      </c>
      <c r="Q66" s="1305" t="e">
        <f ca="1">L60</f>
        <v>#N/A</v>
      </c>
      <c r="R66" s="1305" t="s">
        <v>866</v>
      </c>
    </row>
    <row r="67" spans="1:18" s="1270" customFormat="1" ht="16.5" thickBot="1">
      <c r="A67" s="883" t="s">
        <v>394</v>
      </c>
      <c r="B67" s="893" t="s">
        <v>749</v>
      </c>
      <c r="C67" s="302" t="e">
        <f ca="1">C48-C58</f>
        <v>#N/A</v>
      </c>
      <c r="D67" s="889" t="s">
        <v>750</v>
      </c>
      <c r="E67" s="894"/>
      <c r="F67" s="895"/>
      <c r="O67" s="1312" t="s">
        <v>405</v>
      </c>
      <c r="P67" s="1304" t="s">
        <v>847</v>
      </c>
      <c r="Q67" s="1348" t="e">
        <f ca="1">L51</f>
        <v>#N/A</v>
      </c>
      <c r="R67" s="1305" t="s">
        <v>867</v>
      </c>
    </row>
    <row r="68" spans="1:18" s="1270" customFormat="1" ht="16.5" thickBot="1">
      <c r="A68" s="873" t="s">
        <v>395</v>
      </c>
      <c r="B68" s="874" t="s">
        <v>771</v>
      </c>
      <c r="C68" s="287" t="e">
        <f ca="1">ROUND(C67*(1-((1+F70)/(1+F68))^F69)/(F68-F70),0)</f>
        <v>#N/A</v>
      </c>
      <c r="D68" s="891" t="s">
        <v>755</v>
      </c>
      <c r="E68" s="876" t="s">
        <v>756</v>
      </c>
      <c r="F68" s="298" t="e">
        <f ca="1">F40</f>
        <v>#N/A</v>
      </c>
      <c r="O68" s="1312" t="s">
        <v>406</v>
      </c>
      <c r="P68" s="1349" t="s">
        <v>868</v>
      </c>
      <c r="Q68" s="1305" t="e">
        <f ca="1">ROUND(Q69-Q70*Q71,0)</f>
        <v>#N/A</v>
      </c>
      <c r="R68" s="1305" t="s">
        <v>414</v>
      </c>
    </row>
    <row r="69" spans="1:18" s="1270" customFormat="1" ht="13.5" thickBot="1">
      <c r="A69" s="877"/>
      <c r="B69" s="878"/>
      <c r="C69" s="292"/>
      <c r="D69" s="896" t="s">
        <v>759</v>
      </c>
      <c r="E69" s="876" t="s">
        <v>760</v>
      </c>
      <c r="F69" s="317" t="e">
        <f ca="1">F41</f>
        <v>#N/A</v>
      </c>
      <c r="O69" s="1312" t="s">
        <v>411</v>
      </c>
      <c r="P69" s="1349" t="s">
        <v>869</v>
      </c>
      <c r="Q69" s="1305" t="e">
        <f ca="1">C39</f>
        <v>#N/A</v>
      </c>
      <c r="R69" s="1305" t="s">
        <v>815</v>
      </c>
    </row>
    <row r="70" spans="1:18" s="1270" customFormat="1" ht="13.5" thickBot="1">
      <c r="A70" s="880"/>
      <c r="B70" s="881"/>
      <c r="C70" s="296"/>
      <c r="D70" s="892"/>
      <c r="E70" s="876" t="s">
        <v>763</v>
      </c>
      <c r="F70" s="970"/>
      <c r="O70" s="1312" t="s">
        <v>412</v>
      </c>
      <c r="P70" s="1349" t="s">
        <v>870</v>
      </c>
      <c r="Q70" s="1305" t="e">
        <f ca="1">C13</f>
        <v>#N/A</v>
      </c>
      <c r="R70" s="1305" t="s">
        <v>815</v>
      </c>
    </row>
    <row r="71" spans="1:18" s="1270" customFormat="1" ht="13.5" thickBot="1">
      <c r="A71" s="897" t="s">
        <v>396</v>
      </c>
      <c r="B71" s="898" t="s">
        <v>773</v>
      </c>
      <c r="C71" s="320" t="e">
        <f ca="1">ROUND(C68*10000/F71,0)</f>
        <v>#N/A</v>
      </c>
      <c r="D71" s="899" t="s">
        <v>774</v>
      </c>
      <c r="E71" s="900" t="s">
        <v>775</v>
      </c>
      <c r="F71" s="323" t="e">
        <f ca="1">F43</f>
        <v>#N/A</v>
      </c>
      <c r="O71" s="1312" t="s">
        <v>413</v>
      </c>
      <c r="P71" s="1349" t="s">
        <v>871</v>
      </c>
      <c r="Q71" s="1315" t="e">
        <f ca="1">C76</f>
        <v>#N/A</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#N/A</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#N/A</v>
      </c>
      <c r="R74" s="1305" t="s">
        <v>854</v>
      </c>
    </row>
    <row r="75" spans="1:18" ht="13.5" thickBot="1">
      <c r="A75" s="1270"/>
      <c r="B75" s="324" t="s">
        <v>792</v>
      </c>
      <c r="C75" s="325" t="e">
        <f ca="1">ROUND(C13*C76,0)</f>
        <v>#N/A</v>
      </c>
      <c r="D75" s="1270"/>
      <c r="E75" s="1270"/>
      <c r="F75" s="1270"/>
      <c r="K75" s="1287"/>
      <c r="L75" s="1270"/>
      <c r="O75" s="1303" t="s">
        <v>409</v>
      </c>
      <c r="P75" s="1304" t="s">
        <v>835</v>
      </c>
      <c r="Q75" s="1305" t="e">
        <f ca="1">Q65+Q66</f>
        <v>#N/A</v>
      </c>
      <c r="R75" s="1305" t="s">
        <v>410</v>
      </c>
    </row>
    <row r="76" spans="1:18">
      <c r="B76" s="326" t="s">
        <v>793</v>
      </c>
      <c r="C76" s="327" t="e">
        <f ca="1">INDIRECT("'数据-取费表'!j"&amp;$G$1)</f>
        <v>#N/A</v>
      </c>
      <c r="I76" s="1270"/>
      <c r="J76" s="1270"/>
      <c r="K76" s="1287"/>
      <c r="L76" s="1270"/>
    </row>
    <row r="77" spans="1:18">
      <c r="B77" s="328" t="s">
        <v>794</v>
      </c>
      <c r="C77" s="329"/>
      <c r="I77" s="1270"/>
      <c r="J77" s="1270"/>
      <c r="K77" s="1287"/>
      <c r="L77" s="1270"/>
    </row>
    <row r="78" spans="1:18">
      <c r="B78" s="256" t="s">
        <v>795</v>
      </c>
      <c r="C78" s="330"/>
    </row>
    <row r="79" spans="1:18">
      <c r="B79" s="324" t="s">
        <v>796</v>
      </c>
      <c r="C79" s="260" t="e">
        <f ca="1">1-C80</f>
        <v>#N/A</v>
      </c>
    </row>
    <row r="80" spans="1:18">
      <c r="B80" s="324" t="s">
        <v>797</v>
      </c>
      <c r="C80" s="260" t="e">
        <f ca="1">ROUND(C75/C39,3)</f>
        <v>#N/A</v>
      </c>
    </row>
    <row r="81" spans="2:3">
      <c r="B81" s="256" t="s">
        <v>798</v>
      </c>
      <c r="C81" s="224"/>
    </row>
    <row r="82" spans="2:3">
      <c r="B82" s="259" t="s">
        <v>799</v>
      </c>
      <c r="C82" s="261" t="e">
        <f ca="1">1-C83</f>
        <v>#N/A</v>
      </c>
    </row>
    <row r="83" spans="2:3">
      <c r="B83" s="259" t="s">
        <v>800</v>
      </c>
      <c r="C83" s="260"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K19" xr:uid="{2FF1E522-0627-43C7-BDA7-C3CE8ED35D8F}">
      <formula1>"按租金收入计税,按房产原值计税"</formula1>
    </dataValidation>
    <dataValidation type="list" allowBlank="1" showInputMessage="1" showErrorMessage="1" sqref="D33 D61" xr:uid="{83A75E50-DD89-408A-B7C0-878135630EFB}">
      <formula1>"按租金收入计税,按房产原值计税,按票据"</formula1>
    </dataValidation>
    <dataValidation type="list" allowBlank="1" showInputMessage="1" showErrorMessage="1" sqref="C1" xr:uid="{6F4FE07B-BB6B-45F3-B412-7CF047A67423}">
      <formula1>项目类型</formula1>
    </dataValidation>
    <dataValidation type="list" allowBlank="1" showInputMessage="1" showErrorMessage="1" sqref="J47" xr:uid="{0D2C09CF-EACB-4830-8247-B9D44AB45321}">
      <formula1>"钢,钢混,砖混"</formula1>
    </dataValidation>
    <dataValidation type="list" allowBlank="1" showInputMessage="1" showErrorMessage="1" sqref="J48" xr:uid="{8103C072-F411-4EF1-BD43-8632E9B806D2}">
      <formula1>"非生产用房,生产用房,受腐蚀的生产用房"</formula1>
    </dataValidation>
    <dataValidation type="list" allowBlank="1" showInputMessage="1" showErrorMessage="1" sqref="J56" xr:uid="{AB3C9888-D4AB-4517-AF28-52D2692710E7}">
      <formula1>估价范围判定</formula1>
    </dataValidation>
    <dataValidation type="list" allowBlank="1" showInputMessage="1" showErrorMessage="1" sqref="L55" xr:uid="{FE9B8ED1-284F-4F57-B7CE-66BDBE623D5B}">
      <formula1>"比较法,基准地价,收益还原"</formula1>
    </dataValidation>
    <dataValidation type="list" allowBlank="1" showInputMessage="1" showErrorMessage="1" sqref="M10 F10 F53" xr:uid="{924BD610-A51D-4FD6-A3EA-FBAD522791C6}">
      <formula1>"押一,押二,押三,自定义"</formula1>
    </dataValidation>
    <dataValidation type="list" allowBlank="1" showInputMessage="1" showErrorMessage="1" sqref="D1" xr:uid="{54BF6081-1747-4EEB-863E-04ED47DFD3F3}">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15" sqref="L15"/>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1655</v>
      </c>
      <c r="B1" s="1703"/>
      <c r="C1" s="1703"/>
      <c r="D1" s="1703"/>
      <c r="E1" s="1704"/>
      <c r="F1" s="2454"/>
      <c r="G1" s="452"/>
      <c r="H1" s="452"/>
      <c r="I1" s="452"/>
      <c r="J1" s="452"/>
      <c r="K1" s="452"/>
      <c r="L1" s="452"/>
      <c r="M1" s="452"/>
      <c r="N1" s="452"/>
      <c r="O1" s="452"/>
      <c r="P1" s="452"/>
      <c r="Q1" s="452"/>
      <c r="R1" s="452"/>
      <c r="S1" s="452"/>
    </row>
    <row r="2" spans="1:22" ht="15.75">
      <c r="A2" s="1705" t="s">
        <v>1459</v>
      </c>
      <c r="B2" s="791">
        <f ca="1">SUMIF(B6:B13,"&lt;&gt;#ref!",B6:B13)</f>
        <v>113401</v>
      </c>
      <c r="C2" s="1706" t="s">
        <v>1648</v>
      </c>
      <c r="D2" s="1707" t="s">
        <v>1649</v>
      </c>
      <c r="E2" s="2370">
        <f>SUM(E6:E13)</f>
        <v>45214.01</v>
      </c>
      <c r="F2" s="2454"/>
      <c r="G2" s="452"/>
      <c r="H2" s="452"/>
      <c r="I2" s="452"/>
      <c r="J2" s="452"/>
      <c r="K2" s="452"/>
      <c r="L2" s="452"/>
      <c r="M2" s="452"/>
      <c r="N2" s="452"/>
      <c r="O2" s="452"/>
      <c r="P2" s="452"/>
      <c r="Q2" s="452"/>
      <c r="R2" s="452"/>
      <c r="S2" s="452"/>
    </row>
    <row r="3" spans="1:22" ht="15.75">
      <c r="A3" s="1705" t="s">
        <v>683</v>
      </c>
      <c r="B3" s="2364">
        <f ca="1">ROUND(B2*10000/E2,0)</f>
        <v>25081</v>
      </c>
      <c r="C3" s="1706" t="s">
        <v>1656</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1650</v>
      </c>
      <c r="B5" s="3488" t="s">
        <v>1651</v>
      </c>
      <c r="C5" s="3489"/>
      <c r="D5" s="2455"/>
      <c r="E5" s="1708" t="s">
        <v>1652</v>
      </c>
      <c r="F5" s="123" t="s">
        <v>1653</v>
      </c>
      <c r="G5" s="452"/>
      <c r="H5" s="452"/>
      <c r="I5" s="452"/>
      <c r="J5" s="452"/>
      <c r="K5" s="452"/>
      <c r="L5" s="452"/>
      <c r="M5" s="452"/>
      <c r="N5" s="452"/>
      <c r="O5" s="452"/>
      <c r="P5" s="452"/>
      <c r="Q5" s="452"/>
      <c r="R5" s="452"/>
      <c r="S5" s="452"/>
    </row>
    <row r="6" spans="1:22">
      <c r="A6" s="2367" t="str">
        <f>'数据-取费表'!AN6</f>
        <v>收益法-商业</v>
      </c>
      <c r="B6" s="2365">
        <f ca="1">IF(F6="是",'数据-取费表'!AO6,0)</f>
        <v>20678</v>
      </c>
      <c r="C6" s="1706" t="s">
        <v>1648</v>
      </c>
      <c r="D6" s="2454"/>
      <c r="E6" s="2369">
        <f>IF(OR(A6=0,F6="否"),0,'数据-取费表'!K6+'数据-取费表'!S6)</f>
        <v>7681.7400000000007</v>
      </c>
      <c r="F6" s="1709" t="s">
        <v>1654</v>
      </c>
      <c r="G6" s="452"/>
      <c r="H6" s="452"/>
      <c r="I6" s="452"/>
      <c r="J6" s="452"/>
      <c r="K6" s="452"/>
      <c r="L6" s="452"/>
      <c r="M6" s="452"/>
      <c r="N6" s="452"/>
      <c r="O6" s="452"/>
      <c r="P6" s="452"/>
      <c r="Q6" s="452"/>
      <c r="R6" s="452"/>
      <c r="S6" s="452"/>
    </row>
    <row r="7" spans="1:22">
      <c r="A7" s="2367" t="str">
        <f>'数据-取费表'!AN7</f>
        <v>收益法-办公</v>
      </c>
      <c r="B7" s="2365">
        <f ca="1">IF(F7="是",'数据-取费表'!AO7,0)</f>
        <v>92723</v>
      </c>
      <c r="C7" s="1706" t="s">
        <v>1648</v>
      </c>
      <c r="D7" s="2454"/>
      <c r="E7" s="2369">
        <f>IF(OR(A7=0,F7="否"),0,'数据-取费表'!K7+'数据-取费表'!S7)</f>
        <v>37532.270000000004</v>
      </c>
      <c r="F7" s="1709" t="s">
        <v>1654</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1648</v>
      </c>
      <c r="D8" s="2454"/>
      <c r="E8" s="2369">
        <f>IF(OR(A8=0,F8="否"),0,'数据-取费表'!K8+'数据-取费表'!S8)</f>
        <v>0</v>
      </c>
      <c r="F8" s="1709" t="s">
        <v>1654</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1648</v>
      </c>
      <c r="D9" s="2454"/>
      <c r="E9" s="2369">
        <f>IF(OR(A9=0,F9="否"),0,'数据-取费表'!K9+'数据-取费表'!S9)</f>
        <v>0</v>
      </c>
      <c r="F9" s="1709" t="s">
        <v>1654</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1648</v>
      </c>
      <c r="D10" s="2454"/>
      <c r="E10" s="2369">
        <f>IF(OR(A10=0,F10="否"),0,'数据-取费表'!K10+'数据-取费表'!S10)</f>
        <v>0</v>
      </c>
      <c r="F10" s="1709" t="s">
        <v>1654</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1648</v>
      </c>
      <c r="D11" s="2454"/>
      <c r="E11" s="2369">
        <f>IF(OR(A11=0,F11="否"),0,'数据-取费表'!K11+'数据-取费表'!S11)</f>
        <v>0</v>
      </c>
      <c r="F11" s="1709" t="s">
        <v>1654</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1648</v>
      </c>
      <c r="D12" s="2454"/>
      <c r="E12" s="2369">
        <f>IF(OR(A12=0,F12="否"),0,'数据-取费表'!K12+'数据-取费表'!S12)</f>
        <v>0</v>
      </c>
      <c r="F12" s="1709" t="s">
        <v>1654</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1648</v>
      </c>
      <c r="D13" s="2456"/>
      <c r="E13" s="2369">
        <f>IF(OR(A13=0,F13="否"),0,'数据-取费表'!K13+'数据-取费表'!S13)</f>
        <v>0</v>
      </c>
      <c r="F13" s="1709" t="s">
        <v>1654</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905</v>
      </c>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369"/>
      <c r="B4" s="3271" t="s">
        <v>914</v>
      </c>
      <c r="C4" s="3271"/>
      <c r="D4" s="3271"/>
      <c r="E4" s="1369"/>
    </row>
    <row r="5" spans="1:5" ht="16.5" thickTop="1">
      <c r="B5" s="3269" t="s">
        <v>906</v>
      </c>
      <c r="C5" s="1370" t="s">
        <v>907</v>
      </c>
      <c r="D5" s="779">
        <f ca="1">结果表!H101</f>
        <v>109723</v>
      </c>
    </row>
    <row r="6" spans="1:5" ht="15.75">
      <c r="B6" s="3269"/>
      <c r="C6" s="1370" t="s">
        <v>908</v>
      </c>
      <c r="D6" s="779" t="str">
        <f ca="1">NUMBERSTRING(INT(D5*10000),2)&amp;"元整"</f>
        <v>壹拾亿玖仟柒佰贰拾叁万元整</v>
      </c>
    </row>
    <row r="7" spans="1:5" ht="15.75">
      <c r="B7" s="3274"/>
      <c r="C7" s="1371" t="s">
        <v>909</v>
      </c>
      <c r="D7" s="780">
        <f ca="1">结果表!H102</f>
        <v>24267</v>
      </c>
    </row>
    <row r="8" spans="1:5" ht="15.75">
      <c r="B8" s="3275" t="str">
        <f>结果表!E103</f>
        <v>2.估价师知悉的法定优先受偿款</v>
      </c>
      <c r="C8" s="1372" t="s">
        <v>910</v>
      </c>
      <c r="D8" s="780">
        <f>结果表!H103</f>
        <v>0</v>
      </c>
    </row>
    <row r="9" spans="1:5" ht="15.75">
      <c r="B9" s="3277"/>
      <c r="C9" s="1370" t="s">
        <v>908</v>
      </c>
      <c r="D9" s="779" t="str">
        <f>NUMBERSTRING(INT(D8*10000),2)&amp;"元整"</f>
        <v>零元整</v>
      </c>
    </row>
    <row r="10" spans="1:5" ht="15">
      <c r="B10" s="1373" t="s">
        <v>913</v>
      </c>
      <c r="C10" s="1374" t="s">
        <v>911</v>
      </c>
      <c r="D10" s="781">
        <f>结果表!H104</f>
        <v>0</v>
      </c>
    </row>
    <row r="11" spans="1:5" ht="15">
      <c r="B11" s="1373" t="s">
        <v>915</v>
      </c>
      <c r="C11" s="1374" t="s">
        <v>916</v>
      </c>
      <c r="D11" s="781">
        <f>结果表!H105</f>
        <v>0</v>
      </c>
    </row>
    <row r="12" spans="1:5" ht="15">
      <c r="B12" s="1373" t="s">
        <v>917</v>
      </c>
      <c r="C12" s="1374" t="s">
        <v>916</v>
      </c>
      <c r="D12" s="781">
        <f>结果表!H106</f>
        <v>0</v>
      </c>
    </row>
    <row r="13" spans="1:5" ht="15.75">
      <c r="B13" s="3268" t="str">
        <f>结果表!E107</f>
        <v>3.房地产抵押价值</v>
      </c>
      <c r="C13" s="1375" t="s">
        <v>907</v>
      </c>
      <c r="D13" s="782">
        <f ca="1">结果表!H107</f>
        <v>109723</v>
      </c>
    </row>
    <row r="14" spans="1:5" ht="15.75">
      <c r="B14" s="3269"/>
      <c r="C14" s="1370" t="s">
        <v>908</v>
      </c>
      <c r="D14" s="779" t="str">
        <f ca="1">NUMBERSTRING(INT(D13*10000),2)&amp;"元整"</f>
        <v>壹拾亿玖仟柒佰贰拾叁万元整</v>
      </c>
    </row>
    <row r="15" spans="1:5" ht="15">
      <c r="B15" s="3274"/>
      <c r="C15" s="1371" t="s">
        <v>918</v>
      </c>
      <c r="D15" s="786">
        <f ca="1">结果表!H108</f>
        <v>24267</v>
      </c>
    </row>
    <row r="16" spans="1:5" ht="15">
      <c r="B16" s="3275" t="str">
        <f>结果表!E109</f>
        <v>——</v>
      </c>
      <c r="C16" s="1375" t="s">
        <v>919</v>
      </c>
      <c r="D16" s="1376" t="str">
        <f>结果表!H109</f>
        <v>——</v>
      </c>
    </row>
    <row r="17" spans="1:5" ht="15.75">
      <c r="B17" s="3276"/>
      <c r="C17" s="1370" t="s">
        <v>920</v>
      </c>
      <c r="D17" s="779" t="e">
        <f>NUMBERSTRING(INT(D16*10000),2)&amp;"元整"</f>
        <v>#VALUE!</v>
      </c>
    </row>
    <row r="18" spans="1:5" ht="15">
      <c r="B18" s="3277"/>
      <c r="C18" s="1371" t="s">
        <v>909</v>
      </c>
      <c r="D18" s="786" t="str">
        <f>结果表!H110</f>
        <v>——</v>
      </c>
    </row>
    <row r="19" spans="1:5" ht="15.75">
      <c r="B19" s="3268" t="str">
        <f>结果表!E111</f>
        <v>——</v>
      </c>
      <c r="C19" s="1375" t="s">
        <v>907</v>
      </c>
      <c r="D19" s="780" t="str">
        <f>结果表!H111</f>
        <v>——</v>
      </c>
    </row>
    <row r="20" spans="1:5" ht="15.75">
      <c r="B20" s="3269"/>
      <c r="C20" s="1370" t="s">
        <v>920</v>
      </c>
      <c r="D20" s="779" t="e">
        <f>NUMBERSTRING(INT(D19*10000),2)&amp;"元整"</f>
        <v>#VALUE!</v>
      </c>
    </row>
    <row r="21" spans="1:5" ht="15.75" thickBot="1">
      <c r="B21" s="3270"/>
      <c r="C21" s="1377" t="s">
        <v>918</v>
      </c>
      <c r="D21" s="787" t="str">
        <f>结果表!H112</f>
        <v>——</v>
      </c>
    </row>
    <row r="22" spans="1:5" ht="15" thickTop="1">
      <c r="B22" s="1378" t="s">
        <v>921</v>
      </c>
    </row>
    <row r="24" spans="1:5" ht="18.75">
      <c r="A24" s="1379"/>
      <c r="B24" s="1380" t="s">
        <v>912</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DB06-7E3C-4F92-B10B-EF6C89B996EC}">
  <dimension ref="A1:W4"/>
  <sheetViews>
    <sheetView tabSelected="1" workbookViewId="0">
      <selection activeCell="O11" sqref="O11"/>
    </sheetView>
  </sheetViews>
  <sheetFormatPr defaultRowHeight="13.5"/>
  <cols>
    <col min="1" max="1" width="4.75" bestFit="1" customWidth="1"/>
    <col min="2" max="2" width="36.75" bestFit="1" customWidth="1"/>
    <col min="3" max="3" width="11.25" bestFit="1" customWidth="1"/>
    <col min="4" max="4" width="20.5" bestFit="1" customWidth="1"/>
    <col min="5" max="5" width="8.875" bestFit="1" customWidth="1"/>
    <col min="6" max="6" width="8" bestFit="1" customWidth="1"/>
    <col min="7" max="7" width="11.625" bestFit="1" customWidth="1"/>
    <col min="8" max="8" width="10.25" bestFit="1" customWidth="1"/>
    <col min="9" max="10" width="9.375" bestFit="1" customWidth="1"/>
    <col min="11" max="11" width="9.125" bestFit="1" customWidth="1"/>
    <col min="12" max="12" width="8" bestFit="1" customWidth="1"/>
    <col min="13" max="14" width="8.875" bestFit="1" customWidth="1"/>
    <col min="15" max="15" width="16.125" bestFit="1" customWidth="1"/>
    <col min="16" max="16" width="8" bestFit="1" customWidth="1"/>
    <col min="17" max="17" width="42.5" customWidth="1"/>
    <col min="18" max="18" width="29.875" bestFit="1" customWidth="1"/>
    <col min="19" max="19" width="8" bestFit="1" customWidth="1"/>
    <col min="20" max="20" width="8.125" bestFit="1" customWidth="1"/>
    <col min="21" max="21" width="8" bestFit="1" customWidth="1"/>
    <col min="22" max="22" width="9.625" bestFit="1" customWidth="1"/>
    <col min="23" max="23" width="8" bestFit="1" customWidth="1"/>
  </cols>
  <sheetData>
    <row r="1" spans="1:23" ht="60">
      <c r="A1" s="3170" t="s">
        <v>3473</v>
      </c>
      <c r="B1" s="3170" t="s">
        <v>3474</v>
      </c>
      <c r="C1" s="3170" t="s">
        <v>3475</v>
      </c>
      <c r="D1" s="3170" t="s">
        <v>3476</v>
      </c>
      <c r="E1" s="3170" t="s">
        <v>3477</v>
      </c>
      <c r="F1" s="3170" t="s">
        <v>3478</v>
      </c>
      <c r="G1" s="3171" t="s">
        <v>3479</v>
      </c>
      <c r="H1" s="3170" t="s">
        <v>3480</v>
      </c>
      <c r="I1" s="3170" t="s">
        <v>3481</v>
      </c>
      <c r="J1" s="3170" t="s">
        <v>3482</v>
      </c>
      <c r="K1" s="3172" t="s">
        <v>3483</v>
      </c>
      <c r="L1" s="3172" t="s">
        <v>3484</v>
      </c>
      <c r="M1" s="3173" t="s">
        <v>3485</v>
      </c>
      <c r="N1" s="3173" t="s">
        <v>3486</v>
      </c>
      <c r="O1" s="3170" t="s">
        <v>3487</v>
      </c>
      <c r="P1" s="3170" t="s">
        <v>3488</v>
      </c>
      <c r="Q1" s="3174" t="s">
        <v>3489</v>
      </c>
      <c r="R1" s="3170" t="s">
        <v>3490</v>
      </c>
      <c r="S1" s="3170" t="s">
        <v>3491</v>
      </c>
      <c r="T1" s="3170" t="s">
        <v>3492</v>
      </c>
      <c r="U1" s="3170" t="s">
        <v>3493</v>
      </c>
      <c r="V1" s="3170" t="s">
        <v>3494</v>
      </c>
      <c r="W1" s="3170" t="s">
        <v>3495</v>
      </c>
    </row>
    <row r="2" spans="1:23" ht="24">
      <c r="A2" s="3190" t="s">
        <v>670</v>
      </c>
      <c r="B2" s="3168" t="s">
        <v>3554</v>
      </c>
      <c r="C2" s="3168" t="s">
        <v>3555</v>
      </c>
      <c r="D2" s="3168" t="s">
        <v>3556</v>
      </c>
      <c r="E2" s="3190" t="s">
        <v>3499</v>
      </c>
      <c r="F2" s="3190" t="s">
        <v>3500</v>
      </c>
      <c r="G2" s="3169">
        <v>443.87</v>
      </c>
      <c r="H2" s="3164">
        <v>44743</v>
      </c>
      <c r="I2" s="3164">
        <v>44743</v>
      </c>
      <c r="J2" s="3164">
        <v>46568</v>
      </c>
      <c r="K2" s="3177">
        <v>0</v>
      </c>
      <c r="L2" s="3178" t="s">
        <v>3500</v>
      </c>
      <c r="M2" s="3179">
        <v>255.5</v>
      </c>
      <c r="N2" s="3179">
        <v>8.5166666666666675</v>
      </c>
      <c r="O2" s="3180">
        <v>1360905</v>
      </c>
      <c r="P2" s="3176" t="s">
        <v>3796</v>
      </c>
      <c r="Q2" s="3181" t="s">
        <v>3557</v>
      </c>
      <c r="R2" s="3176" t="s">
        <v>3499</v>
      </c>
      <c r="S2" s="3182" t="s">
        <v>3501</v>
      </c>
      <c r="T2" s="3176">
        <v>25</v>
      </c>
      <c r="U2" s="3176" t="s">
        <v>3502</v>
      </c>
      <c r="V2" s="3176"/>
      <c r="W2" s="3176"/>
    </row>
    <row r="3" spans="1:23" ht="36">
      <c r="A3" s="3190" t="s">
        <v>670</v>
      </c>
      <c r="B3" s="3168" t="s">
        <v>3721</v>
      </c>
      <c r="C3" s="3168" t="s">
        <v>3722</v>
      </c>
      <c r="D3" s="3168" t="s">
        <v>3723</v>
      </c>
      <c r="E3" s="3190" t="s">
        <v>3499</v>
      </c>
      <c r="F3" s="3190" t="s">
        <v>3500</v>
      </c>
      <c r="G3" s="3169">
        <v>525.12</v>
      </c>
      <c r="H3" s="3164">
        <v>45698</v>
      </c>
      <c r="I3" s="3164">
        <v>45788</v>
      </c>
      <c r="J3" s="3164">
        <v>47613</v>
      </c>
      <c r="K3" s="3177" t="s">
        <v>3500</v>
      </c>
      <c r="L3" s="3178" t="s">
        <v>3500</v>
      </c>
      <c r="M3" s="3179">
        <v>132</v>
      </c>
      <c r="N3" s="3179">
        <v>4.4000000000000004</v>
      </c>
      <c r="O3" s="3180">
        <v>393535.09</v>
      </c>
      <c r="P3" s="3176" t="s">
        <v>3739</v>
      </c>
      <c r="Q3" s="3181" t="s">
        <v>3724</v>
      </c>
      <c r="R3" s="3176"/>
      <c r="S3" s="3182" t="s">
        <v>3501</v>
      </c>
      <c r="T3" s="3176">
        <v>25</v>
      </c>
      <c r="U3" s="3176" t="s">
        <v>3502</v>
      </c>
      <c r="V3" s="3176"/>
      <c r="W3" s="3176"/>
    </row>
    <row r="4" spans="1:23">
      <c r="G4" s="3248">
        <f>SUM(G2:G3)</f>
        <v>968.99</v>
      </c>
      <c r="N4">
        <f>O4/G4/365</f>
        <v>4.9605106121654421</v>
      </c>
      <c r="O4" s="3247">
        <f>SUM(O2:O3)</f>
        <v>1754440.09</v>
      </c>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ED07A-F689-4692-BAA1-8565F2EC2942}">
  <dimension ref="A1:W5"/>
  <sheetViews>
    <sheetView workbookViewId="0">
      <selection activeCell="E5" sqref="E5"/>
    </sheetView>
  </sheetViews>
  <sheetFormatPr defaultRowHeight="13.5"/>
  <cols>
    <col min="1" max="1" width="4.75" bestFit="1" customWidth="1"/>
    <col min="2" max="2" width="39" bestFit="1" customWidth="1"/>
    <col min="3" max="3" width="4.75" bestFit="1" customWidth="1"/>
    <col min="4" max="4" width="8" bestFit="1" customWidth="1"/>
    <col min="5" max="5" width="108.25" bestFit="1" customWidth="1"/>
    <col min="6" max="6" width="8.875" bestFit="1" customWidth="1"/>
    <col min="7" max="7" width="8" bestFit="1" customWidth="1"/>
    <col min="8" max="8" width="10.25" bestFit="1" customWidth="1"/>
    <col min="9" max="10" width="8.5" bestFit="1" customWidth="1"/>
    <col min="11" max="11" width="9.375" bestFit="1" customWidth="1"/>
    <col min="12" max="13" width="9.125" bestFit="1" customWidth="1"/>
    <col min="14" max="15" width="8.875" bestFit="1" customWidth="1"/>
    <col min="16" max="16" width="17.25" bestFit="1" customWidth="1"/>
    <col min="17" max="18" width="8" bestFit="1" customWidth="1"/>
    <col min="19" max="19" width="9.875" bestFit="1" customWidth="1"/>
    <col min="20" max="20" width="8" bestFit="1" customWidth="1"/>
    <col min="21" max="21" width="8.125" bestFit="1" customWidth="1"/>
    <col min="22" max="22" width="9.625" bestFit="1" customWidth="1"/>
    <col min="23" max="23" width="8" bestFit="1" customWidth="1"/>
  </cols>
  <sheetData>
    <row r="1" spans="1:23" ht="60">
      <c r="A1" s="3170" t="s">
        <v>3473</v>
      </c>
      <c r="B1" s="3170" t="s">
        <v>3474</v>
      </c>
      <c r="C1" s="3170" t="s">
        <v>3475</v>
      </c>
      <c r="D1" s="3200" t="s">
        <v>3493</v>
      </c>
      <c r="E1" s="3170" t="s">
        <v>3476</v>
      </c>
      <c r="F1" s="3170" t="s">
        <v>3477</v>
      </c>
      <c r="G1" s="3170" t="s">
        <v>3478</v>
      </c>
      <c r="H1" s="3171" t="s">
        <v>3479</v>
      </c>
      <c r="I1" s="3170" t="s">
        <v>3480</v>
      </c>
      <c r="J1" s="3170" t="s">
        <v>3481</v>
      </c>
      <c r="K1" s="3170" t="s">
        <v>3482</v>
      </c>
      <c r="L1" s="3172" t="s">
        <v>3483</v>
      </c>
      <c r="M1" s="3172" t="s">
        <v>3484</v>
      </c>
      <c r="N1" s="3173" t="s">
        <v>3485</v>
      </c>
      <c r="O1" s="3173" t="s">
        <v>3486</v>
      </c>
      <c r="P1" s="3170" t="s">
        <v>3766</v>
      </c>
      <c r="Q1" s="3170" t="s">
        <v>3488</v>
      </c>
      <c r="R1" s="3170" t="s">
        <v>3489</v>
      </c>
      <c r="S1" s="3170" t="s">
        <v>3490</v>
      </c>
      <c r="T1" s="3170" t="s">
        <v>3491</v>
      </c>
      <c r="U1" s="3170" t="s">
        <v>3492</v>
      </c>
      <c r="V1" s="3170" t="s">
        <v>3494</v>
      </c>
      <c r="W1" s="3170" t="s">
        <v>3495</v>
      </c>
    </row>
    <row r="2" spans="1:23" ht="36">
      <c r="A2" s="3202" t="s">
        <v>3767</v>
      </c>
      <c r="B2" s="3168" t="s">
        <v>3827</v>
      </c>
      <c r="C2" s="3168" t="s">
        <v>3781</v>
      </c>
      <c r="D2" s="3212" t="s">
        <v>3502</v>
      </c>
      <c r="E2" s="3168" t="s">
        <v>3828</v>
      </c>
      <c r="F2" s="3204" t="s">
        <v>3499</v>
      </c>
      <c r="G2" s="3204" t="s">
        <v>3500</v>
      </c>
      <c r="H2" s="3169">
        <v>8509.7579999999998</v>
      </c>
      <c r="I2" s="3164">
        <v>44986</v>
      </c>
      <c r="J2" s="3164">
        <v>45078</v>
      </c>
      <c r="K2" s="3164">
        <v>46173</v>
      </c>
      <c r="L2" s="3177">
        <v>45078</v>
      </c>
      <c r="M2" s="3205">
        <v>45108</v>
      </c>
      <c r="N2" s="3206">
        <v>121.67</v>
      </c>
      <c r="O2" s="3206">
        <v>4.0556666666666663</v>
      </c>
      <c r="P2" s="3207">
        <v>12424587.070320001</v>
      </c>
      <c r="Q2" s="3202" t="s">
        <v>3739</v>
      </c>
      <c r="R2" s="3202">
        <v>0</v>
      </c>
      <c r="S2" s="3209" t="s">
        <v>3829</v>
      </c>
      <c r="T2" s="3208" t="s">
        <v>3501</v>
      </c>
      <c r="U2" s="3213">
        <v>25</v>
      </c>
      <c r="V2" s="3202"/>
      <c r="W2" s="3202"/>
    </row>
    <row r="3" spans="1:23" ht="36">
      <c r="A3" s="3202" t="s">
        <v>3767</v>
      </c>
      <c r="B3" s="3168" t="s">
        <v>3830</v>
      </c>
      <c r="C3" s="3168" t="s">
        <v>3781</v>
      </c>
      <c r="D3" s="3212" t="s">
        <v>3502</v>
      </c>
      <c r="E3" s="3168" t="s">
        <v>3831</v>
      </c>
      <c r="F3" s="3204" t="s">
        <v>3499</v>
      </c>
      <c r="G3" s="3204" t="s">
        <v>3500</v>
      </c>
      <c r="H3" s="3169">
        <v>1050.971</v>
      </c>
      <c r="I3" s="3164">
        <v>44986</v>
      </c>
      <c r="J3" s="3164">
        <v>45078</v>
      </c>
      <c r="K3" s="3164">
        <v>46173</v>
      </c>
      <c r="L3" s="3177">
        <v>45078</v>
      </c>
      <c r="M3" s="3205">
        <v>45108</v>
      </c>
      <c r="N3" s="3206">
        <v>121.67</v>
      </c>
      <c r="O3" s="3206">
        <v>4.0556666666666663</v>
      </c>
      <c r="P3" s="3207">
        <v>1534459.69884</v>
      </c>
      <c r="Q3" s="3202" t="s">
        <v>3739</v>
      </c>
      <c r="R3" s="3202">
        <v>0</v>
      </c>
      <c r="S3" s="3209" t="s">
        <v>3832</v>
      </c>
      <c r="T3" s="3208" t="s">
        <v>3501</v>
      </c>
      <c r="U3" s="3213">
        <v>25</v>
      </c>
      <c r="V3" s="3202"/>
      <c r="W3" s="3202"/>
    </row>
    <row r="4" spans="1:23">
      <c r="A4" s="3202" t="s">
        <v>3767</v>
      </c>
      <c r="B4" s="3168" t="s">
        <v>3833</v>
      </c>
      <c r="C4" s="3168" t="s">
        <v>3781</v>
      </c>
      <c r="D4" s="3212" t="s">
        <v>3502</v>
      </c>
      <c r="E4" s="3168" t="s">
        <v>3834</v>
      </c>
      <c r="F4" s="3204" t="s">
        <v>3499</v>
      </c>
      <c r="G4" s="3204" t="s">
        <v>3500</v>
      </c>
      <c r="H4" s="3169">
        <v>112.351</v>
      </c>
      <c r="I4" s="3164">
        <v>44986</v>
      </c>
      <c r="J4" s="3164">
        <v>45078</v>
      </c>
      <c r="K4" s="3164">
        <v>46173</v>
      </c>
      <c r="L4" s="3177" t="s">
        <v>3500</v>
      </c>
      <c r="M4" s="3205" t="s">
        <v>3500</v>
      </c>
      <c r="N4" s="3206">
        <v>121.67</v>
      </c>
      <c r="O4" s="3206">
        <v>4.0556666666666663</v>
      </c>
      <c r="P4" s="3207">
        <v>164036.95404000001</v>
      </c>
      <c r="Q4" s="3202" t="s">
        <v>3739</v>
      </c>
      <c r="R4" s="3202">
        <v>0</v>
      </c>
      <c r="S4" s="3209"/>
      <c r="T4" s="3208" t="s">
        <v>3501</v>
      </c>
      <c r="U4" s="3213">
        <v>25</v>
      </c>
      <c r="V4" s="3202"/>
      <c r="W4" s="3202"/>
    </row>
    <row r="5" spans="1:23" s="3201" customFormat="1" ht="12">
      <c r="A5" s="3202" t="s">
        <v>3767</v>
      </c>
      <c r="B5" s="3168" t="s">
        <v>3835</v>
      </c>
      <c r="C5" s="3168" t="s">
        <v>3781</v>
      </c>
      <c r="D5" s="3212" t="s">
        <v>3502</v>
      </c>
      <c r="E5" s="3168" t="s">
        <v>3836</v>
      </c>
      <c r="F5" s="3204" t="s">
        <v>3499</v>
      </c>
      <c r="G5" s="3204" t="s">
        <v>3500</v>
      </c>
      <c r="H5" s="3169">
        <v>6520</v>
      </c>
      <c r="I5" s="3164">
        <v>45097</v>
      </c>
      <c r="J5" s="3164">
        <v>45311</v>
      </c>
      <c r="K5" s="3164">
        <v>47907</v>
      </c>
      <c r="L5" s="3177" t="s">
        <v>3518</v>
      </c>
      <c r="M5" s="3205"/>
      <c r="N5" s="3206">
        <v>130.79</v>
      </c>
      <c r="O5" s="3206">
        <f t="shared" ref="O5" si="0">N5/30</f>
        <v>4.3596666666666666</v>
      </c>
      <c r="P5" s="3207">
        <v>10173547.199999999</v>
      </c>
      <c r="Q5" s="3202" t="s">
        <v>3739</v>
      </c>
      <c r="R5" s="3202" t="s">
        <v>3837</v>
      </c>
      <c r="S5" s="3209" t="s">
        <v>3499</v>
      </c>
      <c r="T5" s="3208" t="s">
        <v>3501</v>
      </c>
      <c r="U5" s="3213">
        <v>25</v>
      </c>
      <c r="V5" s="3202"/>
      <c r="W5" s="3202"/>
    </row>
  </sheetData>
  <phoneticPr fontId="135" type="noConversion"/>
  <conditionalFormatting sqref="B1:B4">
    <cfRule type="duplicateValues" dxfId="129" priority="2"/>
  </conditionalFormatting>
  <conditionalFormatting sqref="B5">
    <cfRule type="duplicateValues" dxfId="128" priority="1"/>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288C-C6D8-4314-BEE3-BBF969EA6047}">
  <dimension ref="A1:W88"/>
  <sheetViews>
    <sheetView zoomScale="90" zoomScaleNormal="90" workbookViewId="0">
      <pane xSplit="2" ySplit="1" topLeftCell="C41" activePane="bottomRight" state="frozenSplit"/>
      <selection pane="topRight"/>
      <selection pane="bottomLeft"/>
      <selection pane="bottomRight" activeCell="I70" sqref="I70"/>
    </sheetView>
  </sheetViews>
  <sheetFormatPr defaultColWidth="39.375" defaultRowHeight="12"/>
  <cols>
    <col min="1" max="1" width="6.125" style="1172" customWidth="1"/>
    <col min="2" max="2" width="29.125" style="1172" customWidth="1"/>
    <col min="3" max="3" width="15.125" style="1172" customWidth="1"/>
    <col min="4" max="4" width="39.375" style="1172"/>
    <col min="5" max="5" width="9.25" style="1172" customWidth="1"/>
    <col min="6" max="6" width="18.875" style="1172" customWidth="1"/>
    <col min="7" max="7" width="13.625" style="3198" customWidth="1"/>
    <col min="8" max="8" width="39.375" style="1172"/>
    <col min="9" max="9" width="13.125" style="1172" customWidth="1"/>
    <col min="10" max="10" width="12.5" style="1172" customWidth="1"/>
    <col min="11" max="11" width="12.125" style="3193" customWidth="1"/>
    <col min="12" max="12" width="39.375" style="3193"/>
    <col min="13" max="14" width="15" style="3194" customWidth="1"/>
    <col min="15" max="15" width="18.25" style="1172" customWidth="1"/>
    <col min="16" max="16" width="13.875" style="1172" customWidth="1"/>
    <col min="17" max="17" width="13.5" style="3196" customWidth="1"/>
    <col min="18" max="18" width="20.875" style="1172" customWidth="1"/>
    <col min="19" max="19" width="6.25" style="1172" customWidth="1"/>
    <col min="20" max="32" width="9.75" style="1172" customWidth="1"/>
    <col min="33" max="16384" width="39.375" style="1172"/>
  </cols>
  <sheetData>
    <row r="1" spans="1:23" s="3175" customFormat="1" ht="60">
      <c r="A1" s="3170" t="s">
        <v>3473</v>
      </c>
      <c r="B1" s="3170" t="s">
        <v>3474</v>
      </c>
      <c r="C1" s="3170" t="s">
        <v>3475</v>
      </c>
      <c r="D1" s="3170" t="s">
        <v>3476</v>
      </c>
      <c r="E1" s="3170" t="s">
        <v>3477</v>
      </c>
      <c r="F1" s="3170" t="s">
        <v>3478</v>
      </c>
      <c r="G1" s="3171" t="s">
        <v>3479</v>
      </c>
      <c r="H1" s="3170" t="s">
        <v>3480</v>
      </c>
      <c r="I1" s="3170" t="s">
        <v>3481</v>
      </c>
      <c r="J1" s="3170" t="s">
        <v>3482</v>
      </c>
      <c r="K1" s="3172" t="s">
        <v>3483</v>
      </c>
      <c r="L1" s="3172" t="s">
        <v>3484</v>
      </c>
      <c r="M1" s="3173" t="s">
        <v>3485</v>
      </c>
      <c r="N1" s="3173" t="s">
        <v>3486</v>
      </c>
      <c r="O1" s="3170" t="s">
        <v>3487</v>
      </c>
      <c r="P1" s="3170" t="s">
        <v>3488</v>
      </c>
      <c r="Q1" s="3174" t="s">
        <v>3489</v>
      </c>
      <c r="R1" s="3170" t="s">
        <v>3490</v>
      </c>
      <c r="S1" s="3170" t="s">
        <v>3491</v>
      </c>
      <c r="T1" s="3170" t="s">
        <v>3492</v>
      </c>
      <c r="U1" s="3170" t="s">
        <v>3493</v>
      </c>
      <c r="V1" s="3170" t="s">
        <v>3494</v>
      </c>
      <c r="W1" s="3170" t="s">
        <v>3495</v>
      </c>
    </row>
    <row r="2" spans="1:23" ht="12.95" customHeight="1">
      <c r="A2" s="3176" t="s">
        <v>670</v>
      </c>
      <c r="B2" s="3162" t="s">
        <v>3496</v>
      </c>
      <c r="C2" s="3162" t="s">
        <v>3497</v>
      </c>
      <c r="D2" s="3162" t="s">
        <v>3498</v>
      </c>
      <c r="E2" s="3176" t="s">
        <v>3499</v>
      </c>
      <c r="F2" s="3176" t="s">
        <v>3500</v>
      </c>
      <c r="G2" s="3163">
        <v>45.03</v>
      </c>
      <c r="H2" s="3164">
        <v>44620</v>
      </c>
      <c r="I2" s="3164">
        <v>44730</v>
      </c>
      <c r="J2" s="3164">
        <v>46282</v>
      </c>
      <c r="K2" s="3177" t="s">
        <v>3500</v>
      </c>
      <c r="L2" s="3178" t="s">
        <v>3500</v>
      </c>
      <c r="M2" s="3179">
        <v>494.39</v>
      </c>
      <c r="N2" s="3179">
        <f t="shared" ref="N2:N65" si="0">M2/30</f>
        <v>16.479666666666667</v>
      </c>
      <c r="O2" s="3180">
        <v>101664.87</v>
      </c>
      <c r="P2" s="3176" t="str">
        <f>VLOOKUP(B2,[9]总行格式!$B:$U,14,0)</f>
        <v>月</v>
      </c>
      <c r="Q2" s="3181">
        <v>0</v>
      </c>
      <c r="R2" s="3176"/>
      <c r="S2" s="3182" t="s">
        <v>3501</v>
      </c>
      <c r="T2" s="3176">
        <v>25</v>
      </c>
      <c r="U2" s="3176" t="s">
        <v>3502</v>
      </c>
      <c r="V2" s="3176"/>
      <c r="W2" s="3176"/>
    </row>
    <row r="3" spans="1:23" ht="12.95" customHeight="1">
      <c r="A3" s="3176" t="s">
        <v>670</v>
      </c>
      <c r="B3" s="3162" t="s">
        <v>3503</v>
      </c>
      <c r="C3" s="3162" t="s">
        <v>3504</v>
      </c>
      <c r="D3" s="3162" t="s">
        <v>3505</v>
      </c>
      <c r="E3" s="3176" t="s">
        <v>3499</v>
      </c>
      <c r="F3" s="3176" t="s">
        <v>3500</v>
      </c>
      <c r="G3" s="3163">
        <v>227.98</v>
      </c>
      <c r="H3" s="3164">
        <v>44666</v>
      </c>
      <c r="I3" s="3164">
        <v>44730</v>
      </c>
      <c r="J3" s="3164">
        <v>46203</v>
      </c>
      <c r="K3" s="3177" t="s">
        <v>3500</v>
      </c>
      <c r="L3" s="3178" t="s">
        <v>3500</v>
      </c>
      <c r="M3" s="3179">
        <v>272.5</v>
      </c>
      <c r="N3" s="3179">
        <f t="shared" si="0"/>
        <v>9.0833333333333339</v>
      </c>
      <c r="O3" s="3180">
        <v>722069.66</v>
      </c>
      <c r="P3" s="3176" t="str">
        <f>VLOOKUP(B3,[9]总行格式!$B:$U,14,0)</f>
        <v>月</v>
      </c>
      <c r="Q3" s="3181" t="s">
        <v>3506</v>
      </c>
      <c r="R3" s="3176"/>
      <c r="S3" s="3182" t="s">
        <v>3501</v>
      </c>
      <c r="T3" s="3176">
        <v>25</v>
      </c>
      <c r="U3" s="3176" t="s">
        <v>3502</v>
      </c>
      <c r="V3" s="3176"/>
      <c r="W3" s="3176"/>
    </row>
    <row r="4" spans="1:23" ht="12.95" customHeight="1">
      <c r="A4" s="3176" t="s">
        <v>670</v>
      </c>
      <c r="B4" s="3162" t="s">
        <v>3507</v>
      </c>
      <c r="C4" s="3162" t="s">
        <v>3508</v>
      </c>
      <c r="D4" s="3162" t="s">
        <v>3509</v>
      </c>
      <c r="E4" s="3176" t="s">
        <v>3499</v>
      </c>
      <c r="F4" s="3176" t="s">
        <v>3500</v>
      </c>
      <c r="G4" s="3163">
        <v>185.88</v>
      </c>
      <c r="H4" s="3164">
        <v>44620</v>
      </c>
      <c r="I4" s="3164">
        <v>44730</v>
      </c>
      <c r="J4" s="3164">
        <v>46190</v>
      </c>
      <c r="K4" s="3177" t="s">
        <v>3500</v>
      </c>
      <c r="L4" s="3178" t="s">
        <v>3500</v>
      </c>
      <c r="M4" s="3179">
        <v>239</v>
      </c>
      <c r="N4" s="3179">
        <f t="shared" si="0"/>
        <v>7.9666666666666668</v>
      </c>
      <c r="O4" s="3180">
        <v>521219.91</v>
      </c>
      <c r="P4" s="3176" t="str">
        <f>VLOOKUP(B4,[9]总行格式!$B:$U,14,0)</f>
        <v>月</v>
      </c>
      <c r="Q4" s="3181" t="s">
        <v>3510</v>
      </c>
      <c r="R4" s="3176"/>
      <c r="S4" s="3182" t="s">
        <v>3501</v>
      </c>
      <c r="T4" s="3176">
        <v>25</v>
      </c>
      <c r="U4" s="3176" t="s">
        <v>3502</v>
      </c>
      <c r="V4" s="3176"/>
      <c r="W4" s="3176"/>
    </row>
    <row r="5" spans="1:23" ht="12.95" customHeight="1">
      <c r="A5" s="3176" t="s">
        <v>670</v>
      </c>
      <c r="B5" s="3162" t="s">
        <v>3511</v>
      </c>
      <c r="C5" s="3162" t="s">
        <v>3512</v>
      </c>
      <c r="D5" s="3162" t="s">
        <v>3513</v>
      </c>
      <c r="E5" s="3176" t="s">
        <v>3499</v>
      </c>
      <c r="F5" s="3176" t="s">
        <v>3500</v>
      </c>
      <c r="G5" s="3163">
        <v>298</v>
      </c>
      <c r="H5" s="3164">
        <v>44621</v>
      </c>
      <c r="I5" s="3164">
        <v>44730</v>
      </c>
      <c r="J5" s="3164">
        <v>46555</v>
      </c>
      <c r="K5" s="3177" t="s">
        <v>3500</v>
      </c>
      <c r="L5" s="3178" t="s">
        <v>3500</v>
      </c>
      <c r="M5" s="3179">
        <v>263</v>
      </c>
      <c r="N5" s="3179">
        <f t="shared" si="0"/>
        <v>8.7666666666666675</v>
      </c>
      <c r="O5" s="3180">
        <v>920075</v>
      </c>
      <c r="P5" s="3176" t="str">
        <f>VLOOKUP(B5,[9]总行格式!$B:$U,14,0)</f>
        <v>月</v>
      </c>
      <c r="Q5" s="3181" t="s">
        <v>3514</v>
      </c>
      <c r="R5" s="3176" t="s">
        <v>3499</v>
      </c>
      <c r="S5" s="3182" t="s">
        <v>3501</v>
      </c>
      <c r="T5" s="3176">
        <v>25</v>
      </c>
      <c r="U5" s="3176" t="s">
        <v>3502</v>
      </c>
      <c r="V5" s="3176"/>
      <c r="W5" s="3176"/>
    </row>
    <row r="6" spans="1:23" ht="12.95" customHeight="1">
      <c r="A6" s="3176" t="s">
        <v>670</v>
      </c>
      <c r="B6" s="3162" t="s">
        <v>3515</v>
      </c>
      <c r="C6" s="3162" t="s">
        <v>3516</v>
      </c>
      <c r="D6" s="3162" t="s">
        <v>3517</v>
      </c>
      <c r="E6" s="3176" t="s">
        <v>3499</v>
      </c>
      <c r="F6" s="3176" t="s">
        <v>3500</v>
      </c>
      <c r="G6" s="3163">
        <v>698.37</v>
      </c>
      <c r="H6" s="3164">
        <v>44620</v>
      </c>
      <c r="I6" s="3164">
        <v>44730</v>
      </c>
      <c r="J6" s="3164">
        <v>46555</v>
      </c>
      <c r="K6" s="3177" t="s">
        <v>3518</v>
      </c>
      <c r="L6" s="3178" t="s">
        <v>3500</v>
      </c>
      <c r="M6" s="3179">
        <v>226.29</v>
      </c>
      <c r="N6" s="3179">
        <f t="shared" si="0"/>
        <v>7.5430000000000001</v>
      </c>
      <c r="O6" s="3180">
        <v>1855555.85</v>
      </c>
      <c r="P6" s="3176" t="str">
        <f>VLOOKUP(B6,[9]总行格式!$B:$U,14,0)</f>
        <v>月</v>
      </c>
      <c r="Q6" s="3181" t="s">
        <v>3519</v>
      </c>
      <c r="R6" s="3176" t="s">
        <v>3499</v>
      </c>
      <c r="S6" s="3182" t="s">
        <v>3501</v>
      </c>
      <c r="T6" s="3176">
        <v>25</v>
      </c>
      <c r="U6" s="3176" t="s">
        <v>3502</v>
      </c>
      <c r="V6" s="3176"/>
      <c r="W6" s="3176"/>
    </row>
    <row r="7" spans="1:23" ht="12.95" customHeight="1">
      <c r="A7" s="3176" t="s">
        <v>670</v>
      </c>
      <c r="B7" s="3162" t="s">
        <v>3520</v>
      </c>
      <c r="C7" s="3162" t="s">
        <v>3521</v>
      </c>
      <c r="D7" s="3162" t="s">
        <v>3522</v>
      </c>
      <c r="E7" s="3176" t="s">
        <v>3499</v>
      </c>
      <c r="F7" s="3176" t="s">
        <v>3500</v>
      </c>
      <c r="G7" s="3163">
        <v>287.45</v>
      </c>
      <c r="H7" s="3164">
        <v>44635</v>
      </c>
      <c r="I7" s="3164">
        <v>44730</v>
      </c>
      <c r="J7" s="3164">
        <v>46555</v>
      </c>
      <c r="K7" s="3177" t="s">
        <v>3500</v>
      </c>
      <c r="L7" s="3178" t="s">
        <v>3500</v>
      </c>
      <c r="M7" s="3179">
        <v>150</v>
      </c>
      <c r="N7" s="3179">
        <f t="shared" si="0"/>
        <v>5</v>
      </c>
      <c r="O7" s="3180">
        <v>468000.4</v>
      </c>
      <c r="P7" s="3176" t="str">
        <f>VLOOKUP(B7,[9]总行格式!$B:$U,14,0)</f>
        <v>月</v>
      </c>
      <c r="Q7" s="3181" t="s">
        <v>3523</v>
      </c>
      <c r="R7" s="3176"/>
      <c r="S7" s="3182" t="s">
        <v>3501</v>
      </c>
      <c r="T7" s="3176">
        <v>25</v>
      </c>
      <c r="U7" s="3176" t="s">
        <v>3502</v>
      </c>
      <c r="V7" s="3176"/>
      <c r="W7" s="3176"/>
    </row>
    <row r="8" spans="1:23" ht="12.95" customHeight="1">
      <c r="A8" s="3176" t="s">
        <v>670</v>
      </c>
      <c r="B8" s="3162" t="s">
        <v>3524</v>
      </c>
      <c r="C8" s="3162" t="s">
        <v>3525</v>
      </c>
      <c r="D8" s="3162" t="s">
        <v>3526</v>
      </c>
      <c r="E8" s="3176" t="s">
        <v>3499</v>
      </c>
      <c r="F8" s="3176" t="s">
        <v>3500</v>
      </c>
      <c r="G8" s="3163">
        <v>215.01</v>
      </c>
      <c r="H8" s="3164">
        <v>44621</v>
      </c>
      <c r="I8" s="3164">
        <v>44730</v>
      </c>
      <c r="J8" s="3164">
        <v>46555</v>
      </c>
      <c r="K8" s="3177" t="s">
        <v>3500</v>
      </c>
      <c r="L8" s="3178" t="s">
        <v>3500</v>
      </c>
      <c r="M8" s="3179">
        <v>250</v>
      </c>
      <c r="N8" s="3179">
        <f t="shared" si="0"/>
        <v>8.3333333333333339</v>
      </c>
      <c r="O8" s="3180">
        <v>635201.89</v>
      </c>
      <c r="P8" s="3176" t="str">
        <f>VLOOKUP(B8,[9]总行格式!$B:$U,14,0)</f>
        <v>月</v>
      </c>
      <c r="Q8" s="3181" t="s">
        <v>3527</v>
      </c>
      <c r="R8" s="3176"/>
      <c r="S8" s="3182" t="s">
        <v>3501</v>
      </c>
      <c r="T8" s="3176">
        <v>25</v>
      </c>
      <c r="U8" s="3176" t="s">
        <v>3502</v>
      </c>
      <c r="V8" s="3176"/>
      <c r="W8" s="3176"/>
    </row>
    <row r="9" spans="1:23" ht="12.95" customHeight="1">
      <c r="A9" s="3176" t="s">
        <v>670</v>
      </c>
      <c r="B9" s="3162" t="s">
        <v>3528</v>
      </c>
      <c r="C9" s="3162" t="s">
        <v>3529</v>
      </c>
      <c r="D9" s="3162" t="s">
        <v>3530</v>
      </c>
      <c r="E9" s="3176" t="s">
        <v>3499</v>
      </c>
      <c r="F9" s="3176" t="s">
        <v>3500</v>
      </c>
      <c r="G9" s="3163">
        <v>566.30999999999995</v>
      </c>
      <c r="H9" s="3164">
        <v>44620</v>
      </c>
      <c r="I9" s="3164">
        <v>44730</v>
      </c>
      <c r="J9" s="3164">
        <v>46555</v>
      </c>
      <c r="K9" s="3177" t="s">
        <v>3518</v>
      </c>
      <c r="L9" s="3178" t="s">
        <v>3500</v>
      </c>
      <c r="M9" s="3179">
        <v>420</v>
      </c>
      <c r="N9" s="3179">
        <f t="shared" si="0"/>
        <v>14</v>
      </c>
      <c r="O9" s="3180">
        <v>2802479.42</v>
      </c>
      <c r="P9" s="3176" t="str">
        <f>VLOOKUP(B9,[9]总行格式!$B:$U,14,0)</f>
        <v>月</v>
      </c>
      <c r="Q9" s="3181" t="s">
        <v>3531</v>
      </c>
      <c r="R9" s="3176" t="s">
        <v>3499</v>
      </c>
      <c r="S9" s="3182" t="s">
        <v>3501</v>
      </c>
      <c r="T9" s="3176">
        <v>25</v>
      </c>
      <c r="U9" s="3176" t="s">
        <v>3502</v>
      </c>
      <c r="V9" s="3176"/>
      <c r="W9" s="3176"/>
    </row>
    <row r="10" spans="1:23" ht="12.95" customHeight="1">
      <c r="A10" s="3176" t="s">
        <v>670</v>
      </c>
      <c r="B10" s="3162" t="s">
        <v>3532</v>
      </c>
      <c r="C10" s="3162" t="s">
        <v>3533</v>
      </c>
      <c r="D10" s="3162" t="s">
        <v>3534</v>
      </c>
      <c r="E10" s="3176" t="s">
        <v>3499</v>
      </c>
      <c r="F10" s="3176" t="s">
        <v>3500</v>
      </c>
      <c r="G10" s="3163">
        <v>424.96</v>
      </c>
      <c r="H10" s="3164">
        <v>44620</v>
      </c>
      <c r="I10" s="3164">
        <v>44730</v>
      </c>
      <c r="J10" s="3164">
        <v>47651</v>
      </c>
      <c r="K10" s="3177" t="s">
        <v>3500</v>
      </c>
      <c r="L10" s="3178" t="s">
        <v>3500</v>
      </c>
      <c r="M10" s="3179">
        <v>30</v>
      </c>
      <c r="N10" s="3179">
        <f t="shared" si="0"/>
        <v>1</v>
      </c>
      <c r="O10" s="3180">
        <v>143282.35</v>
      </c>
      <c r="P10" s="3176" t="str">
        <f>VLOOKUP(B10,[9]总行格式!$B:$U,14,0)</f>
        <v>月</v>
      </c>
      <c r="Q10" s="3181" t="s">
        <v>3535</v>
      </c>
      <c r="R10" s="3176"/>
      <c r="S10" s="3182" t="s">
        <v>3501</v>
      </c>
      <c r="T10" s="3176">
        <v>25</v>
      </c>
      <c r="U10" s="3176" t="s">
        <v>3502</v>
      </c>
      <c r="V10" s="3176"/>
      <c r="W10" s="3176"/>
    </row>
    <row r="11" spans="1:23" ht="12.95" customHeight="1">
      <c r="A11" s="3176" t="s">
        <v>670</v>
      </c>
      <c r="B11" s="3162" t="s">
        <v>3536</v>
      </c>
      <c r="C11" s="3162" t="s">
        <v>3537</v>
      </c>
      <c r="D11" s="3162" t="s">
        <v>3538</v>
      </c>
      <c r="E11" s="3176" t="s">
        <v>3499</v>
      </c>
      <c r="F11" s="3176" t="s">
        <v>3500</v>
      </c>
      <c r="G11" s="3163">
        <v>151.19999999999999</v>
      </c>
      <c r="H11" s="3164">
        <v>44629</v>
      </c>
      <c r="I11" s="3164">
        <v>44730</v>
      </c>
      <c r="J11" s="3164">
        <v>46282</v>
      </c>
      <c r="K11" s="3177" t="s">
        <v>3500</v>
      </c>
      <c r="L11" s="3178" t="s">
        <v>3500</v>
      </c>
      <c r="M11" s="3179">
        <v>148.82</v>
      </c>
      <c r="N11" s="3179">
        <f t="shared" si="0"/>
        <v>4.9606666666666666</v>
      </c>
      <c r="O11" s="3180">
        <v>174796.24</v>
      </c>
      <c r="P11" s="3176" t="str">
        <f>VLOOKUP(B11,[9]总行格式!$B:$U,14,0)</f>
        <v>月</v>
      </c>
      <c r="Q11" s="3181">
        <v>0</v>
      </c>
      <c r="R11" s="3176"/>
      <c r="S11" s="3182" t="s">
        <v>3501</v>
      </c>
      <c r="T11" s="3176">
        <v>25</v>
      </c>
      <c r="U11" s="3176" t="s">
        <v>3502</v>
      </c>
      <c r="V11" s="3176"/>
      <c r="W11" s="3176"/>
    </row>
    <row r="12" spans="1:23" ht="12.95" customHeight="1">
      <c r="A12" s="3176" t="s">
        <v>670</v>
      </c>
      <c r="B12" s="3162" t="s">
        <v>3539</v>
      </c>
      <c r="C12" s="3162" t="s">
        <v>3540</v>
      </c>
      <c r="D12" s="3162" t="s">
        <v>3541</v>
      </c>
      <c r="E12" s="3176" t="s">
        <v>3499</v>
      </c>
      <c r="F12" s="3176" t="s">
        <v>3500</v>
      </c>
      <c r="G12" s="3163">
        <v>54.88</v>
      </c>
      <c r="H12" s="3164">
        <v>44720</v>
      </c>
      <c r="I12" s="3164">
        <v>44750</v>
      </c>
      <c r="J12" s="3164">
        <v>46210</v>
      </c>
      <c r="K12" s="3177" t="s">
        <v>3500</v>
      </c>
      <c r="L12" s="3178" t="s">
        <v>3500</v>
      </c>
      <c r="M12" s="3179">
        <v>471.91</v>
      </c>
      <c r="N12" s="3179">
        <f t="shared" si="0"/>
        <v>15.730333333333334</v>
      </c>
      <c r="O12" s="3180">
        <v>321659.73</v>
      </c>
      <c r="P12" s="3176" t="str">
        <f>VLOOKUP(B12,[9]总行格式!$B:$U,14,0)</f>
        <v>月</v>
      </c>
      <c r="Q12" s="3181" t="s">
        <v>3542</v>
      </c>
      <c r="R12" s="3176"/>
      <c r="S12" s="3182" t="s">
        <v>3501</v>
      </c>
      <c r="T12" s="3176">
        <v>25</v>
      </c>
      <c r="U12" s="3176" t="s">
        <v>3502</v>
      </c>
      <c r="V12" s="3176"/>
      <c r="W12" s="3176"/>
    </row>
    <row r="13" spans="1:23" ht="12.95" customHeight="1">
      <c r="A13" s="3176" t="s">
        <v>670</v>
      </c>
      <c r="B13" s="3162" t="s">
        <v>3543</v>
      </c>
      <c r="C13" s="3162" t="s">
        <v>3544</v>
      </c>
      <c r="D13" s="3162" t="s">
        <v>3545</v>
      </c>
      <c r="E13" s="3176" t="s">
        <v>3499</v>
      </c>
      <c r="F13" s="3176" t="s">
        <v>3500</v>
      </c>
      <c r="G13" s="3163">
        <v>48.04</v>
      </c>
      <c r="H13" s="3164">
        <v>45512</v>
      </c>
      <c r="I13" s="3164">
        <v>45512</v>
      </c>
      <c r="J13" s="3164">
        <v>46265</v>
      </c>
      <c r="K13" s="3177" t="s">
        <v>3500</v>
      </c>
      <c r="L13" s="3178" t="s">
        <v>3500</v>
      </c>
      <c r="M13" s="3179">
        <v>380</v>
      </c>
      <c r="N13" s="3179">
        <f t="shared" si="0"/>
        <v>12.666666666666666</v>
      </c>
      <c r="O13" s="3180">
        <v>113653.99</v>
      </c>
      <c r="P13" s="3176" t="e">
        <f>VLOOKUP(B13,[9]总行格式!$B:$U,14,0)</f>
        <v>#N/A</v>
      </c>
      <c r="Q13" s="3181">
        <v>0</v>
      </c>
      <c r="R13" s="3176"/>
      <c r="S13" s="3182" t="s">
        <v>3501</v>
      </c>
      <c r="T13" s="3176">
        <v>25</v>
      </c>
      <c r="U13" s="3176" t="s">
        <v>3502</v>
      </c>
      <c r="V13" s="3176"/>
      <c r="W13" s="3176"/>
    </row>
    <row r="14" spans="1:23" ht="12.95" customHeight="1">
      <c r="A14" s="3176" t="s">
        <v>670</v>
      </c>
      <c r="B14" s="3162" t="s">
        <v>3539</v>
      </c>
      <c r="C14" s="3162" t="s">
        <v>3546</v>
      </c>
      <c r="D14" s="3162" t="s">
        <v>3547</v>
      </c>
      <c r="E14" s="3176" t="s">
        <v>3499</v>
      </c>
      <c r="F14" s="3176" t="s">
        <v>3500</v>
      </c>
      <c r="G14" s="3163">
        <v>128.41</v>
      </c>
      <c r="H14" s="3164">
        <v>44764</v>
      </c>
      <c r="I14" s="3164">
        <v>44804</v>
      </c>
      <c r="J14" s="3164">
        <v>46629</v>
      </c>
      <c r="K14" s="3177" t="s">
        <v>3500</v>
      </c>
      <c r="L14" s="3178" t="s">
        <v>3500</v>
      </c>
      <c r="M14" s="3179">
        <v>471.91</v>
      </c>
      <c r="N14" s="3179">
        <f t="shared" si="0"/>
        <v>15.730333333333334</v>
      </c>
      <c r="O14" s="3180">
        <v>359342.52</v>
      </c>
      <c r="P14" s="3176" t="str">
        <f>VLOOKUP(B14,[9]总行格式!$B:$U,14,0)</f>
        <v>月</v>
      </c>
      <c r="Q14" s="3181" t="s">
        <v>3542</v>
      </c>
      <c r="R14" s="3176"/>
      <c r="S14" s="3182" t="s">
        <v>3501</v>
      </c>
      <c r="T14" s="3176">
        <v>25</v>
      </c>
      <c r="U14" s="3176" t="s">
        <v>3502</v>
      </c>
      <c r="V14" s="3176"/>
      <c r="W14" s="3176"/>
    </row>
    <row r="15" spans="1:23" s="1143" customFormat="1" ht="12.95" customHeight="1">
      <c r="A15" s="3183" t="s">
        <v>670</v>
      </c>
      <c r="B15" s="3165" t="s">
        <v>3548</v>
      </c>
      <c r="C15" s="3165" t="s">
        <v>3549</v>
      </c>
      <c r="D15" s="3165" t="s">
        <v>3550</v>
      </c>
      <c r="E15" s="3183" t="s">
        <v>3499</v>
      </c>
      <c r="F15" s="3183" t="s">
        <v>3500</v>
      </c>
      <c r="G15" s="3166">
        <v>130.38</v>
      </c>
      <c r="H15" s="3167">
        <v>44775</v>
      </c>
      <c r="I15" s="3167">
        <v>44820</v>
      </c>
      <c r="J15" s="3167">
        <v>46645</v>
      </c>
      <c r="K15" s="3184" t="s">
        <v>3500</v>
      </c>
      <c r="L15" s="3185" t="s">
        <v>3500</v>
      </c>
      <c r="M15" s="3186">
        <v>207.27</v>
      </c>
      <c r="N15" s="3186">
        <f t="shared" si="0"/>
        <v>6.9090000000000007</v>
      </c>
      <c r="O15" s="3187">
        <v>202678.95</v>
      </c>
      <c r="P15" s="3183" t="str">
        <f>VLOOKUP(B15,[9]总行格式!$B:$U,14,0)</f>
        <v>月</v>
      </c>
      <c r="Q15" s="3188">
        <v>0</v>
      </c>
      <c r="R15" s="3183"/>
      <c r="S15" s="3189" t="s">
        <v>3501</v>
      </c>
      <c r="T15" s="3183">
        <v>25</v>
      </c>
      <c r="U15" s="3183" t="s">
        <v>3502</v>
      </c>
      <c r="V15" s="3183"/>
      <c r="W15" s="3183"/>
    </row>
    <row r="16" spans="1:23" ht="12.95" customHeight="1">
      <c r="A16" s="3176" t="s">
        <v>670</v>
      </c>
      <c r="B16" s="3162" t="s">
        <v>3551</v>
      </c>
      <c r="C16" s="3162" t="s">
        <v>3552</v>
      </c>
      <c r="D16" s="3162" t="s">
        <v>3553</v>
      </c>
      <c r="E16" s="3176" t="s">
        <v>3499</v>
      </c>
      <c r="F16" s="3176" t="s">
        <v>3500</v>
      </c>
      <c r="G16" s="3163">
        <v>838.58</v>
      </c>
      <c r="H16" s="3164">
        <v>44725</v>
      </c>
      <c r="I16" s="3164">
        <v>44815</v>
      </c>
      <c r="J16" s="3164">
        <v>46275</v>
      </c>
      <c r="K16" s="3177" t="s">
        <v>3500</v>
      </c>
      <c r="L16" s="3178" t="s">
        <v>3500</v>
      </c>
      <c r="M16" s="3179">
        <v>79</v>
      </c>
      <c r="N16" s="3179">
        <f t="shared" si="0"/>
        <v>2.6333333333333333</v>
      </c>
      <c r="O16" s="3180">
        <v>794973.84</v>
      </c>
      <c r="P16" s="3176" t="str">
        <f>VLOOKUP(B16,[9]总行格式!$B:$U,14,0)</f>
        <v>月</v>
      </c>
      <c r="Q16" s="3181">
        <v>0</v>
      </c>
      <c r="R16" s="3176"/>
      <c r="S16" s="3182" t="s">
        <v>3501</v>
      </c>
      <c r="T16" s="3176">
        <v>25</v>
      </c>
      <c r="U16" s="3176" t="s">
        <v>3502</v>
      </c>
      <c r="V16" s="3176"/>
      <c r="W16" s="3176"/>
    </row>
    <row r="17" spans="1:23" ht="12.95" customHeight="1">
      <c r="A17" s="3190" t="s">
        <v>670</v>
      </c>
      <c r="B17" s="3168" t="s">
        <v>3554</v>
      </c>
      <c r="C17" s="3168" t="s">
        <v>3555</v>
      </c>
      <c r="D17" s="3168" t="s">
        <v>3556</v>
      </c>
      <c r="E17" s="3190" t="s">
        <v>3499</v>
      </c>
      <c r="F17" s="3190" t="s">
        <v>3500</v>
      </c>
      <c r="G17" s="3169">
        <v>443.87</v>
      </c>
      <c r="H17" s="3164">
        <v>44743</v>
      </c>
      <c r="I17" s="3164">
        <v>44743</v>
      </c>
      <c r="J17" s="3164">
        <v>46568</v>
      </c>
      <c r="K17" s="3177">
        <v>0</v>
      </c>
      <c r="L17" s="3178" t="s">
        <v>3500</v>
      </c>
      <c r="M17" s="3179">
        <v>255.5</v>
      </c>
      <c r="N17" s="3179">
        <f t="shared" si="0"/>
        <v>8.5166666666666675</v>
      </c>
      <c r="O17" s="3180">
        <v>1360905</v>
      </c>
      <c r="P17" s="3176" t="str">
        <f>VLOOKUP(B17,[9]总行格式!$B:$U,14,0)</f>
        <v>半年</v>
      </c>
      <c r="Q17" s="3181" t="s">
        <v>3557</v>
      </c>
      <c r="R17" s="3176" t="s">
        <v>3499</v>
      </c>
      <c r="S17" s="3182" t="s">
        <v>3501</v>
      </c>
      <c r="T17" s="3176">
        <v>25</v>
      </c>
      <c r="U17" s="3176" t="s">
        <v>3502</v>
      </c>
      <c r="V17" s="3176"/>
      <c r="W17" s="3176"/>
    </row>
    <row r="18" spans="1:23" ht="12.95" customHeight="1">
      <c r="A18" s="3176" t="s">
        <v>670</v>
      </c>
      <c r="B18" s="3162" t="s">
        <v>3558</v>
      </c>
      <c r="C18" s="3162" t="s">
        <v>3559</v>
      </c>
      <c r="D18" s="3162" t="s">
        <v>3560</v>
      </c>
      <c r="E18" s="3176" t="s">
        <v>3499</v>
      </c>
      <c r="F18" s="3176" t="s">
        <v>3500</v>
      </c>
      <c r="G18" s="3163">
        <v>150.47999999999999</v>
      </c>
      <c r="H18" s="3164">
        <v>44620</v>
      </c>
      <c r="I18" s="3164">
        <v>44730</v>
      </c>
      <c r="J18" s="3164">
        <v>46555</v>
      </c>
      <c r="K18" s="3177" t="s">
        <v>3500</v>
      </c>
      <c r="L18" s="3178" t="s">
        <v>3500</v>
      </c>
      <c r="M18" s="3179">
        <v>265</v>
      </c>
      <c r="N18" s="3179">
        <f t="shared" si="0"/>
        <v>8.8333333333333339</v>
      </c>
      <c r="O18" s="3180">
        <v>468218.52</v>
      </c>
      <c r="P18" s="3176" t="str">
        <f>VLOOKUP(B18,[9]总行格式!$B:$U,14,0)</f>
        <v>月</v>
      </c>
      <c r="Q18" s="3181">
        <v>0</v>
      </c>
      <c r="R18" s="3176"/>
      <c r="S18" s="3182" t="s">
        <v>3501</v>
      </c>
      <c r="T18" s="3176">
        <v>25</v>
      </c>
      <c r="U18" s="3176" t="s">
        <v>3502</v>
      </c>
      <c r="V18" s="3176"/>
      <c r="W18" s="3176"/>
    </row>
    <row r="19" spans="1:23" ht="12.95" customHeight="1">
      <c r="A19" s="3176" t="s">
        <v>670</v>
      </c>
      <c r="B19" s="3162" t="s">
        <v>3561</v>
      </c>
      <c r="C19" s="3162" t="s">
        <v>3562</v>
      </c>
      <c r="D19" s="3162" t="s">
        <v>3563</v>
      </c>
      <c r="E19" s="3176" t="s">
        <v>3499</v>
      </c>
      <c r="F19" s="3176" t="s">
        <v>3500</v>
      </c>
      <c r="G19" s="3163">
        <v>132.65</v>
      </c>
      <c r="H19" s="3164">
        <v>44680</v>
      </c>
      <c r="I19" s="3164">
        <v>44680</v>
      </c>
      <c r="J19" s="3164">
        <v>48332</v>
      </c>
      <c r="K19" s="3177" t="s">
        <v>3500</v>
      </c>
      <c r="L19" s="3178" t="s">
        <v>3500</v>
      </c>
      <c r="M19" s="3179">
        <v>0</v>
      </c>
      <c r="N19" s="3179">
        <f t="shared" si="0"/>
        <v>0</v>
      </c>
      <c r="O19" s="3180">
        <v>334278</v>
      </c>
      <c r="P19" s="3176" t="str">
        <f>VLOOKUP(B19,[9]总行格式!$B:$U,14,0)</f>
        <v>月</v>
      </c>
      <c r="Q19" s="3181">
        <v>0</v>
      </c>
      <c r="R19" s="3176"/>
      <c r="S19" s="3182" t="s">
        <v>3501</v>
      </c>
      <c r="T19" s="3176">
        <v>25</v>
      </c>
      <c r="U19" s="3176" t="s">
        <v>3502</v>
      </c>
      <c r="V19" s="3176"/>
      <c r="W19" s="3176"/>
    </row>
    <row r="20" spans="1:23" ht="12.95" customHeight="1">
      <c r="A20" s="3176" t="s">
        <v>670</v>
      </c>
      <c r="B20" s="3162" t="s">
        <v>3564</v>
      </c>
      <c r="C20" s="3162" t="s">
        <v>3565</v>
      </c>
      <c r="D20" s="3162" t="s">
        <v>3566</v>
      </c>
      <c r="E20" s="3176" t="s">
        <v>3499</v>
      </c>
      <c r="F20" s="3176" t="s">
        <v>3500</v>
      </c>
      <c r="G20" s="3163">
        <v>205.33</v>
      </c>
      <c r="H20" s="3164">
        <v>44848</v>
      </c>
      <c r="I20" s="3164">
        <v>44743</v>
      </c>
      <c r="J20" s="3164">
        <v>46568</v>
      </c>
      <c r="K20" s="3177" t="s">
        <v>3500</v>
      </c>
      <c r="L20" s="3178" t="s">
        <v>3500</v>
      </c>
      <c r="M20" s="3179">
        <v>209.88</v>
      </c>
      <c r="N20" s="3179">
        <f t="shared" si="0"/>
        <v>6.9959999999999996</v>
      </c>
      <c r="O20" s="3180">
        <v>517135.92</v>
      </c>
      <c r="P20" s="3176" t="str">
        <f>VLOOKUP(B20,[9]总行格式!$B:$U,14,0)</f>
        <v>月</v>
      </c>
      <c r="Q20" s="3181" t="s">
        <v>3567</v>
      </c>
      <c r="R20" s="3176"/>
      <c r="S20" s="3182" t="s">
        <v>3501</v>
      </c>
      <c r="T20" s="3176">
        <v>25</v>
      </c>
      <c r="U20" s="3176" t="s">
        <v>3502</v>
      </c>
      <c r="V20" s="3176"/>
      <c r="W20" s="3176"/>
    </row>
    <row r="21" spans="1:23" ht="12.95" customHeight="1">
      <c r="A21" s="3176" t="s">
        <v>670</v>
      </c>
      <c r="B21" s="3162" t="s">
        <v>3568</v>
      </c>
      <c r="C21" s="3162" t="s">
        <v>3569</v>
      </c>
      <c r="D21" s="3162" t="s">
        <v>3570</v>
      </c>
      <c r="E21" s="3176" t="s">
        <v>3499</v>
      </c>
      <c r="F21" s="3176" t="s">
        <v>3500</v>
      </c>
      <c r="G21" s="3163">
        <v>80</v>
      </c>
      <c r="H21" s="3164">
        <v>45746</v>
      </c>
      <c r="I21" s="3164">
        <v>45746</v>
      </c>
      <c r="J21" s="3164">
        <v>46843</v>
      </c>
      <c r="K21" s="3177" t="s">
        <v>3500</v>
      </c>
      <c r="L21" s="3178" t="s">
        <v>3500</v>
      </c>
      <c r="M21" s="3179">
        <v>5000</v>
      </c>
      <c r="N21" s="3179">
        <f t="shared" si="0"/>
        <v>166.66666666666666</v>
      </c>
      <c r="O21" s="3180">
        <v>108580.65</v>
      </c>
      <c r="P21" s="3176" t="str">
        <f>VLOOKUP(B21,[9]总行格式!$B:$U,14,0)</f>
        <v>季度</v>
      </c>
      <c r="Q21" s="3181">
        <v>0</v>
      </c>
      <c r="R21" s="3176"/>
      <c r="S21" s="3182" t="s">
        <v>3501</v>
      </c>
      <c r="T21" s="3176">
        <v>25</v>
      </c>
      <c r="U21" s="3176" t="s">
        <v>3502</v>
      </c>
      <c r="V21" s="3176"/>
      <c r="W21" s="3176"/>
    </row>
    <row r="22" spans="1:23" ht="12.95" customHeight="1">
      <c r="A22" s="3176" t="s">
        <v>670</v>
      </c>
      <c r="B22" s="3162" t="s">
        <v>3571</v>
      </c>
      <c r="C22" s="3162" t="s">
        <v>3572</v>
      </c>
      <c r="D22" s="3162" t="s">
        <v>3573</v>
      </c>
      <c r="E22" s="3176" t="s">
        <v>3499</v>
      </c>
      <c r="F22" s="3176" t="s">
        <v>3500</v>
      </c>
      <c r="G22" s="3163">
        <v>4420.41</v>
      </c>
      <c r="H22" s="3164">
        <v>44911</v>
      </c>
      <c r="I22" s="3164">
        <v>44972</v>
      </c>
      <c r="J22" s="3164">
        <v>48624</v>
      </c>
      <c r="K22" s="3177" t="s">
        <v>3574</v>
      </c>
      <c r="L22" s="3178">
        <v>45093</v>
      </c>
      <c r="M22" s="3179">
        <v>66.25</v>
      </c>
      <c r="N22" s="3179">
        <f t="shared" si="0"/>
        <v>2.2083333333333335</v>
      </c>
      <c r="O22" s="3180">
        <v>3514225.92</v>
      </c>
      <c r="P22" s="3176" t="str">
        <f>VLOOKUP(B22,[9]总行格式!$B:$U,14,0)</f>
        <v>月</v>
      </c>
      <c r="Q22" s="3181" t="s">
        <v>3575</v>
      </c>
      <c r="R22" s="3183" t="s">
        <v>3576</v>
      </c>
      <c r="S22" s="3182" t="s">
        <v>3501</v>
      </c>
      <c r="T22" s="3176">
        <v>25</v>
      </c>
      <c r="U22" s="3176" t="s">
        <v>3502</v>
      </c>
      <c r="V22" s="3176"/>
      <c r="W22" s="3176"/>
    </row>
    <row r="23" spans="1:23" ht="12.95" customHeight="1">
      <c r="A23" s="3176" t="s">
        <v>670</v>
      </c>
      <c r="B23" s="3162" t="s">
        <v>3577</v>
      </c>
      <c r="C23" s="3162" t="s">
        <v>3578</v>
      </c>
      <c r="D23" s="3162" t="s">
        <v>3579</v>
      </c>
      <c r="E23" s="3176" t="s">
        <v>3499</v>
      </c>
      <c r="F23" s="3176" t="s">
        <v>3500</v>
      </c>
      <c r="G23" s="3163">
        <v>432.83</v>
      </c>
      <c r="H23" s="3164">
        <v>44896</v>
      </c>
      <c r="I23" s="3164">
        <v>44986</v>
      </c>
      <c r="J23" s="3164">
        <v>46812</v>
      </c>
      <c r="K23" s="3177" t="s">
        <v>3580</v>
      </c>
      <c r="L23" s="3178">
        <v>45047</v>
      </c>
      <c r="M23" s="3179">
        <v>183.41</v>
      </c>
      <c r="N23" s="3179">
        <f t="shared" si="0"/>
        <v>6.1136666666666661</v>
      </c>
      <c r="O23" s="3180">
        <v>952637.16</v>
      </c>
      <c r="P23" s="3176" t="str">
        <f>VLOOKUP(B23,[9]总行格式!$B:$U,14,0)</f>
        <v>月</v>
      </c>
      <c r="Q23" s="3181" t="s">
        <v>3581</v>
      </c>
      <c r="R23" s="3176"/>
      <c r="S23" s="3182" t="s">
        <v>3501</v>
      </c>
      <c r="T23" s="3176">
        <v>25</v>
      </c>
      <c r="U23" s="3176" t="s">
        <v>3502</v>
      </c>
      <c r="V23" s="3176"/>
      <c r="W23" s="3176"/>
    </row>
    <row r="24" spans="1:23" ht="12.95" customHeight="1">
      <c r="A24" s="3176" t="s">
        <v>670</v>
      </c>
      <c r="B24" s="3162" t="s">
        <v>3582</v>
      </c>
      <c r="C24" s="3162" t="s">
        <v>3583</v>
      </c>
      <c r="D24" s="3162" t="s">
        <v>3584</v>
      </c>
      <c r="E24" s="3176" t="s">
        <v>3499</v>
      </c>
      <c r="F24" s="3176" t="s">
        <v>3500</v>
      </c>
      <c r="G24" s="3163">
        <v>186.56</v>
      </c>
      <c r="H24" s="3164">
        <v>44907</v>
      </c>
      <c r="I24" s="3164">
        <v>44969</v>
      </c>
      <c r="J24" s="3164">
        <v>46794</v>
      </c>
      <c r="K24" s="3177" t="s">
        <v>3500</v>
      </c>
      <c r="L24" s="3178" t="s">
        <v>3500</v>
      </c>
      <c r="M24" s="3179">
        <v>300</v>
      </c>
      <c r="N24" s="3179">
        <f t="shared" si="0"/>
        <v>10</v>
      </c>
      <c r="O24" s="3180">
        <v>668684.34</v>
      </c>
      <c r="P24" s="3176" t="str">
        <f>VLOOKUP(B24,[9]总行格式!$B:$U,14,0)</f>
        <v>月</v>
      </c>
      <c r="Q24" s="3181" t="s">
        <v>3585</v>
      </c>
      <c r="R24" s="3176" t="s">
        <v>3499</v>
      </c>
      <c r="S24" s="3182" t="s">
        <v>3501</v>
      </c>
      <c r="T24" s="3176">
        <v>25</v>
      </c>
      <c r="U24" s="3176" t="s">
        <v>3502</v>
      </c>
      <c r="V24" s="3176"/>
      <c r="W24" s="3176"/>
    </row>
    <row r="25" spans="1:23" ht="12.95" customHeight="1">
      <c r="A25" s="3176" t="s">
        <v>670</v>
      </c>
      <c r="B25" s="3162" t="s">
        <v>3586</v>
      </c>
      <c r="C25" s="3162" t="s">
        <v>3587</v>
      </c>
      <c r="D25" s="3162" t="s">
        <v>3588</v>
      </c>
      <c r="E25" s="3176" t="s">
        <v>3499</v>
      </c>
      <c r="F25" s="3176" t="s">
        <v>3500</v>
      </c>
      <c r="G25" s="3163">
        <v>98.6</v>
      </c>
      <c r="H25" s="3164">
        <v>44987</v>
      </c>
      <c r="I25" s="3164">
        <v>45047</v>
      </c>
      <c r="J25" s="3164">
        <v>46873</v>
      </c>
      <c r="K25" s="3177" t="s">
        <v>3500</v>
      </c>
      <c r="L25" s="3178" t="s">
        <v>3500</v>
      </c>
      <c r="M25" s="3179">
        <v>157.5</v>
      </c>
      <c r="N25" s="3179">
        <f t="shared" si="0"/>
        <v>5.25</v>
      </c>
      <c r="O25" s="3180">
        <v>119897</v>
      </c>
      <c r="P25" s="3176" t="str">
        <f>VLOOKUP(B25,[9]总行格式!$B:$U,14,0)</f>
        <v>月</v>
      </c>
      <c r="Q25" s="3181" t="s">
        <v>3589</v>
      </c>
      <c r="R25" s="3176" t="s">
        <v>3590</v>
      </c>
      <c r="S25" s="3182" t="s">
        <v>3501</v>
      </c>
      <c r="T25" s="3176">
        <v>25</v>
      </c>
      <c r="U25" s="3176" t="s">
        <v>3502</v>
      </c>
      <c r="V25" s="3176"/>
      <c r="W25" s="3176"/>
    </row>
    <row r="26" spans="1:23" ht="12.95" customHeight="1">
      <c r="A26" s="3176" t="s">
        <v>670</v>
      </c>
      <c r="B26" s="3162" t="s">
        <v>3591</v>
      </c>
      <c r="C26" s="3162" t="s">
        <v>3592</v>
      </c>
      <c r="D26" s="3162" t="s">
        <v>3593</v>
      </c>
      <c r="E26" s="3176" t="s">
        <v>3499</v>
      </c>
      <c r="F26" s="3176" t="s">
        <v>3500</v>
      </c>
      <c r="G26" s="3163">
        <v>198</v>
      </c>
      <c r="H26" s="3164">
        <v>44986</v>
      </c>
      <c r="I26" s="3164">
        <v>45078</v>
      </c>
      <c r="J26" s="3164">
        <v>46904</v>
      </c>
      <c r="K26" s="3177" t="s">
        <v>3500</v>
      </c>
      <c r="L26" s="3178" t="s">
        <v>3500</v>
      </c>
      <c r="M26" s="3179">
        <v>190</v>
      </c>
      <c r="N26" s="3179">
        <f t="shared" si="0"/>
        <v>6.333333333333333</v>
      </c>
      <c r="O26" s="3180">
        <v>435600</v>
      </c>
      <c r="P26" s="3176" t="str">
        <f>VLOOKUP(B26,[9]总行格式!$B:$U,14,0)</f>
        <v>月</v>
      </c>
      <c r="Q26" s="3181" t="s">
        <v>3594</v>
      </c>
      <c r="R26" s="3176"/>
      <c r="S26" s="3182" t="s">
        <v>3501</v>
      </c>
      <c r="T26" s="3176">
        <v>25</v>
      </c>
      <c r="U26" s="3176" t="s">
        <v>3502</v>
      </c>
      <c r="V26" s="3176"/>
      <c r="W26" s="3176"/>
    </row>
    <row r="27" spans="1:23" ht="12.95" customHeight="1">
      <c r="A27" s="3176" t="s">
        <v>670</v>
      </c>
      <c r="B27" s="3162" t="s">
        <v>3595</v>
      </c>
      <c r="C27" s="3162" t="s">
        <v>3596</v>
      </c>
      <c r="D27" s="3162" t="s">
        <v>3597</v>
      </c>
      <c r="E27" s="3176" t="s">
        <v>3499</v>
      </c>
      <c r="F27" s="3176" t="s">
        <v>3500</v>
      </c>
      <c r="G27" s="3163">
        <v>189.77</v>
      </c>
      <c r="H27" s="3164">
        <v>45078</v>
      </c>
      <c r="I27" s="3164">
        <v>45170</v>
      </c>
      <c r="J27" s="3164">
        <v>46265</v>
      </c>
      <c r="K27" s="3177" t="s">
        <v>3500</v>
      </c>
      <c r="L27" s="3178" t="s">
        <v>3500</v>
      </c>
      <c r="M27" s="3179">
        <v>160</v>
      </c>
      <c r="N27" s="3179">
        <f t="shared" si="0"/>
        <v>5.333333333333333</v>
      </c>
      <c r="O27" s="3180">
        <v>373846.9</v>
      </c>
      <c r="P27" s="3176" t="str">
        <f>VLOOKUP(B27,[9]总行格式!$B:$U,14,0)</f>
        <v>月</v>
      </c>
      <c r="Q27" s="3181" t="s">
        <v>3598</v>
      </c>
      <c r="R27" s="3176"/>
      <c r="S27" s="3182" t="s">
        <v>3501</v>
      </c>
      <c r="T27" s="3176">
        <v>25</v>
      </c>
      <c r="U27" s="3176" t="s">
        <v>3502</v>
      </c>
      <c r="V27" s="3176"/>
      <c r="W27" s="3176"/>
    </row>
    <row r="28" spans="1:23" ht="12.95" customHeight="1">
      <c r="A28" s="3176" t="s">
        <v>670</v>
      </c>
      <c r="B28" s="3162" t="s">
        <v>3599</v>
      </c>
      <c r="C28" s="3162" t="s">
        <v>3600</v>
      </c>
      <c r="D28" s="3162" t="s">
        <v>3601</v>
      </c>
      <c r="E28" s="3176" t="s">
        <v>3499</v>
      </c>
      <c r="F28" s="3176" t="s">
        <v>3500</v>
      </c>
      <c r="G28" s="3163">
        <v>328</v>
      </c>
      <c r="H28" s="3164">
        <v>46199</v>
      </c>
      <c r="I28" s="3164">
        <v>45103</v>
      </c>
      <c r="J28" s="3164">
        <v>48876</v>
      </c>
      <c r="K28" s="3177" t="s">
        <v>3500</v>
      </c>
      <c r="L28" s="3178" t="s">
        <v>3500</v>
      </c>
      <c r="M28" s="3179">
        <v>0</v>
      </c>
      <c r="N28" s="3179">
        <f t="shared" si="0"/>
        <v>0</v>
      </c>
      <c r="O28" s="3180">
        <v>152217</v>
      </c>
      <c r="P28" s="3176" t="str">
        <f>VLOOKUP(B28,[9]总行格式!$B:$U,14,0)</f>
        <v>月</v>
      </c>
      <c r="Q28" s="3181">
        <v>0</v>
      </c>
      <c r="R28" s="3176" t="s">
        <v>3602</v>
      </c>
      <c r="S28" s="3182" t="s">
        <v>3501</v>
      </c>
      <c r="T28" s="3176">
        <v>25</v>
      </c>
      <c r="U28" s="3176" t="s">
        <v>3502</v>
      </c>
      <c r="V28" s="3176"/>
      <c r="W28" s="3176"/>
    </row>
    <row r="29" spans="1:23" ht="12.95" customHeight="1">
      <c r="A29" s="3176" t="s">
        <v>670</v>
      </c>
      <c r="B29" s="3162" t="s">
        <v>3603</v>
      </c>
      <c r="C29" s="3162" t="s">
        <v>3604</v>
      </c>
      <c r="D29" s="3162" t="s">
        <v>3605</v>
      </c>
      <c r="E29" s="3176" t="s">
        <v>3499</v>
      </c>
      <c r="F29" s="3176" t="s">
        <v>3500</v>
      </c>
      <c r="G29" s="3163">
        <v>321.2</v>
      </c>
      <c r="H29" s="3164">
        <v>46199</v>
      </c>
      <c r="I29" s="3164">
        <v>45103</v>
      </c>
      <c r="J29" s="3164">
        <v>48876</v>
      </c>
      <c r="K29" s="3177" t="s">
        <v>3500</v>
      </c>
      <c r="L29" s="3178" t="s">
        <v>3500</v>
      </c>
      <c r="M29" s="3179">
        <v>0</v>
      </c>
      <c r="N29" s="3179">
        <f t="shared" si="0"/>
        <v>0</v>
      </c>
      <c r="O29" s="3180">
        <v>235338</v>
      </c>
      <c r="P29" s="3176" t="str">
        <f>VLOOKUP(B29,[9]总行格式!$B:$U,14,0)</f>
        <v>月</v>
      </c>
      <c r="Q29" s="3181">
        <v>0</v>
      </c>
      <c r="R29" s="3176" t="s">
        <v>3606</v>
      </c>
      <c r="S29" s="3182" t="s">
        <v>3501</v>
      </c>
      <c r="T29" s="3176">
        <v>25</v>
      </c>
      <c r="U29" s="3176" t="s">
        <v>3502</v>
      </c>
      <c r="V29" s="3176"/>
      <c r="W29" s="3176"/>
    </row>
    <row r="30" spans="1:23" ht="12.95" customHeight="1">
      <c r="A30" s="3176" t="s">
        <v>670</v>
      </c>
      <c r="B30" s="3162" t="s">
        <v>3607</v>
      </c>
      <c r="C30" s="3162" t="s">
        <v>3608</v>
      </c>
      <c r="D30" s="3162" t="s">
        <v>3609</v>
      </c>
      <c r="E30" s="3176" t="s">
        <v>3499</v>
      </c>
      <c r="F30" s="3176" t="s">
        <v>3500</v>
      </c>
      <c r="G30" s="3163">
        <v>83.16</v>
      </c>
      <c r="H30" s="3164">
        <v>45138</v>
      </c>
      <c r="I30" s="3164">
        <v>45184</v>
      </c>
      <c r="J30" s="3164">
        <v>46279</v>
      </c>
      <c r="K30" s="3177" t="s">
        <v>3500</v>
      </c>
      <c r="L30" s="3178" t="s">
        <v>3500</v>
      </c>
      <c r="M30" s="3179">
        <v>256</v>
      </c>
      <c r="N30" s="3179">
        <f t="shared" si="0"/>
        <v>8.5333333333333332</v>
      </c>
      <c r="O30" s="3180">
        <v>265118.53999999998</v>
      </c>
      <c r="P30" s="3176" t="str">
        <f>VLOOKUP(B30,[9]总行格式!$B:$U,14,0)</f>
        <v>月</v>
      </c>
      <c r="Q30" s="3181" t="s">
        <v>3610</v>
      </c>
      <c r="R30" s="3176"/>
      <c r="S30" s="3182" t="s">
        <v>3501</v>
      </c>
      <c r="T30" s="3176">
        <v>25</v>
      </c>
      <c r="U30" s="3176" t="s">
        <v>3502</v>
      </c>
      <c r="V30" s="3176"/>
      <c r="W30" s="3176"/>
    </row>
    <row r="31" spans="1:23" ht="12.95" customHeight="1">
      <c r="A31" s="3176" t="s">
        <v>670</v>
      </c>
      <c r="B31" s="3162" t="s">
        <v>3611</v>
      </c>
      <c r="C31" s="3162" t="s">
        <v>3612</v>
      </c>
      <c r="D31" s="3162" t="s">
        <v>3613</v>
      </c>
      <c r="E31" s="3176" t="s">
        <v>3499</v>
      </c>
      <c r="F31" s="3176" t="s">
        <v>3500</v>
      </c>
      <c r="G31" s="3163">
        <v>76.209999999999994</v>
      </c>
      <c r="H31" s="3164">
        <v>45154</v>
      </c>
      <c r="I31" s="3164">
        <v>45184</v>
      </c>
      <c r="J31" s="3164">
        <v>46279</v>
      </c>
      <c r="K31" s="3177" t="s">
        <v>3500</v>
      </c>
      <c r="L31" s="3178" t="s">
        <v>3500</v>
      </c>
      <c r="M31" s="3179">
        <v>170</v>
      </c>
      <c r="N31" s="3179">
        <f t="shared" si="0"/>
        <v>5.666666666666667</v>
      </c>
      <c r="O31" s="3180">
        <v>158923.25</v>
      </c>
      <c r="P31" s="3176" t="str">
        <f>VLOOKUP(B31,[9]总行格式!$B:$U,14,0)</f>
        <v>月</v>
      </c>
      <c r="Q31" s="3181" t="s">
        <v>3614</v>
      </c>
      <c r="R31" s="3176"/>
      <c r="S31" s="3182" t="s">
        <v>3501</v>
      </c>
      <c r="T31" s="3176">
        <v>25</v>
      </c>
      <c r="U31" s="3176" t="s">
        <v>3502</v>
      </c>
      <c r="V31" s="3176"/>
      <c r="W31" s="3176"/>
    </row>
    <row r="32" spans="1:23" ht="12.95" customHeight="1">
      <c r="A32" s="3176" t="s">
        <v>670</v>
      </c>
      <c r="B32" s="3162" t="s">
        <v>3615</v>
      </c>
      <c r="C32" s="3162" t="s">
        <v>3616</v>
      </c>
      <c r="D32" s="3162" t="s">
        <v>3617</v>
      </c>
      <c r="E32" s="3176" t="s">
        <v>3499</v>
      </c>
      <c r="F32" s="3176" t="s">
        <v>3500</v>
      </c>
      <c r="G32" s="3163">
        <v>1935</v>
      </c>
      <c r="H32" s="3164">
        <v>45268</v>
      </c>
      <c r="I32" s="3164">
        <v>45268</v>
      </c>
      <c r="J32" s="3164">
        <v>48135</v>
      </c>
      <c r="K32" s="3177" t="s">
        <v>3500</v>
      </c>
      <c r="L32" s="3178" t="s">
        <v>3500</v>
      </c>
      <c r="M32" s="3179">
        <v>37.72</v>
      </c>
      <c r="N32" s="3179">
        <f t="shared" si="0"/>
        <v>1.2573333333333332</v>
      </c>
      <c r="O32" s="3180">
        <v>875784</v>
      </c>
      <c r="P32" s="3176" t="str">
        <f>VLOOKUP(B32,[9]总行格式!$B:$U,14,0)</f>
        <v>月</v>
      </c>
      <c r="Q32" s="3181" t="s">
        <v>3618</v>
      </c>
      <c r="R32" s="3176"/>
      <c r="S32" s="3182" t="s">
        <v>3501</v>
      </c>
      <c r="T32" s="3176">
        <v>25</v>
      </c>
      <c r="U32" s="3176" t="s">
        <v>3502</v>
      </c>
      <c r="V32" s="3176"/>
      <c r="W32" s="3176"/>
    </row>
    <row r="33" spans="1:23" ht="12.95" customHeight="1">
      <c r="A33" s="3176" t="s">
        <v>670</v>
      </c>
      <c r="B33" s="3162" t="s">
        <v>3619</v>
      </c>
      <c r="C33" s="3162" t="s">
        <v>3620</v>
      </c>
      <c r="D33" s="3162" t="s">
        <v>3621</v>
      </c>
      <c r="E33" s="3176" t="s">
        <v>3499</v>
      </c>
      <c r="F33" s="3176" t="s">
        <v>3500</v>
      </c>
      <c r="G33" s="3163">
        <v>83</v>
      </c>
      <c r="H33" s="3164">
        <v>45231</v>
      </c>
      <c r="I33" s="3164">
        <v>45280</v>
      </c>
      <c r="J33" s="3164">
        <v>47106</v>
      </c>
      <c r="K33" s="3177" t="s">
        <v>3500</v>
      </c>
      <c r="L33" s="3178" t="s">
        <v>3500</v>
      </c>
      <c r="M33" s="3179">
        <v>180</v>
      </c>
      <c r="N33" s="3179">
        <f t="shared" si="0"/>
        <v>6</v>
      </c>
      <c r="O33" s="3180">
        <v>180431.29</v>
      </c>
      <c r="P33" s="3176" t="str">
        <f>VLOOKUP(B33,[9]总行格式!$B:$U,14,0)</f>
        <v>月</v>
      </c>
      <c r="Q33" s="3181" t="s">
        <v>3622</v>
      </c>
      <c r="R33" s="3176"/>
      <c r="S33" s="3182" t="s">
        <v>3501</v>
      </c>
      <c r="T33" s="3176">
        <v>25</v>
      </c>
      <c r="U33" s="3176" t="s">
        <v>3502</v>
      </c>
      <c r="V33" s="3176"/>
      <c r="W33" s="3176"/>
    </row>
    <row r="34" spans="1:23" ht="12.95" customHeight="1">
      <c r="A34" s="3176" t="s">
        <v>670</v>
      </c>
      <c r="B34" s="3162" t="s">
        <v>3623</v>
      </c>
      <c r="C34" s="3162" t="s">
        <v>3624</v>
      </c>
      <c r="D34" s="3162" t="s">
        <v>3625</v>
      </c>
      <c r="E34" s="3176" t="s">
        <v>3499</v>
      </c>
      <c r="F34" s="3176" t="s">
        <v>3500</v>
      </c>
      <c r="G34" s="3163">
        <v>233.79</v>
      </c>
      <c r="H34" s="3164">
        <v>45194</v>
      </c>
      <c r="I34" s="3164">
        <v>45255</v>
      </c>
      <c r="J34" s="3164">
        <v>47081</v>
      </c>
      <c r="K34" s="3177" t="s">
        <v>3500</v>
      </c>
      <c r="L34" s="3178" t="s">
        <v>3500</v>
      </c>
      <c r="M34" s="3179">
        <v>212</v>
      </c>
      <c r="N34" s="3179">
        <f t="shared" si="0"/>
        <v>7.0666666666666664</v>
      </c>
      <c r="O34" s="3180">
        <v>601304.14</v>
      </c>
      <c r="P34" s="3176" t="str">
        <f>VLOOKUP(B34,[9]总行格式!$B:$U,14,0)</f>
        <v>月</v>
      </c>
      <c r="Q34" s="3181" t="s">
        <v>3626</v>
      </c>
      <c r="R34" s="3176" t="s">
        <v>3499</v>
      </c>
      <c r="S34" s="3182" t="s">
        <v>3501</v>
      </c>
      <c r="T34" s="3176">
        <v>25</v>
      </c>
      <c r="U34" s="3176" t="s">
        <v>3502</v>
      </c>
      <c r="V34" s="3176"/>
      <c r="W34" s="3176"/>
    </row>
    <row r="35" spans="1:23" ht="12.95" customHeight="1">
      <c r="A35" s="3176" t="s">
        <v>670</v>
      </c>
      <c r="B35" s="3162" t="s">
        <v>3627</v>
      </c>
      <c r="C35" s="3162" t="s">
        <v>3628</v>
      </c>
      <c r="D35" s="3162" t="s">
        <v>3629</v>
      </c>
      <c r="E35" s="3176" t="s">
        <v>3499</v>
      </c>
      <c r="F35" s="3176" t="s">
        <v>3500</v>
      </c>
      <c r="G35" s="3163">
        <v>110.64</v>
      </c>
      <c r="H35" s="3164">
        <v>45268</v>
      </c>
      <c r="I35" s="3164">
        <v>45314</v>
      </c>
      <c r="J35" s="3164">
        <v>46409</v>
      </c>
      <c r="K35" s="3177" t="s">
        <v>3500</v>
      </c>
      <c r="L35" s="3178" t="s">
        <v>3500</v>
      </c>
      <c r="M35" s="3179">
        <v>140</v>
      </c>
      <c r="N35" s="3179">
        <f t="shared" si="0"/>
        <v>4.666666666666667</v>
      </c>
      <c r="O35" s="3180">
        <v>197313.64</v>
      </c>
      <c r="P35" s="3176" t="str">
        <f>VLOOKUP(B35,[9]总行格式!$B:$U,14,0)</f>
        <v>月</v>
      </c>
      <c r="Q35" s="3181" t="s">
        <v>3630</v>
      </c>
      <c r="R35" s="3176"/>
      <c r="S35" s="3182" t="s">
        <v>3501</v>
      </c>
      <c r="T35" s="3176">
        <v>25</v>
      </c>
      <c r="U35" s="3176" t="s">
        <v>3502</v>
      </c>
      <c r="V35" s="3176"/>
      <c r="W35" s="3176"/>
    </row>
    <row r="36" spans="1:23" ht="12.95" customHeight="1">
      <c r="A36" s="3176" t="s">
        <v>670</v>
      </c>
      <c r="B36" s="3162" t="s">
        <v>3631</v>
      </c>
      <c r="C36" s="3162" t="s">
        <v>3632</v>
      </c>
      <c r="D36" s="3162" t="s">
        <v>3633</v>
      </c>
      <c r="E36" s="3176" t="s">
        <v>3499</v>
      </c>
      <c r="F36" s="3176" t="s">
        <v>3500</v>
      </c>
      <c r="G36" s="3163">
        <v>2068.23</v>
      </c>
      <c r="H36" s="3164">
        <v>45380</v>
      </c>
      <c r="I36" s="3164">
        <v>45597</v>
      </c>
      <c r="J36" s="3164">
        <v>48971</v>
      </c>
      <c r="K36" s="3177" t="s">
        <v>3500</v>
      </c>
      <c r="L36" s="3178" t="s">
        <v>3500</v>
      </c>
      <c r="M36" s="3179">
        <v>60</v>
      </c>
      <c r="N36" s="3179">
        <f t="shared" si="0"/>
        <v>2</v>
      </c>
      <c r="O36" s="3180">
        <v>868651</v>
      </c>
      <c r="P36" s="3176" t="str">
        <f>VLOOKUP(B36,[9]总行格式!$B:$U,14,0)</f>
        <v>月</v>
      </c>
      <c r="Q36" s="3181" t="s">
        <v>3634</v>
      </c>
      <c r="R36" s="3176" t="s">
        <v>3635</v>
      </c>
      <c r="S36" s="3182" t="s">
        <v>3501</v>
      </c>
      <c r="T36" s="3176">
        <v>25</v>
      </c>
      <c r="U36" s="3176" t="s">
        <v>3502</v>
      </c>
      <c r="V36" s="3176"/>
      <c r="W36" s="3176"/>
    </row>
    <row r="37" spans="1:23" ht="12.95" customHeight="1">
      <c r="A37" s="3176" t="s">
        <v>670</v>
      </c>
      <c r="B37" s="3162" t="s">
        <v>3636</v>
      </c>
      <c r="C37" s="3162" t="s">
        <v>3637</v>
      </c>
      <c r="D37" s="3162" t="s">
        <v>3638</v>
      </c>
      <c r="E37" s="3176" t="s">
        <v>3499</v>
      </c>
      <c r="F37" s="3176" t="s">
        <v>3500</v>
      </c>
      <c r="G37" s="3163">
        <v>1071.67</v>
      </c>
      <c r="H37" s="3164">
        <v>45189</v>
      </c>
      <c r="I37" s="3164">
        <v>45627</v>
      </c>
      <c r="J37" s="3164">
        <v>48963</v>
      </c>
      <c r="K37" s="3177" t="s">
        <v>3500</v>
      </c>
      <c r="L37" s="3178" t="s">
        <v>3500</v>
      </c>
      <c r="M37" s="3179">
        <v>60</v>
      </c>
      <c r="N37" s="3179">
        <f t="shared" si="0"/>
        <v>2</v>
      </c>
      <c r="O37" s="3180">
        <v>450101.4</v>
      </c>
      <c r="P37" s="3176" t="str">
        <f>VLOOKUP(B37,[9]总行格式!$B:$U,14,0)</f>
        <v>月</v>
      </c>
      <c r="Q37" s="3181" t="s">
        <v>3639</v>
      </c>
      <c r="R37" s="3176" t="s">
        <v>3499</v>
      </c>
      <c r="S37" s="3182" t="s">
        <v>3501</v>
      </c>
      <c r="T37" s="3176">
        <v>25</v>
      </c>
      <c r="U37" s="3176" t="s">
        <v>3502</v>
      </c>
      <c r="V37" s="3176"/>
      <c r="W37" s="3176"/>
    </row>
    <row r="38" spans="1:23" ht="12.95" customHeight="1">
      <c r="A38" s="3176" t="s">
        <v>670</v>
      </c>
      <c r="B38" s="3162" t="s">
        <v>3636</v>
      </c>
      <c r="C38" s="3162" t="s">
        <v>3640</v>
      </c>
      <c r="D38" s="3162" t="s">
        <v>3641</v>
      </c>
      <c r="E38" s="3176" t="s">
        <v>3499</v>
      </c>
      <c r="F38" s="3176" t="s">
        <v>3500</v>
      </c>
      <c r="G38" s="3163">
        <v>929.78</v>
      </c>
      <c r="H38" s="3164">
        <v>45189</v>
      </c>
      <c r="I38" s="3164">
        <v>45383</v>
      </c>
      <c r="J38" s="3164">
        <v>48963</v>
      </c>
      <c r="K38" s="3177" t="s">
        <v>3500</v>
      </c>
      <c r="L38" s="3178" t="s">
        <v>3500</v>
      </c>
      <c r="M38" s="3179">
        <v>60</v>
      </c>
      <c r="N38" s="3179">
        <f t="shared" si="0"/>
        <v>2</v>
      </c>
      <c r="O38" s="3180">
        <v>502081.2</v>
      </c>
      <c r="P38" s="3176" t="str">
        <f>VLOOKUP(B38,[9]总行格式!$B:$U,14,0)</f>
        <v>月</v>
      </c>
      <c r="Q38" s="3181" t="s">
        <v>3639</v>
      </c>
      <c r="R38" s="3176" t="s">
        <v>3499</v>
      </c>
      <c r="S38" s="3182" t="s">
        <v>3501</v>
      </c>
      <c r="T38" s="3176">
        <v>25</v>
      </c>
      <c r="U38" s="3176" t="s">
        <v>3502</v>
      </c>
      <c r="V38" s="3176"/>
      <c r="W38" s="3176"/>
    </row>
    <row r="39" spans="1:23" ht="12.95" customHeight="1">
      <c r="A39" s="3176" t="s">
        <v>670</v>
      </c>
      <c r="B39" s="3162" t="s">
        <v>3642</v>
      </c>
      <c r="C39" s="3162" t="s">
        <v>3643</v>
      </c>
      <c r="D39" s="3162" t="s">
        <v>3644</v>
      </c>
      <c r="E39" s="3176" t="s">
        <v>3499</v>
      </c>
      <c r="F39" s="3176" t="s">
        <v>3500</v>
      </c>
      <c r="G39" s="3163">
        <v>108.47</v>
      </c>
      <c r="H39" s="3164">
        <v>45261</v>
      </c>
      <c r="I39" s="3164">
        <v>45323</v>
      </c>
      <c r="J39" s="3164">
        <v>47149</v>
      </c>
      <c r="K39" s="3177" t="s">
        <v>3500</v>
      </c>
      <c r="L39" s="3178" t="s">
        <v>3500</v>
      </c>
      <c r="M39" s="3179">
        <v>95.4</v>
      </c>
      <c r="N39" s="3179">
        <f t="shared" si="0"/>
        <v>3.18</v>
      </c>
      <c r="O39" s="3180">
        <v>124176.48</v>
      </c>
      <c r="P39" s="3176" t="str">
        <f>VLOOKUP(B39,[9]总行格式!$B:$U,14,0)</f>
        <v>月</v>
      </c>
      <c r="Q39" s="3181" t="s">
        <v>3645</v>
      </c>
      <c r="R39" s="3176"/>
      <c r="S39" s="3182" t="s">
        <v>3501</v>
      </c>
      <c r="T39" s="3176">
        <v>25</v>
      </c>
      <c r="U39" s="3176" t="s">
        <v>3502</v>
      </c>
      <c r="V39" s="3176"/>
      <c r="W39" s="3176"/>
    </row>
    <row r="40" spans="1:23" ht="12.95" customHeight="1">
      <c r="A40" s="3176" t="s">
        <v>670</v>
      </c>
      <c r="B40" s="3162" t="s">
        <v>3646</v>
      </c>
      <c r="C40" s="3162" t="s">
        <v>3647</v>
      </c>
      <c r="D40" s="3162" t="s">
        <v>3648</v>
      </c>
      <c r="E40" s="3176" t="s">
        <v>3499</v>
      </c>
      <c r="F40" s="3176" t="s">
        <v>3500</v>
      </c>
      <c r="G40" s="3163">
        <v>149.96</v>
      </c>
      <c r="H40" s="3164">
        <v>45278</v>
      </c>
      <c r="I40" s="3164">
        <v>45323</v>
      </c>
      <c r="J40" s="3164">
        <v>46418</v>
      </c>
      <c r="K40" s="3177" t="s">
        <v>3500</v>
      </c>
      <c r="L40" s="3178" t="s">
        <v>3500</v>
      </c>
      <c r="M40" s="3179">
        <v>162</v>
      </c>
      <c r="N40" s="3179">
        <f t="shared" si="0"/>
        <v>5.4</v>
      </c>
      <c r="O40" s="3180">
        <v>291522.24</v>
      </c>
      <c r="P40" s="3176" t="e">
        <f>VLOOKUP(B40,[9]总行格式!$B:$U,14,0)</f>
        <v>#N/A</v>
      </c>
      <c r="Q40" s="3181" t="s">
        <v>3649</v>
      </c>
      <c r="R40" s="3176"/>
      <c r="S40" s="3182" t="s">
        <v>3501</v>
      </c>
      <c r="T40" s="3176">
        <v>25</v>
      </c>
      <c r="U40" s="3176" t="s">
        <v>3502</v>
      </c>
      <c r="V40" s="3176"/>
      <c r="W40" s="3176"/>
    </row>
    <row r="41" spans="1:23" ht="12.95" customHeight="1">
      <c r="A41" s="3176" t="s">
        <v>670</v>
      </c>
      <c r="B41" s="3162" t="s">
        <v>3650</v>
      </c>
      <c r="C41" s="3162" t="s">
        <v>3651</v>
      </c>
      <c r="D41" s="3162" t="s">
        <v>3652</v>
      </c>
      <c r="E41" s="3176" t="s">
        <v>3499</v>
      </c>
      <c r="F41" s="3176" t="s">
        <v>3500</v>
      </c>
      <c r="G41" s="3163">
        <v>348.57</v>
      </c>
      <c r="H41" s="3164">
        <v>45317</v>
      </c>
      <c r="I41" s="3164">
        <v>45402</v>
      </c>
      <c r="J41" s="3164">
        <v>47227</v>
      </c>
      <c r="K41" s="3177" t="s">
        <v>3500</v>
      </c>
      <c r="L41" s="3178" t="s">
        <v>3500</v>
      </c>
      <c r="M41" s="3179">
        <v>0</v>
      </c>
      <c r="N41" s="3179">
        <f t="shared" si="0"/>
        <v>0</v>
      </c>
      <c r="O41" s="3180">
        <v>226285</v>
      </c>
      <c r="P41" s="3176" t="str">
        <f>VLOOKUP(B41,[9]总行格式!$B:$U,14,0)</f>
        <v>月</v>
      </c>
      <c r="Q41" s="3181">
        <v>0</v>
      </c>
      <c r="R41" s="3176" t="s">
        <v>3653</v>
      </c>
      <c r="S41" s="3182" t="s">
        <v>3501</v>
      </c>
      <c r="T41" s="3176">
        <v>25</v>
      </c>
      <c r="U41" s="3176" t="s">
        <v>3502</v>
      </c>
      <c r="V41" s="3176"/>
      <c r="W41" s="3176"/>
    </row>
    <row r="42" spans="1:23" ht="12.95" customHeight="1">
      <c r="A42" s="3176" t="s">
        <v>670</v>
      </c>
      <c r="B42" s="3162" t="s">
        <v>3654</v>
      </c>
      <c r="C42" s="3162" t="s">
        <v>3655</v>
      </c>
      <c r="D42" s="3162" t="s">
        <v>3656</v>
      </c>
      <c r="E42" s="3176" t="s">
        <v>3499</v>
      </c>
      <c r="F42" s="3176" t="s">
        <v>3500</v>
      </c>
      <c r="G42" s="3163">
        <v>120.39</v>
      </c>
      <c r="H42" s="3164">
        <v>45356</v>
      </c>
      <c r="I42" s="3164">
        <v>45413</v>
      </c>
      <c r="J42" s="3164">
        <v>46873</v>
      </c>
      <c r="K42" s="3177" t="s">
        <v>3500</v>
      </c>
      <c r="L42" s="3178" t="s">
        <v>3500</v>
      </c>
      <c r="M42" s="3179">
        <v>143.1</v>
      </c>
      <c r="N42" s="3179">
        <f t="shared" si="0"/>
        <v>4.7699999999999996</v>
      </c>
      <c r="O42" s="3180">
        <v>203808.24</v>
      </c>
      <c r="P42" s="3176" t="str">
        <f>VLOOKUP(B42,[9]总行格式!$B:$U,14,0)</f>
        <v>月</v>
      </c>
      <c r="Q42" s="3181" t="s">
        <v>3657</v>
      </c>
      <c r="R42" s="3176"/>
      <c r="S42" s="3182" t="s">
        <v>3501</v>
      </c>
      <c r="T42" s="3176">
        <v>25</v>
      </c>
      <c r="U42" s="3176" t="s">
        <v>3502</v>
      </c>
      <c r="V42" s="3176"/>
      <c r="W42" s="3176"/>
    </row>
    <row r="43" spans="1:23" ht="12.95" customHeight="1">
      <c r="A43" s="3176" t="s">
        <v>670</v>
      </c>
      <c r="B43" s="3162" t="s">
        <v>3658</v>
      </c>
      <c r="C43" s="3162" t="s">
        <v>3659</v>
      </c>
      <c r="D43" s="3162" t="s">
        <v>3660</v>
      </c>
      <c r="E43" s="3176" t="s">
        <v>3499</v>
      </c>
      <c r="F43" s="3176" t="s">
        <v>3500</v>
      </c>
      <c r="G43" s="3163">
        <v>1434.07</v>
      </c>
      <c r="H43" s="3164">
        <v>44986</v>
      </c>
      <c r="I43" s="3164">
        <v>45108</v>
      </c>
      <c r="J43" s="3164">
        <v>46703</v>
      </c>
      <c r="K43" s="3177" t="s">
        <v>3500</v>
      </c>
      <c r="L43" s="3178" t="s">
        <v>3500</v>
      </c>
      <c r="M43" s="3179">
        <v>0</v>
      </c>
      <c r="N43" s="3179">
        <f t="shared" si="0"/>
        <v>0</v>
      </c>
      <c r="O43" s="3180">
        <v>706996.56</v>
      </c>
      <c r="P43" s="3176" t="str">
        <f>VLOOKUP(B43,[9]总行格式!$B:$U,14,0)</f>
        <v>月</v>
      </c>
      <c r="Q43" s="3181">
        <v>0</v>
      </c>
      <c r="R43" s="3176" t="s">
        <v>3499</v>
      </c>
      <c r="S43" s="3182" t="s">
        <v>3501</v>
      </c>
      <c r="T43" s="3176">
        <v>25</v>
      </c>
      <c r="U43" s="3176" t="s">
        <v>3502</v>
      </c>
      <c r="V43" s="3176"/>
      <c r="W43" s="3176"/>
    </row>
    <row r="44" spans="1:23" ht="12.95" customHeight="1">
      <c r="A44" s="3176" t="s">
        <v>670</v>
      </c>
      <c r="B44" s="3162" t="s">
        <v>3661</v>
      </c>
      <c r="C44" s="3162" t="s">
        <v>3662</v>
      </c>
      <c r="D44" s="3162" t="s">
        <v>3663</v>
      </c>
      <c r="E44" s="3176" t="s">
        <v>3499</v>
      </c>
      <c r="F44" s="3176" t="s">
        <v>3500</v>
      </c>
      <c r="G44" s="3163">
        <v>329.59</v>
      </c>
      <c r="H44" s="3164">
        <v>45349</v>
      </c>
      <c r="I44" s="3164">
        <v>45440</v>
      </c>
      <c r="J44" s="3164">
        <v>47265</v>
      </c>
      <c r="K44" s="3177" t="s">
        <v>3500</v>
      </c>
      <c r="L44" s="3178" t="s">
        <v>3500</v>
      </c>
      <c r="M44" s="3179">
        <v>0</v>
      </c>
      <c r="N44" s="3179">
        <f t="shared" si="0"/>
        <v>0</v>
      </c>
      <c r="O44" s="3180">
        <v>135692</v>
      </c>
      <c r="P44" s="3176" t="e">
        <f>VLOOKUP(B44,[9]总行格式!$B:$U,14,0)</f>
        <v>#N/A</v>
      </c>
      <c r="Q44" s="3181">
        <v>0</v>
      </c>
      <c r="R44" s="3176" t="s">
        <v>3664</v>
      </c>
      <c r="S44" s="3182" t="s">
        <v>3501</v>
      </c>
      <c r="T44" s="3176">
        <v>25</v>
      </c>
      <c r="U44" s="3176" t="s">
        <v>3502</v>
      </c>
      <c r="V44" s="3176"/>
      <c r="W44" s="3176"/>
    </row>
    <row r="45" spans="1:23" ht="12.95" customHeight="1">
      <c r="A45" s="3176" t="s">
        <v>670</v>
      </c>
      <c r="B45" s="3162" t="s">
        <v>3665</v>
      </c>
      <c r="C45" s="3162" t="s">
        <v>3666</v>
      </c>
      <c r="D45" s="3162" t="s">
        <v>3667</v>
      </c>
      <c r="E45" s="3176" t="s">
        <v>3499</v>
      </c>
      <c r="F45" s="3176" t="s">
        <v>3500</v>
      </c>
      <c r="G45" s="3163">
        <v>2450</v>
      </c>
      <c r="H45" s="3164">
        <v>45454</v>
      </c>
      <c r="I45" s="3164">
        <v>45658</v>
      </c>
      <c r="J45" s="3164">
        <v>51104</v>
      </c>
      <c r="K45" s="3177" t="s">
        <v>3500</v>
      </c>
      <c r="L45" s="3178" t="s">
        <v>3500</v>
      </c>
      <c r="M45" s="3179">
        <v>0</v>
      </c>
      <c r="N45" s="3179">
        <f t="shared" si="0"/>
        <v>0</v>
      </c>
      <c r="O45" s="3180">
        <v>416666.64</v>
      </c>
      <c r="P45" s="3176" t="str">
        <f>VLOOKUP(B45,[9]总行格式!$B:$U,14,0)</f>
        <v>月</v>
      </c>
      <c r="Q45" s="3181">
        <v>0</v>
      </c>
      <c r="R45" s="3176" t="s">
        <v>3499</v>
      </c>
      <c r="S45" s="3182" t="s">
        <v>3501</v>
      </c>
      <c r="T45" s="3176">
        <v>25</v>
      </c>
      <c r="U45" s="3176" t="s">
        <v>3502</v>
      </c>
      <c r="V45" s="3176"/>
      <c r="W45" s="3176"/>
    </row>
    <row r="46" spans="1:23" ht="12.95" customHeight="1">
      <c r="A46" s="3176" t="s">
        <v>670</v>
      </c>
      <c r="B46" s="3162" t="s">
        <v>3668</v>
      </c>
      <c r="C46" s="3162" t="s">
        <v>3669</v>
      </c>
      <c r="D46" s="3162" t="s">
        <v>3670</v>
      </c>
      <c r="E46" s="3176" t="s">
        <v>3499</v>
      </c>
      <c r="F46" s="3176" t="s">
        <v>3500</v>
      </c>
      <c r="G46" s="3163">
        <v>620.53</v>
      </c>
      <c r="H46" s="3164">
        <v>44620</v>
      </c>
      <c r="I46" s="3164">
        <v>44730</v>
      </c>
      <c r="J46" s="3164">
        <v>46921</v>
      </c>
      <c r="K46" s="3177" t="s">
        <v>3500</v>
      </c>
      <c r="L46" s="3178" t="s">
        <v>3500</v>
      </c>
      <c r="M46" s="3179">
        <v>65</v>
      </c>
      <c r="N46" s="3179">
        <f t="shared" si="0"/>
        <v>2.1666666666666665</v>
      </c>
      <c r="O46" s="3180">
        <v>484013.4</v>
      </c>
      <c r="P46" s="3176" t="str">
        <f>VLOOKUP(B46,[9]总行格式!$B:$U,14,0)</f>
        <v>月</v>
      </c>
      <c r="Q46" s="3181" t="s">
        <v>3671</v>
      </c>
      <c r="R46" s="3176" t="s">
        <v>3499</v>
      </c>
      <c r="S46" s="3182" t="s">
        <v>3501</v>
      </c>
      <c r="T46" s="3176">
        <v>25</v>
      </c>
      <c r="U46" s="3176" t="s">
        <v>3502</v>
      </c>
      <c r="V46" s="3176"/>
      <c r="W46" s="3176"/>
    </row>
    <row r="47" spans="1:23" ht="12.95" customHeight="1">
      <c r="A47" s="3176" t="s">
        <v>670</v>
      </c>
      <c r="B47" s="3162" t="s">
        <v>3672</v>
      </c>
      <c r="C47" s="3162" t="s">
        <v>3673</v>
      </c>
      <c r="D47" s="3162" t="s">
        <v>3674</v>
      </c>
      <c r="E47" s="3176" t="s">
        <v>3499</v>
      </c>
      <c r="F47" s="3176" t="s">
        <v>3500</v>
      </c>
      <c r="G47" s="3163">
        <v>130.74</v>
      </c>
      <c r="H47" s="3164">
        <v>45419</v>
      </c>
      <c r="I47" s="3164">
        <v>45464</v>
      </c>
      <c r="J47" s="3164">
        <v>46558</v>
      </c>
      <c r="K47" s="3177" t="s">
        <v>3500</v>
      </c>
      <c r="L47" s="3178" t="s">
        <v>3500</v>
      </c>
      <c r="M47" s="3179">
        <v>100</v>
      </c>
      <c r="N47" s="3179">
        <f t="shared" si="0"/>
        <v>3.3333333333333335</v>
      </c>
      <c r="O47" s="3180">
        <v>162640.56</v>
      </c>
      <c r="P47" s="3176" t="str">
        <f>VLOOKUP(B47,[9]总行格式!$B:$U,14,0)</f>
        <v>月</v>
      </c>
      <c r="Q47" s="3181" t="s">
        <v>3675</v>
      </c>
      <c r="R47" s="3176"/>
      <c r="S47" s="3182" t="s">
        <v>3501</v>
      </c>
      <c r="T47" s="3176">
        <v>25</v>
      </c>
      <c r="U47" s="3176" t="s">
        <v>3502</v>
      </c>
      <c r="V47" s="3176"/>
      <c r="W47" s="3176"/>
    </row>
    <row r="48" spans="1:23" ht="12.95" customHeight="1">
      <c r="A48" s="3176" t="s">
        <v>670</v>
      </c>
      <c r="B48" s="3162" t="s">
        <v>3676</v>
      </c>
      <c r="C48" s="3162" t="s">
        <v>3677</v>
      </c>
      <c r="D48" s="3162" t="s">
        <v>3678</v>
      </c>
      <c r="E48" s="3176" t="s">
        <v>3499</v>
      </c>
      <c r="F48" s="3176" t="s">
        <v>3500</v>
      </c>
      <c r="G48" s="3163">
        <v>426.71</v>
      </c>
      <c r="H48" s="3164">
        <v>45490</v>
      </c>
      <c r="I48" s="3164">
        <v>45595</v>
      </c>
      <c r="J48" s="3164">
        <v>47420</v>
      </c>
      <c r="K48" s="3177" t="s">
        <v>3500</v>
      </c>
      <c r="L48" s="3178" t="s">
        <v>3500</v>
      </c>
      <c r="M48" s="3179">
        <v>110</v>
      </c>
      <c r="N48" s="3179">
        <f t="shared" si="0"/>
        <v>3.6666666666666665</v>
      </c>
      <c r="O48" s="3180">
        <v>476573.15</v>
      </c>
      <c r="P48" s="3176" t="str">
        <f>VLOOKUP(B48,[9]总行格式!$B:$U,14,0)</f>
        <v>月</v>
      </c>
      <c r="Q48" s="3181" t="s">
        <v>3679</v>
      </c>
      <c r="R48" s="3176"/>
      <c r="S48" s="3182" t="s">
        <v>3501</v>
      </c>
      <c r="T48" s="3176">
        <v>25</v>
      </c>
      <c r="U48" s="3176" t="s">
        <v>3502</v>
      </c>
      <c r="V48" s="3176"/>
      <c r="W48" s="3176"/>
    </row>
    <row r="49" spans="1:23" ht="12.95" customHeight="1">
      <c r="A49" s="3176" t="s">
        <v>670</v>
      </c>
      <c r="B49" s="3162" t="s">
        <v>3680</v>
      </c>
      <c r="C49" s="3162" t="s">
        <v>3681</v>
      </c>
      <c r="D49" s="3162" t="s">
        <v>3682</v>
      </c>
      <c r="E49" s="3176" t="s">
        <v>3499</v>
      </c>
      <c r="F49" s="3176" t="s">
        <v>3500</v>
      </c>
      <c r="G49" s="3163">
        <v>202.68</v>
      </c>
      <c r="H49" s="3164">
        <v>45461</v>
      </c>
      <c r="I49" s="3164">
        <v>45461</v>
      </c>
      <c r="J49" s="3164">
        <v>46203</v>
      </c>
      <c r="K49" s="3177" t="s">
        <v>3500</v>
      </c>
      <c r="L49" s="3178" t="s">
        <v>3500</v>
      </c>
      <c r="M49" s="3179">
        <v>251.5</v>
      </c>
      <c r="N49" s="3179">
        <f t="shared" si="0"/>
        <v>8.3833333333333329</v>
      </c>
      <c r="O49" s="3180">
        <v>591788.43999999994</v>
      </c>
      <c r="P49" s="3176" t="str">
        <f>VLOOKUP(B49,[9]总行格式!$B:$U,14,0)</f>
        <v>月</v>
      </c>
      <c r="Q49" s="3181">
        <v>0</v>
      </c>
      <c r="R49" s="3176"/>
      <c r="S49" s="3182" t="s">
        <v>3501</v>
      </c>
      <c r="T49" s="3176">
        <v>25</v>
      </c>
      <c r="U49" s="3176" t="s">
        <v>3502</v>
      </c>
      <c r="V49" s="3176"/>
      <c r="W49" s="3176"/>
    </row>
    <row r="50" spans="1:23" ht="12.95" customHeight="1">
      <c r="A50" s="3176" t="s">
        <v>670</v>
      </c>
      <c r="B50" s="3162" t="s">
        <v>3683</v>
      </c>
      <c r="C50" s="3162" t="s">
        <v>3684</v>
      </c>
      <c r="D50" s="3162" t="s">
        <v>3685</v>
      </c>
      <c r="E50" s="3176" t="s">
        <v>3499</v>
      </c>
      <c r="F50" s="3176" t="s">
        <v>3500</v>
      </c>
      <c r="G50" s="3163">
        <v>356.32</v>
      </c>
      <c r="H50" s="3164">
        <v>45505</v>
      </c>
      <c r="I50" s="3164">
        <v>45566</v>
      </c>
      <c r="J50" s="3164">
        <v>46660</v>
      </c>
      <c r="K50" s="3177" t="s">
        <v>3500</v>
      </c>
      <c r="L50" s="3178" t="s">
        <v>3500</v>
      </c>
      <c r="M50" s="3179">
        <v>152.08000000000001</v>
      </c>
      <c r="N50" s="3179">
        <f t="shared" si="0"/>
        <v>5.0693333333333337</v>
      </c>
      <c r="O50" s="3180">
        <v>667615.43999999994</v>
      </c>
      <c r="P50" s="3176" t="str">
        <f>VLOOKUP(B50,[9]总行格式!$B:$U,14,0)</f>
        <v>月</v>
      </c>
      <c r="Q50" s="3181" t="s">
        <v>3686</v>
      </c>
      <c r="R50" s="3176"/>
      <c r="S50" s="3182" t="s">
        <v>3501</v>
      </c>
      <c r="T50" s="3176">
        <v>25</v>
      </c>
      <c r="U50" s="3176" t="s">
        <v>3470</v>
      </c>
      <c r="V50" s="3176"/>
      <c r="W50" s="3176"/>
    </row>
    <row r="51" spans="1:23" ht="12.95" customHeight="1">
      <c r="A51" s="3176" t="s">
        <v>670</v>
      </c>
      <c r="B51" s="3162" t="s">
        <v>3687</v>
      </c>
      <c r="C51" s="3162" t="s">
        <v>3688</v>
      </c>
      <c r="D51" s="3162" t="s">
        <v>3689</v>
      </c>
      <c r="E51" s="3176" t="s">
        <v>3499</v>
      </c>
      <c r="F51" s="3176" t="s">
        <v>3500</v>
      </c>
      <c r="G51" s="3163">
        <v>125.59</v>
      </c>
      <c r="H51" s="3164">
        <v>45505</v>
      </c>
      <c r="I51" s="3164">
        <v>45549</v>
      </c>
      <c r="J51" s="3164">
        <v>47374</v>
      </c>
      <c r="K51" s="3177" t="s">
        <v>3500</v>
      </c>
      <c r="L51" s="3178" t="s">
        <v>3500</v>
      </c>
      <c r="M51" s="3179">
        <v>200</v>
      </c>
      <c r="N51" s="3179">
        <f t="shared" si="0"/>
        <v>6.666666666666667</v>
      </c>
      <c r="O51" s="3180">
        <v>308298.34000000003</v>
      </c>
      <c r="P51" s="3176" t="str">
        <f>VLOOKUP(B51,[9]总行格式!$B:$U,14,0)</f>
        <v>月</v>
      </c>
      <c r="Q51" s="3181" t="s">
        <v>3690</v>
      </c>
      <c r="R51" s="3176"/>
      <c r="S51" s="3182" t="s">
        <v>3501</v>
      </c>
      <c r="T51" s="3176">
        <v>25</v>
      </c>
      <c r="U51" s="3176" t="s">
        <v>3502</v>
      </c>
      <c r="V51" s="3176"/>
      <c r="W51" s="3176"/>
    </row>
    <row r="52" spans="1:23" ht="12.95" customHeight="1">
      <c r="A52" s="3176" t="s">
        <v>670</v>
      </c>
      <c r="B52" s="3162" t="s">
        <v>3691</v>
      </c>
      <c r="C52" s="3162" t="s">
        <v>3692</v>
      </c>
      <c r="D52" s="3162" t="s">
        <v>3693</v>
      </c>
      <c r="E52" s="3176" t="s">
        <v>3499</v>
      </c>
      <c r="F52" s="3176" t="s">
        <v>3500</v>
      </c>
      <c r="G52" s="3163">
        <v>91.5</v>
      </c>
      <c r="H52" s="3164">
        <v>45534</v>
      </c>
      <c r="I52" s="3164">
        <v>45566</v>
      </c>
      <c r="J52" s="3164">
        <v>46660</v>
      </c>
      <c r="K52" s="3177" t="s">
        <v>3500</v>
      </c>
      <c r="L52" s="3178" t="s">
        <v>3500</v>
      </c>
      <c r="M52" s="3179">
        <v>220</v>
      </c>
      <c r="N52" s="3179">
        <f t="shared" si="0"/>
        <v>7.333333333333333</v>
      </c>
      <c r="O52" s="3180">
        <v>247050</v>
      </c>
      <c r="P52" s="3176" t="str">
        <f>VLOOKUP(B52,[9]总行格式!$B:$U,14,0)</f>
        <v>月</v>
      </c>
      <c r="Q52" s="3181" t="s">
        <v>3694</v>
      </c>
      <c r="R52" s="3176"/>
      <c r="S52" s="3182" t="s">
        <v>3501</v>
      </c>
      <c r="T52" s="3176">
        <v>25</v>
      </c>
      <c r="U52" s="3176" t="s">
        <v>3502</v>
      </c>
      <c r="V52" s="3176"/>
      <c r="W52" s="3176"/>
    </row>
    <row r="53" spans="1:23" ht="12.95" customHeight="1">
      <c r="A53" s="3176" t="s">
        <v>670</v>
      </c>
      <c r="B53" s="3162" t="s">
        <v>3695</v>
      </c>
      <c r="C53" s="3162" t="s">
        <v>3696</v>
      </c>
      <c r="D53" s="3162" t="s">
        <v>3697</v>
      </c>
      <c r="E53" s="3176" t="s">
        <v>3499</v>
      </c>
      <c r="F53" s="3176" t="s">
        <v>3500</v>
      </c>
      <c r="G53" s="3163">
        <v>695.87</v>
      </c>
      <c r="H53" s="3164">
        <v>45537</v>
      </c>
      <c r="I53" s="3164">
        <v>45598</v>
      </c>
      <c r="J53" s="3164">
        <v>46692</v>
      </c>
      <c r="K53" s="3177" t="s">
        <v>3500</v>
      </c>
      <c r="L53" s="3178" t="s">
        <v>3500</v>
      </c>
      <c r="M53" s="3179">
        <v>12</v>
      </c>
      <c r="N53" s="3179">
        <f t="shared" si="0"/>
        <v>0.4</v>
      </c>
      <c r="O53" s="3180">
        <v>87271.08</v>
      </c>
      <c r="P53" s="3176" t="str">
        <f>VLOOKUP(B53,[9]总行格式!$B:$U,14,0)</f>
        <v>月</v>
      </c>
      <c r="Q53" s="3181" t="s">
        <v>3698</v>
      </c>
      <c r="R53" s="3176"/>
      <c r="S53" s="3182" t="s">
        <v>3501</v>
      </c>
      <c r="T53" s="3176">
        <v>25</v>
      </c>
      <c r="U53" s="3176" t="s">
        <v>3502</v>
      </c>
      <c r="V53" s="3176"/>
      <c r="W53" s="3176"/>
    </row>
    <row r="54" spans="1:23" ht="12.95" customHeight="1">
      <c r="A54" s="3176" t="s">
        <v>670</v>
      </c>
      <c r="B54" s="3162" t="s">
        <v>3699</v>
      </c>
      <c r="C54" s="3162" t="s">
        <v>3700</v>
      </c>
      <c r="D54" s="3162" t="s">
        <v>3701</v>
      </c>
      <c r="E54" s="3176" t="s">
        <v>3499</v>
      </c>
      <c r="F54" s="3176" t="s">
        <v>3500</v>
      </c>
      <c r="G54" s="3163">
        <v>16</v>
      </c>
      <c r="H54" s="3164">
        <v>45535</v>
      </c>
      <c r="I54" s="3164">
        <v>45566</v>
      </c>
      <c r="J54" s="3164">
        <v>46295</v>
      </c>
      <c r="K54" s="3177" t="s">
        <v>3500</v>
      </c>
      <c r="L54" s="3178" t="s">
        <v>3500</v>
      </c>
      <c r="M54" s="3179">
        <v>405</v>
      </c>
      <c r="N54" s="3179">
        <f t="shared" si="0"/>
        <v>13.5</v>
      </c>
      <c r="O54" s="3180">
        <v>78720</v>
      </c>
      <c r="P54" s="3176" t="str">
        <f>VLOOKUP(B54,[9]总行格式!$B:$U,14,0)</f>
        <v>月</v>
      </c>
      <c r="Q54" s="3181" t="s">
        <v>3702</v>
      </c>
      <c r="R54" s="3176"/>
      <c r="S54" s="3182" t="s">
        <v>3501</v>
      </c>
      <c r="T54" s="3176">
        <v>25</v>
      </c>
      <c r="U54" s="3176" t="s">
        <v>3502</v>
      </c>
      <c r="V54" s="3176"/>
      <c r="W54" s="3176"/>
    </row>
    <row r="55" spans="1:23" ht="12.95" customHeight="1">
      <c r="A55" s="3176" t="s">
        <v>670</v>
      </c>
      <c r="B55" s="3162" t="s">
        <v>3703</v>
      </c>
      <c r="C55" s="3162" t="s">
        <v>3704</v>
      </c>
      <c r="D55" s="3162" t="s">
        <v>3705</v>
      </c>
      <c r="E55" s="3176" t="s">
        <v>3499</v>
      </c>
      <c r="F55" s="3176" t="s">
        <v>3500</v>
      </c>
      <c r="G55" s="3163">
        <v>60.1</v>
      </c>
      <c r="H55" s="3164">
        <v>45574</v>
      </c>
      <c r="I55" s="3164">
        <v>45618</v>
      </c>
      <c r="J55" s="3164">
        <v>46347</v>
      </c>
      <c r="K55" s="3177" t="s">
        <v>3500</v>
      </c>
      <c r="L55" s="3178" t="s">
        <v>3500</v>
      </c>
      <c r="M55" s="3179">
        <v>130</v>
      </c>
      <c r="N55" s="3179">
        <f t="shared" si="0"/>
        <v>4.333333333333333</v>
      </c>
      <c r="O55" s="3180">
        <v>52162.92</v>
      </c>
      <c r="P55" s="3176" t="str">
        <f>VLOOKUP(B55,[9]总行格式!$B:$U,14,0)</f>
        <v>月</v>
      </c>
      <c r="Q55" s="3181" t="s">
        <v>3706</v>
      </c>
      <c r="R55" s="3176"/>
      <c r="S55" s="3182" t="s">
        <v>3501</v>
      </c>
      <c r="T55" s="3176">
        <v>25</v>
      </c>
      <c r="U55" s="3176" t="s">
        <v>3502</v>
      </c>
      <c r="V55" s="3176"/>
      <c r="W55" s="3176"/>
    </row>
    <row r="56" spans="1:23" ht="12.95" customHeight="1">
      <c r="A56" s="3176" t="s">
        <v>670</v>
      </c>
      <c r="B56" s="3162" t="s">
        <v>3707</v>
      </c>
      <c r="C56" s="3162" t="s">
        <v>3708</v>
      </c>
      <c r="D56" s="3162" t="s">
        <v>3709</v>
      </c>
      <c r="E56" s="3176" t="s">
        <v>3499</v>
      </c>
      <c r="F56" s="3176" t="s">
        <v>3500</v>
      </c>
      <c r="G56" s="3163">
        <v>298.91000000000003</v>
      </c>
      <c r="H56" s="3164">
        <v>45607</v>
      </c>
      <c r="I56" s="3164">
        <v>45669</v>
      </c>
      <c r="J56" s="3164">
        <v>47129</v>
      </c>
      <c r="K56" s="3177" t="s">
        <v>3500</v>
      </c>
      <c r="L56" s="3178" t="s">
        <v>3500</v>
      </c>
      <c r="M56" s="3179">
        <v>160</v>
      </c>
      <c r="N56" s="3179">
        <f t="shared" si="0"/>
        <v>5.333333333333333</v>
      </c>
      <c r="O56" s="3180">
        <v>575141.4</v>
      </c>
      <c r="P56" s="3176" t="str">
        <f>VLOOKUP(B56,[9]总行格式!$B:$U,14,0)</f>
        <v>月</v>
      </c>
      <c r="Q56" s="3181" t="s">
        <v>3710</v>
      </c>
      <c r="R56" s="3176"/>
      <c r="S56" s="3182" t="s">
        <v>3501</v>
      </c>
      <c r="T56" s="3176">
        <v>25</v>
      </c>
      <c r="U56" s="3176" t="s">
        <v>3502</v>
      </c>
      <c r="V56" s="3176"/>
      <c r="W56" s="3176"/>
    </row>
    <row r="57" spans="1:23" ht="12.95" customHeight="1">
      <c r="A57" s="3176" t="s">
        <v>670</v>
      </c>
      <c r="B57" s="3162" t="s">
        <v>3711</v>
      </c>
      <c r="C57" s="3162" t="s">
        <v>3712</v>
      </c>
      <c r="D57" s="3162" t="s">
        <v>3713</v>
      </c>
      <c r="E57" s="3176" t="s">
        <v>3499</v>
      </c>
      <c r="F57" s="3176" t="s">
        <v>3500</v>
      </c>
      <c r="G57" s="3163">
        <v>91.07</v>
      </c>
      <c r="H57" s="3164">
        <v>45669</v>
      </c>
      <c r="I57" s="3164">
        <v>45729</v>
      </c>
      <c r="J57" s="3164">
        <v>46458</v>
      </c>
      <c r="K57" s="3177" t="s">
        <v>3500</v>
      </c>
      <c r="L57" s="3178" t="s">
        <v>3500</v>
      </c>
      <c r="M57" s="3179">
        <v>200</v>
      </c>
      <c r="N57" s="3179">
        <f t="shared" si="0"/>
        <v>6.666666666666667</v>
      </c>
      <c r="O57" s="3180">
        <v>182140</v>
      </c>
      <c r="P57" s="3176" t="str">
        <f>VLOOKUP(B57,[9]总行格式!$B:$U,14,0)</f>
        <v>月</v>
      </c>
      <c r="Q57" s="3181" t="s">
        <v>3714</v>
      </c>
      <c r="R57" s="3176"/>
      <c r="S57" s="3182" t="s">
        <v>3501</v>
      </c>
      <c r="T57" s="3176">
        <v>25</v>
      </c>
      <c r="U57" s="3176" t="s">
        <v>3502</v>
      </c>
      <c r="V57" s="3176"/>
      <c r="W57" s="3176"/>
    </row>
    <row r="58" spans="1:23" ht="12.95" customHeight="1">
      <c r="A58" s="3176" t="s">
        <v>670</v>
      </c>
      <c r="B58" s="3162" t="s">
        <v>3715</v>
      </c>
      <c r="C58" s="3162" t="s">
        <v>3716</v>
      </c>
      <c r="D58" s="3162" t="s">
        <v>3545</v>
      </c>
      <c r="E58" s="3176" t="s">
        <v>3499</v>
      </c>
      <c r="F58" s="3176" t="s">
        <v>3500</v>
      </c>
      <c r="G58" s="3163">
        <v>45.1</v>
      </c>
      <c r="H58" s="3164">
        <v>45674</v>
      </c>
      <c r="I58" s="3164">
        <v>45704</v>
      </c>
      <c r="J58" s="3164">
        <v>46068</v>
      </c>
      <c r="K58" s="3177" t="s">
        <v>3500</v>
      </c>
      <c r="L58" s="3178" t="s">
        <v>3500</v>
      </c>
      <c r="M58" s="3179">
        <v>170</v>
      </c>
      <c r="N58" s="3179">
        <f t="shared" si="0"/>
        <v>5.666666666666667</v>
      </c>
      <c r="O58" s="3180">
        <v>87896.68</v>
      </c>
      <c r="P58" s="3176" t="str">
        <f>VLOOKUP(B58,[9]总行格式!$B:$U,14,0)</f>
        <v>月</v>
      </c>
      <c r="Q58" s="3181">
        <v>0</v>
      </c>
      <c r="R58" s="3176"/>
      <c r="S58" s="3182" t="s">
        <v>3501</v>
      </c>
      <c r="T58" s="3176">
        <v>25</v>
      </c>
      <c r="U58" s="3176" t="s">
        <v>3502</v>
      </c>
      <c r="V58" s="3176"/>
      <c r="W58" s="3176"/>
    </row>
    <row r="59" spans="1:23" ht="12.95" customHeight="1">
      <c r="A59" s="3176" t="s">
        <v>670</v>
      </c>
      <c r="B59" s="3162" t="s">
        <v>3717</v>
      </c>
      <c r="C59" s="3162" t="s">
        <v>3718</v>
      </c>
      <c r="D59" s="3162" t="s">
        <v>3719</v>
      </c>
      <c r="E59" s="3176" t="s">
        <v>3499</v>
      </c>
      <c r="F59" s="3176" t="s">
        <v>3500</v>
      </c>
      <c r="G59" s="3163">
        <v>213.84</v>
      </c>
      <c r="H59" s="3164">
        <v>45723</v>
      </c>
      <c r="I59" s="3164">
        <v>45768</v>
      </c>
      <c r="J59" s="3164">
        <v>46863</v>
      </c>
      <c r="K59" s="3177" t="s">
        <v>3500</v>
      </c>
      <c r="L59" s="3178" t="s">
        <v>3500</v>
      </c>
      <c r="M59" s="3179">
        <v>170</v>
      </c>
      <c r="N59" s="3179">
        <f t="shared" si="0"/>
        <v>5.666666666666667</v>
      </c>
      <c r="O59" s="3180">
        <v>303721.78000000003</v>
      </c>
      <c r="P59" s="3176" t="str">
        <f>VLOOKUP(B59,[9]总行格式!$B:$U,14,0)</f>
        <v>月</v>
      </c>
      <c r="Q59" s="3181" t="s">
        <v>3720</v>
      </c>
      <c r="R59" s="3176"/>
      <c r="S59" s="3182" t="s">
        <v>3501</v>
      </c>
      <c r="T59" s="3176">
        <v>25</v>
      </c>
      <c r="U59" s="3176" t="s">
        <v>3502</v>
      </c>
      <c r="V59" s="3176"/>
      <c r="W59" s="3176"/>
    </row>
    <row r="60" spans="1:23" ht="12.95" customHeight="1">
      <c r="A60" s="3190" t="s">
        <v>670</v>
      </c>
      <c r="B60" s="3168" t="s">
        <v>3721</v>
      </c>
      <c r="C60" s="3168" t="s">
        <v>3722</v>
      </c>
      <c r="D60" s="3168" t="s">
        <v>3723</v>
      </c>
      <c r="E60" s="3190" t="s">
        <v>3499</v>
      </c>
      <c r="F60" s="3190" t="s">
        <v>3500</v>
      </c>
      <c r="G60" s="3169">
        <v>525.12</v>
      </c>
      <c r="H60" s="3164">
        <v>45698</v>
      </c>
      <c r="I60" s="3164">
        <v>45788</v>
      </c>
      <c r="J60" s="3164">
        <v>47613</v>
      </c>
      <c r="K60" s="3177" t="s">
        <v>3500</v>
      </c>
      <c r="L60" s="3178" t="s">
        <v>3500</v>
      </c>
      <c r="M60" s="3179">
        <v>132</v>
      </c>
      <c r="N60" s="3179">
        <f t="shared" si="0"/>
        <v>4.4000000000000004</v>
      </c>
      <c r="O60" s="3180">
        <v>393535.09</v>
      </c>
      <c r="P60" s="3176" t="str">
        <f>VLOOKUP(B60,[9]总行格式!$B:$U,14,0)</f>
        <v>月</v>
      </c>
      <c r="Q60" s="3181" t="s">
        <v>3724</v>
      </c>
      <c r="R60" s="3176"/>
      <c r="S60" s="3182" t="s">
        <v>3501</v>
      </c>
      <c r="T60" s="3176">
        <v>25</v>
      </c>
      <c r="U60" s="3176" t="s">
        <v>3502</v>
      </c>
      <c r="V60" s="3176"/>
      <c r="W60" s="3176"/>
    </row>
    <row r="61" spans="1:23" ht="12.95" customHeight="1">
      <c r="A61" s="3176" t="s">
        <v>670</v>
      </c>
      <c r="B61" s="3162" t="s">
        <v>3725</v>
      </c>
      <c r="C61" s="3162" t="s">
        <v>3726</v>
      </c>
      <c r="D61" s="3162" t="s">
        <v>3727</v>
      </c>
      <c r="E61" s="3176" t="s">
        <v>3499</v>
      </c>
      <c r="F61" s="3176" t="s">
        <v>3500</v>
      </c>
      <c r="G61" s="3163">
        <v>464.9</v>
      </c>
      <c r="H61" s="3164">
        <v>45719</v>
      </c>
      <c r="I61" s="3164">
        <v>45807</v>
      </c>
      <c r="J61" s="3164">
        <v>47267</v>
      </c>
      <c r="K61" s="3177" t="s">
        <v>3728</v>
      </c>
      <c r="L61" s="3178" t="s">
        <v>3500</v>
      </c>
      <c r="M61" s="3179">
        <v>90</v>
      </c>
      <c r="N61" s="3179">
        <f t="shared" si="0"/>
        <v>3</v>
      </c>
      <c r="O61" s="3180">
        <v>211904.42</v>
      </c>
      <c r="P61" s="3176" t="str">
        <f>VLOOKUP(B61,[9]总行格式!$B:$U,14,0)</f>
        <v>月</v>
      </c>
      <c r="Q61" s="3181" t="s">
        <v>3729</v>
      </c>
      <c r="R61" s="3176"/>
      <c r="S61" s="3182" t="s">
        <v>3501</v>
      </c>
      <c r="T61" s="3176">
        <v>25</v>
      </c>
      <c r="U61" s="3176" t="s">
        <v>3502</v>
      </c>
      <c r="V61" s="3176"/>
      <c r="W61" s="3176"/>
    </row>
    <row r="62" spans="1:23" ht="12.95" customHeight="1">
      <c r="A62" s="3176" t="s">
        <v>670</v>
      </c>
      <c r="B62" s="3162" t="s">
        <v>3730</v>
      </c>
      <c r="C62" s="3162" t="s">
        <v>3731</v>
      </c>
      <c r="D62" s="3162" t="s">
        <v>3732</v>
      </c>
      <c r="E62" s="3176" t="s">
        <v>3499</v>
      </c>
      <c r="F62" s="3176" t="s">
        <v>3500</v>
      </c>
      <c r="G62" s="3163">
        <v>570.66</v>
      </c>
      <c r="H62" s="3164">
        <v>45724</v>
      </c>
      <c r="I62" s="3164">
        <v>45878</v>
      </c>
      <c r="J62" s="3164">
        <v>46973</v>
      </c>
      <c r="K62" s="3177" t="s">
        <v>3500</v>
      </c>
      <c r="L62" s="3178" t="s">
        <v>3500</v>
      </c>
      <c r="M62" s="3179">
        <f>O62/12/G62</f>
        <v>57.41935507424153</v>
      </c>
      <c r="N62" s="3179">
        <f t="shared" si="0"/>
        <v>1.9139785024747176</v>
      </c>
      <c r="O62" s="3180">
        <v>393203.15</v>
      </c>
      <c r="P62" s="3176" t="str">
        <f>VLOOKUP(B62,[9]总行格式!$B:$U,14,0)</f>
        <v>月</v>
      </c>
      <c r="Q62" s="3181">
        <v>0</v>
      </c>
      <c r="R62" s="3176"/>
      <c r="S62" s="3182" t="s">
        <v>3501</v>
      </c>
      <c r="T62" s="3176">
        <v>25</v>
      </c>
      <c r="U62" s="3176" t="s">
        <v>3502</v>
      </c>
      <c r="V62" s="3176"/>
      <c r="W62" s="3176"/>
    </row>
    <row r="63" spans="1:23" ht="12.95" customHeight="1">
      <c r="A63" s="3176" t="s">
        <v>670</v>
      </c>
      <c r="B63" s="3162" t="s">
        <v>3733</v>
      </c>
      <c r="C63" s="3162" t="s">
        <v>3734</v>
      </c>
      <c r="D63" s="3162" t="s">
        <v>3735</v>
      </c>
      <c r="E63" s="3176" t="s">
        <v>3499</v>
      </c>
      <c r="F63" s="3176" t="s">
        <v>3500</v>
      </c>
      <c r="G63" s="3163">
        <v>240.33</v>
      </c>
      <c r="H63" s="3164">
        <v>45717</v>
      </c>
      <c r="I63" s="3164">
        <v>45717</v>
      </c>
      <c r="J63" s="3164">
        <v>46446</v>
      </c>
      <c r="K63" s="3177" t="s">
        <v>3500</v>
      </c>
      <c r="L63" s="3178" t="s">
        <v>3500</v>
      </c>
      <c r="M63" s="3179">
        <v>80</v>
      </c>
      <c r="N63" s="3179">
        <f t="shared" si="0"/>
        <v>2.6666666666666665</v>
      </c>
      <c r="O63" s="3180">
        <v>211490.4</v>
      </c>
      <c r="P63" s="3176" t="str">
        <f>VLOOKUP(B63,[9]总行格式!$B:$U,14,0)</f>
        <v>月</v>
      </c>
      <c r="Q63" s="3181">
        <v>0</v>
      </c>
      <c r="R63" s="3176"/>
      <c r="S63" s="3182" t="s">
        <v>3501</v>
      </c>
      <c r="T63" s="3176">
        <v>25</v>
      </c>
      <c r="U63" s="3176" t="s">
        <v>3502</v>
      </c>
      <c r="V63" s="3176"/>
      <c r="W63" s="3176"/>
    </row>
    <row r="64" spans="1:23" ht="12.95" customHeight="1">
      <c r="A64" s="3176" t="s">
        <v>670</v>
      </c>
      <c r="B64" s="3162" t="s">
        <v>3736</v>
      </c>
      <c r="C64" s="3162" t="s">
        <v>3737</v>
      </c>
      <c r="D64" s="3162" t="s">
        <v>3738</v>
      </c>
      <c r="E64" s="3176" t="s">
        <v>3499</v>
      </c>
      <c r="F64" s="3176"/>
      <c r="G64" s="3163">
        <v>187.35</v>
      </c>
      <c r="H64" s="3164">
        <v>45846</v>
      </c>
      <c r="I64" s="3164">
        <v>45909</v>
      </c>
      <c r="J64" s="3164">
        <v>47005</v>
      </c>
      <c r="K64" s="3177" t="s">
        <v>3500</v>
      </c>
      <c r="L64" s="3178"/>
      <c r="M64" s="3179">
        <v>90</v>
      </c>
      <c r="N64" s="3179">
        <f t="shared" si="0"/>
        <v>3</v>
      </c>
      <c r="O64" s="3180">
        <v>62949.599999999999</v>
      </c>
      <c r="P64" s="3176" t="s">
        <v>3739</v>
      </c>
      <c r="Q64" s="3181" t="s">
        <v>3740</v>
      </c>
      <c r="R64" s="3176"/>
      <c r="S64" s="3182"/>
      <c r="T64" s="3176"/>
      <c r="U64" s="3176"/>
      <c r="V64" s="3176"/>
      <c r="W64" s="3176"/>
    </row>
    <row r="65" spans="1:23" ht="12.95" customHeight="1">
      <c r="A65" s="3176" t="s">
        <v>670</v>
      </c>
      <c r="B65" s="3162" t="s">
        <v>3741</v>
      </c>
      <c r="C65" s="3162" t="s">
        <v>3742</v>
      </c>
      <c r="D65" s="3162" t="s">
        <v>3743</v>
      </c>
      <c r="E65" s="3176" t="s">
        <v>3499</v>
      </c>
      <c r="F65" s="3176"/>
      <c r="G65" s="3163">
        <v>18</v>
      </c>
      <c r="H65" s="3164">
        <v>45901</v>
      </c>
      <c r="I65" s="3164">
        <v>45901</v>
      </c>
      <c r="J65" s="3164">
        <v>46630</v>
      </c>
      <c r="K65" s="3177"/>
      <c r="L65" s="3178"/>
      <c r="M65" s="3179">
        <v>360</v>
      </c>
      <c r="N65" s="3179">
        <f t="shared" si="0"/>
        <v>12</v>
      </c>
      <c r="O65" s="3180">
        <v>21600</v>
      </c>
      <c r="P65" s="3176" t="s">
        <v>3739</v>
      </c>
      <c r="Q65" s="3181" t="s">
        <v>3744</v>
      </c>
      <c r="R65" s="3176"/>
      <c r="S65" s="3182"/>
      <c r="T65" s="3176"/>
      <c r="U65" s="3176"/>
      <c r="V65" s="3176"/>
      <c r="W65" s="3176"/>
    </row>
    <row r="66" spans="1:23" ht="12.95" customHeight="1">
      <c r="A66" s="3176" t="s">
        <v>670</v>
      </c>
      <c r="B66" s="3162" t="s">
        <v>3745</v>
      </c>
      <c r="C66" s="3162" t="s">
        <v>3746</v>
      </c>
      <c r="D66" s="3162" t="s">
        <v>3747</v>
      </c>
      <c r="E66" s="3176" t="s">
        <v>3499</v>
      </c>
      <c r="F66" s="3176"/>
      <c r="G66" s="3163">
        <v>21.25</v>
      </c>
      <c r="H66" s="3164">
        <v>45901</v>
      </c>
      <c r="I66" s="3164">
        <v>45931</v>
      </c>
      <c r="J66" s="3164">
        <v>46295</v>
      </c>
      <c r="K66" s="3177"/>
      <c r="L66" s="3178"/>
      <c r="M66" s="3179">
        <v>226</v>
      </c>
      <c r="N66" s="3179">
        <f t="shared" ref="N66:N67" si="1">M66/30</f>
        <v>7.5333333333333332</v>
      </c>
      <c r="O66" s="3180">
        <v>14407.5</v>
      </c>
      <c r="P66" s="3176" t="s">
        <v>3739</v>
      </c>
      <c r="Q66" s="3181">
        <v>0</v>
      </c>
      <c r="R66" s="3176"/>
      <c r="S66" s="3182"/>
      <c r="T66" s="3176"/>
      <c r="U66" s="3176"/>
      <c r="V66" s="3176"/>
      <c r="W66" s="3176"/>
    </row>
    <row r="67" spans="1:23" ht="12.95" customHeight="1">
      <c r="A67" s="3176" t="s">
        <v>670</v>
      </c>
      <c r="B67" s="3162" t="s">
        <v>3748</v>
      </c>
      <c r="C67" s="3162" t="s">
        <v>3749</v>
      </c>
      <c r="D67" s="3162" t="s">
        <v>3750</v>
      </c>
      <c r="E67" s="3176"/>
      <c r="F67" s="3176"/>
      <c r="G67" s="3163">
        <v>5260.87</v>
      </c>
      <c r="H67" s="3164">
        <v>44967</v>
      </c>
      <c r="I67" s="3164">
        <v>46172</v>
      </c>
      <c r="J67" s="3164">
        <v>49824</v>
      </c>
      <c r="K67" s="3177"/>
      <c r="L67" s="3178"/>
      <c r="M67" s="3179">
        <v>0</v>
      </c>
      <c r="N67" s="3179">
        <f t="shared" si="1"/>
        <v>0</v>
      </c>
      <c r="O67" s="3180"/>
      <c r="P67" s="3176" t="s">
        <v>3739</v>
      </c>
      <c r="Q67" s="3181" t="s">
        <v>3751</v>
      </c>
      <c r="R67" s="3176"/>
      <c r="S67" s="3182"/>
      <c r="T67" s="3176"/>
      <c r="U67" s="3176"/>
      <c r="V67" s="3176"/>
      <c r="W67" s="3176"/>
    </row>
    <row r="68" spans="1:23" ht="21.95" customHeight="1">
      <c r="F68" s="3191" t="s">
        <v>3752</v>
      </c>
      <c r="G68" s="3192">
        <f>SUM(G2:G67)</f>
        <v>33684.149999999994</v>
      </c>
      <c r="N68" s="3195" t="s">
        <v>3753</v>
      </c>
      <c r="O68" s="3246">
        <f>SUM(O2:O67)</f>
        <v>31197197.999999989</v>
      </c>
    </row>
    <row r="69" spans="1:23" ht="21.95" customHeight="1">
      <c r="F69" s="3191" t="s">
        <v>3754</v>
      </c>
      <c r="G69" s="3192">
        <v>41000</v>
      </c>
      <c r="N69" s="3195" t="s">
        <v>3755</v>
      </c>
      <c r="O69" s="3195">
        <f>O5+O6+O9+O17+O22+O24+O25+O28+O29+O34+O36+O37+O38+O41+O43+O44+O45+O46</f>
        <v>16021168.870000001</v>
      </c>
    </row>
    <row r="70" spans="1:23" ht="21.95" customHeight="1">
      <c r="F70" s="3191" t="s">
        <v>3756</v>
      </c>
      <c r="G70" s="3197">
        <f>G68/G69</f>
        <v>0.82156463414634129</v>
      </c>
      <c r="N70" s="3195" t="s">
        <v>3757</v>
      </c>
      <c r="O70" s="3197">
        <f>O69/O68</f>
        <v>0.51354512254594165</v>
      </c>
    </row>
    <row r="71" spans="1:23" ht="21.95" customHeight="1">
      <c r="F71" s="3191"/>
      <c r="G71" s="3192"/>
      <c r="N71" s="3195" t="s">
        <v>3758</v>
      </c>
      <c r="O71" s="3195">
        <f>O22+O36</f>
        <v>4382876.92</v>
      </c>
    </row>
    <row r="72" spans="1:23" ht="21.95" customHeight="1">
      <c r="F72" s="3191" t="s">
        <v>3759</v>
      </c>
      <c r="G72" s="3192">
        <f>G69+[10]办公!H66</f>
        <v>137000</v>
      </c>
      <c r="N72" s="3195" t="s">
        <v>3760</v>
      </c>
      <c r="O72" s="3197">
        <f>O71/O69</f>
        <v>0.27356786234286784</v>
      </c>
    </row>
    <row r="73" spans="1:23" ht="21.95" customHeight="1">
      <c r="F73" s="3191" t="s">
        <v>3761</v>
      </c>
      <c r="G73" s="3192">
        <f>G68+[10]办公!H65</f>
        <v>114976.62999999999</v>
      </c>
    </row>
    <row r="74" spans="1:23" ht="21.95" customHeight="1">
      <c r="F74" s="3191" t="s">
        <v>3762</v>
      </c>
      <c r="G74" s="3197">
        <f>G73/G72</f>
        <v>0.83924547445255471</v>
      </c>
      <c r="N74" s="3195" t="str">
        <f>[10]办公!O65</f>
        <v>办公年租金总额</v>
      </c>
      <c r="O74" s="3191">
        <f>[10]办公!P65</f>
        <v>144379956.3132</v>
      </c>
    </row>
    <row r="75" spans="1:23" ht="21.95" customHeight="1">
      <c r="N75" s="3195" t="str">
        <f>[10]办公!O66</f>
        <v>办公抽查金额</v>
      </c>
      <c r="O75" s="3191">
        <f>[10]办公!P66</f>
        <v>129431208.32916</v>
      </c>
    </row>
    <row r="76" spans="1:23" ht="21.95" customHeight="1">
      <c r="N76" s="3195" t="str">
        <f>[10]办公!O67</f>
        <v>办公抽查比例</v>
      </c>
      <c r="O76" s="3197">
        <f>[10]办公!P67</f>
        <v>0.89646244280880605</v>
      </c>
    </row>
    <row r="77" spans="1:23" ht="21.95" customHeight="1">
      <c r="N77" s="3195" t="s">
        <v>3763</v>
      </c>
      <c r="O77" s="3191">
        <f>O68+O74</f>
        <v>175577154.3132</v>
      </c>
    </row>
    <row r="78" spans="1:23" ht="21.95" customHeight="1">
      <c r="N78" s="3195" t="s">
        <v>3764</v>
      </c>
      <c r="O78" s="3191">
        <f>O69+O75</f>
        <v>145452377.19916001</v>
      </c>
    </row>
    <row r="79" spans="1:23" ht="21.95" customHeight="1">
      <c r="N79" s="3195" t="s">
        <v>3765</v>
      </c>
      <c r="O79" s="3197">
        <f>O78/O77</f>
        <v>0.82842427745296254</v>
      </c>
    </row>
    <row r="82" spans="14:18" ht="13.5">
      <c r="N82" s="3199"/>
      <c r="O82" s="3199"/>
      <c r="P82" s="3199"/>
      <c r="Q82" s="3199"/>
      <c r="R82" s="3199"/>
    </row>
    <row r="83" spans="14:18" ht="13.5">
      <c r="N83" s="3199"/>
      <c r="O83" s="3199"/>
      <c r="P83" s="3199"/>
      <c r="Q83" s="3199"/>
      <c r="R83" s="3199"/>
    </row>
    <row r="84" spans="14:18" ht="13.5">
      <c r="N84" s="3199"/>
      <c r="O84" s="3199"/>
      <c r="P84" s="3199"/>
      <c r="Q84" s="3199"/>
      <c r="R84" s="3199"/>
    </row>
    <row r="85" spans="14:18" ht="13.5">
      <c r="N85" s="3199"/>
      <c r="O85" s="3199"/>
      <c r="P85" s="3199"/>
      <c r="Q85" s="3199"/>
      <c r="R85" s="3199"/>
    </row>
    <row r="86" spans="14:18" ht="13.5">
      <c r="N86" s="3199"/>
      <c r="O86" s="3199"/>
      <c r="P86" s="3199"/>
      <c r="Q86" s="3199"/>
      <c r="R86" s="3199"/>
    </row>
    <row r="87" spans="14:18">
      <c r="R87" s="3175"/>
    </row>
    <row r="88" spans="14:18">
      <c r="R88" s="3175"/>
    </row>
  </sheetData>
  <autoFilter ref="A1:W79" xr:uid="{00000000-0009-0000-0000-000000000000}"/>
  <phoneticPr fontId="135" type="noConversion"/>
  <pageMargins left="0.75" right="0.75" top="1" bottom="1" header="0.5" footer="0.5"/>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5A122-2F1F-47C0-9D0F-E8B774A55A66}">
  <dimension ref="A1"/>
  <sheetViews>
    <sheetView workbookViewId="0"/>
  </sheetViews>
  <sheetFormatPr defaultRowHeight="13.5"/>
  <sheetData/>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ED874-F5D5-458E-902A-596D2AFAC395}">
  <sheetPr filterMode="1"/>
  <dimension ref="A1:W88"/>
  <sheetViews>
    <sheetView workbookViewId="0">
      <pane xSplit="2" ySplit="1" topLeftCell="I2" activePane="bottomRight" state="frozenSplit"/>
      <selection pane="topRight"/>
      <selection pane="bottomLeft"/>
      <selection pane="bottomRight" activeCell="R92" sqref="R92"/>
    </sheetView>
  </sheetViews>
  <sheetFormatPr defaultColWidth="9.75" defaultRowHeight="12"/>
  <cols>
    <col min="1" max="1" width="6.125" style="3201" customWidth="1"/>
    <col min="2" max="2" width="48.625" style="3201" customWidth="1"/>
    <col min="3" max="3" width="3" style="3201" customWidth="1"/>
    <col min="4" max="4" width="9.75" style="3230"/>
    <col min="5" max="5" width="19.875" style="3201" customWidth="1"/>
    <col min="6" max="6" width="9.25" style="3201" customWidth="1"/>
    <col min="7" max="7" width="15.25" style="3201" customWidth="1"/>
    <col min="8" max="8" width="13.875" style="3231" customWidth="1"/>
    <col min="9" max="9" width="13" style="3201" customWidth="1"/>
    <col min="10" max="10" width="13.125" style="3201" customWidth="1"/>
    <col min="11" max="11" width="12.5" style="3201" customWidth="1"/>
    <col min="12" max="12" width="12.125" style="3232" customWidth="1"/>
    <col min="13" max="13" width="11.75" style="3232" customWidth="1"/>
    <col min="14" max="14" width="9.75" style="3242"/>
    <col min="15" max="15" width="23.75" style="3242" customWidth="1"/>
    <col min="16" max="16" width="22.875" style="3201" customWidth="1"/>
    <col min="17" max="17" width="20.25" style="3201" customWidth="1"/>
    <col min="18" max="18" width="8.125" style="3201" customWidth="1"/>
    <col min="19" max="19" width="27.5" style="3234" customWidth="1"/>
    <col min="20" max="20" width="6.25" style="3201" customWidth="1"/>
    <col min="21" max="16384" width="9.75" style="3201"/>
  </cols>
  <sheetData>
    <row r="1" spans="1:23" ht="60">
      <c r="A1" s="3170" t="s">
        <v>3473</v>
      </c>
      <c r="B1" s="3170" t="s">
        <v>3474</v>
      </c>
      <c r="C1" s="3170" t="s">
        <v>3475</v>
      </c>
      <c r="D1" s="3200" t="s">
        <v>3493</v>
      </c>
      <c r="E1" s="3170" t="s">
        <v>3476</v>
      </c>
      <c r="F1" s="3170" t="s">
        <v>3477</v>
      </c>
      <c r="G1" s="3170" t="s">
        <v>3478</v>
      </c>
      <c r="H1" s="3171" t="s">
        <v>3479</v>
      </c>
      <c r="I1" s="3170" t="s">
        <v>3480</v>
      </c>
      <c r="J1" s="3170" t="s">
        <v>3481</v>
      </c>
      <c r="K1" s="3170" t="s">
        <v>3482</v>
      </c>
      <c r="L1" s="3172" t="s">
        <v>3483</v>
      </c>
      <c r="M1" s="3172" t="s">
        <v>3484</v>
      </c>
      <c r="N1" s="3173" t="s">
        <v>3485</v>
      </c>
      <c r="O1" s="3173" t="s">
        <v>3486</v>
      </c>
      <c r="P1" s="3170" t="s">
        <v>3766</v>
      </c>
      <c r="Q1" s="3170" t="s">
        <v>3488</v>
      </c>
      <c r="R1" s="3170" t="s">
        <v>3489</v>
      </c>
      <c r="S1" s="3170" t="s">
        <v>3490</v>
      </c>
      <c r="T1" s="3170" t="s">
        <v>3491</v>
      </c>
      <c r="U1" s="3170" t="s">
        <v>3492</v>
      </c>
      <c r="V1" s="3170" t="s">
        <v>3494</v>
      </c>
      <c r="W1" s="3170" t="s">
        <v>3495</v>
      </c>
    </row>
    <row r="2" spans="1:23" ht="24" hidden="1">
      <c r="A2" s="3202" t="s">
        <v>3767</v>
      </c>
      <c r="B2" s="3168" t="s">
        <v>3768</v>
      </c>
      <c r="C2" s="3168"/>
      <c r="D2" s="3203" t="s">
        <v>3470</v>
      </c>
      <c r="E2" s="3168" t="s">
        <v>3769</v>
      </c>
      <c r="F2" s="3204" t="s">
        <v>3499</v>
      </c>
      <c r="G2" s="3204" t="s">
        <v>3500</v>
      </c>
      <c r="H2" s="3169">
        <v>8303.56</v>
      </c>
      <c r="I2" s="3164">
        <v>44835</v>
      </c>
      <c r="J2" s="3164">
        <v>44612</v>
      </c>
      <c r="K2" s="3164">
        <v>48263</v>
      </c>
      <c r="L2" s="3177" t="s">
        <v>3500</v>
      </c>
      <c r="M2" s="3205" t="s">
        <v>3500</v>
      </c>
      <c r="N2" s="3206">
        <v>265.23</v>
      </c>
      <c r="O2" s="3206">
        <f t="shared" ref="O2:O9" si="0">N2/30</f>
        <v>8.8410000000000011</v>
      </c>
      <c r="P2" s="3207">
        <v>26961361.940000001</v>
      </c>
      <c r="Q2" s="3208" t="s">
        <v>3770</v>
      </c>
      <c r="R2" s="3202" t="s">
        <v>3771</v>
      </c>
      <c r="S2" s="3209" t="s">
        <v>3772</v>
      </c>
      <c r="T2" s="3208" t="s">
        <v>3501</v>
      </c>
      <c r="U2" s="3210">
        <v>25</v>
      </c>
      <c r="V2" s="3202"/>
      <c r="W2" s="3202"/>
    </row>
    <row r="3" spans="1:23" hidden="1">
      <c r="A3" s="3202" t="s">
        <v>3767</v>
      </c>
      <c r="B3" s="3168" t="s">
        <v>3773</v>
      </c>
      <c r="C3" s="3168"/>
      <c r="D3" s="3203" t="s">
        <v>3470</v>
      </c>
      <c r="E3" s="3168" t="s">
        <v>3774</v>
      </c>
      <c r="F3" s="3204" t="s">
        <v>3499</v>
      </c>
      <c r="G3" s="3204" t="s">
        <v>3500</v>
      </c>
      <c r="H3" s="3169">
        <v>396.92</v>
      </c>
      <c r="I3" s="3164">
        <v>45536</v>
      </c>
      <c r="J3" s="3164">
        <v>45536</v>
      </c>
      <c r="K3" s="3164">
        <v>48263</v>
      </c>
      <c r="L3" s="3177" t="s">
        <v>3500</v>
      </c>
      <c r="M3" s="3205" t="s">
        <v>3500</v>
      </c>
      <c r="N3" s="3206">
        <v>162.55001007759699</v>
      </c>
      <c r="O3" s="3206">
        <f t="shared" si="0"/>
        <v>5.4183336692532329</v>
      </c>
      <c r="P3" s="3207">
        <v>774232.2</v>
      </c>
      <c r="Q3" s="3208" t="s">
        <v>3770</v>
      </c>
      <c r="R3" s="3202"/>
      <c r="S3" s="3209" t="s">
        <v>3499</v>
      </c>
      <c r="T3" s="3208" t="s">
        <v>3501</v>
      </c>
      <c r="U3" s="3210">
        <v>25</v>
      </c>
      <c r="V3" s="3202"/>
      <c r="W3" s="3202"/>
    </row>
    <row r="4" spans="1:23" hidden="1">
      <c r="A4" s="3202" t="s">
        <v>3767</v>
      </c>
      <c r="B4" s="3168" t="s">
        <v>3775</v>
      </c>
      <c r="C4" s="3168"/>
      <c r="D4" s="3203" t="s">
        <v>3470</v>
      </c>
      <c r="E4" s="3168" t="s">
        <v>3776</v>
      </c>
      <c r="F4" s="3204" t="s">
        <v>3499</v>
      </c>
      <c r="G4" s="3204" t="s">
        <v>3500</v>
      </c>
      <c r="H4" s="3169">
        <v>207.69</v>
      </c>
      <c r="I4" s="3164">
        <v>45383</v>
      </c>
      <c r="J4" s="3164">
        <v>45383</v>
      </c>
      <c r="K4" s="3164">
        <v>46477</v>
      </c>
      <c r="L4" s="3177" t="s">
        <v>3500</v>
      </c>
      <c r="M4" s="3205" t="s">
        <v>3500</v>
      </c>
      <c r="N4" s="3206">
        <v>265.23</v>
      </c>
      <c r="O4" s="3206">
        <f t="shared" si="0"/>
        <v>8.8410000000000011</v>
      </c>
      <c r="P4" s="3207">
        <v>663212.04</v>
      </c>
      <c r="Q4" s="3208" t="s">
        <v>3770</v>
      </c>
      <c r="R4" s="3202" t="s">
        <v>3771</v>
      </c>
      <c r="S4" s="3208"/>
      <c r="T4" s="3208" t="s">
        <v>3501</v>
      </c>
      <c r="U4" s="3210">
        <v>25</v>
      </c>
      <c r="V4" s="3202"/>
      <c r="W4" s="3202"/>
    </row>
    <row r="5" spans="1:23" ht="24" hidden="1">
      <c r="A5" s="3202" t="s">
        <v>3767</v>
      </c>
      <c r="B5" s="3162" t="s">
        <v>3777</v>
      </c>
      <c r="C5" s="3162"/>
      <c r="D5" s="3211" t="s">
        <v>3470</v>
      </c>
      <c r="E5" s="3162" t="s">
        <v>3778</v>
      </c>
      <c r="F5" s="3202"/>
      <c r="G5" s="3202"/>
      <c r="H5" s="3163">
        <v>321.33999999999997</v>
      </c>
      <c r="I5" s="3164">
        <v>45870</v>
      </c>
      <c r="J5" s="3164">
        <v>45778</v>
      </c>
      <c r="K5" s="3164">
        <v>46265</v>
      </c>
      <c r="L5" s="3177" t="s">
        <v>3779</v>
      </c>
      <c r="M5" s="3205"/>
      <c r="N5" s="3206">
        <v>158.16999999999999</v>
      </c>
      <c r="O5" s="3206">
        <f t="shared" si="0"/>
        <v>5.2723333333333331</v>
      </c>
      <c r="P5" s="3207">
        <f>50826.35*4</f>
        <v>203305.4</v>
      </c>
      <c r="Q5" s="3208" t="s">
        <v>3770</v>
      </c>
      <c r="R5" s="3202"/>
      <c r="S5" s="3208"/>
      <c r="T5" s="3208"/>
      <c r="U5" s="3210"/>
      <c r="V5" s="3202"/>
      <c r="W5" s="3202"/>
    </row>
    <row r="6" spans="1:23" ht="14.1" hidden="1" customHeight="1">
      <c r="A6" s="3202" t="s">
        <v>3767</v>
      </c>
      <c r="B6" s="3168" t="s">
        <v>3780</v>
      </c>
      <c r="C6" s="3168" t="s">
        <v>3781</v>
      </c>
      <c r="D6" s="3203" t="s">
        <v>3470</v>
      </c>
      <c r="E6" s="3168" t="s">
        <v>3782</v>
      </c>
      <c r="F6" s="3204" t="s">
        <v>3499</v>
      </c>
      <c r="G6" s="3204" t="s">
        <v>3500</v>
      </c>
      <c r="H6" s="3169">
        <v>316.29000000000002</v>
      </c>
      <c r="I6" s="3164">
        <v>45858</v>
      </c>
      <c r="J6" s="3164">
        <v>45858</v>
      </c>
      <c r="K6" s="3164">
        <v>48263</v>
      </c>
      <c r="L6" s="3177" t="s">
        <v>3500</v>
      </c>
      <c r="M6" s="3205" t="s">
        <v>3500</v>
      </c>
      <c r="N6" s="3206">
        <v>265.23</v>
      </c>
      <c r="O6" s="3206">
        <f t="shared" si="0"/>
        <v>8.8410000000000011</v>
      </c>
      <c r="P6" s="3207">
        <v>700806.94</v>
      </c>
      <c r="Q6" s="3208" t="s">
        <v>3770</v>
      </c>
      <c r="R6" s="3202" t="s">
        <v>3771</v>
      </c>
      <c r="S6" s="3208"/>
      <c r="T6" s="3208" t="s">
        <v>3501</v>
      </c>
      <c r="U6" s="3210">
        <v>25</v>
      </c>
      <c r="V6" s="3202"/>
      <c r="W6" s="3202"/>
    </row>
    <row r="7" spans="1:23" s="3199" customFormat="1" ht="14.1" hidden="1" customHeight="1">
      <c r="A7" s="3202" t="s">
        <v>3767</v>
      </c>
      <c r="B7" s="3168" t="s">
        <v>3783</v>
      </c>
      <c r="C7" s="3168"/>
      <c r="D7" s="3203" t="s">
        <v>3470</v>
      </c>
      <c r="E7" s="3168"/>
      <c r="F7" s="3204"/>
      <c r="G7" s="3204"/>
      <c r="H7" s="3169">
        <v>30.77</v>
      </c>
      <c r="I7" s="3164">
        <v>45383</v>
      </c>
      <c r="J7" s="3164">
        <v>45383</v>
      </c>
      <c r="K7" s="3164">
        <v>48263</v>
      </c>
      <c r="L7" s="3177"/>
      <c r="M7" s="3205"/>
      <c r="N7" s="3206">
        <v>265.23</v>
      </c>
      <c r="O7" s="3206">
        <f t="shared" si="0"/>
        <v>8.8410000000000011</v>
      </c>
      <c r="P7" s="3207">
        <f>H7*N7*12</f>
        <v>97933.525200000004</v>
      </c>
      <c r="Q7" s="3208" t="s">
        <v>3770</v>
      </c>
      <c r="R7" s="3202"/>
      <c r="S7" s="3208"/>
      <c r="T7" s="3208"/>
      <c r="U7" s="3210"/>
      <c r="V7" s="3202"/>
      <c r="W7" s="3202"/>
    </row>
    <row r="8" spans="1:23" hidden="1">
      <c r="A8" s="3202" t="s">
        <v>3767</v>
      </c>
      <c r="B8" s="3168" t="s">
        <v>3784</v>
      </c>
      <c r="C8" s="3168" t="s">
        <v>3781</v>
      </c>
      <c r="D8" s="3212" t="s">
        <v>3502</v>
      </c>
      <c r="E8" s="3168" t="s">
        <v>3785</v>
      </c>
      <c r="F8" s="3204" t="s">
        <v>3499</v>
      </c>
      <c r="G8" s="3204" t="s">
        <v>3500</v>
      </c>
      <c r="H8" s="3169">
        <v>158.69999999999999</v>
      </c>
      <c r="I8" s="3164">
        <v>45708</v>
      </c>
      <c r="J8" s="3164">
        <v>45708</v>
      </c>
      <c r="K8" s="3164">
        <v>46072</v>
      </c>
      <c r="L8" s="3177" t="s">
        <v>3500</v>
      </c>
      <c r="M8" s="3205" t="s">
        <v>3500</v>
      </c>
      <c r="N8" s="3206">
        <v>265.23</v>
      </c>
      <c r="O8" s="3206">
        <f t="shared" si="0"/>
        <v>8.8410000000000011</v>
      </c>
      <c r="P8" s="3207">
        <v>505104</v>
      </c>
      <c r="Q8" s="3202" t="s">
        <v>3770</v>
      </c>
      <c r="R8" s="3202">
        <v>0</v>
      </c>
      <c r="S8" s="3209" t="s">
        <v>3499</v>
      </c>
      <c r="T8" s="3208" t="s">
        <v>3501</v>
      </c>
      <c r="U8" s="3213">
        <v>25</v>
      </c>
      <c r="V8" s="3202"/>
      <c r="W8" s="3202"/>
    </row>
    <row r="9" spans="1:23" hidden="1">
      <c r="A9" s="3202" t="s">
        <v>3767</v>
      </c>
      <c r="B9" s="3214" t="s">
        <v>3786</v>
      </c>
      <c r="C9" s="3214" t="s">
        <v>3781</v>
      </c>
      <c r="D9" s="3212" t="s">
        <v>3502</v>
      </c>
      <c r="E9" s="3214" t="s">
        <v>3787</v>
      </c>
      <c r="F9" s="3204" t="s">
        <v>3499</v>
      </c>
      <c r="G9" s="3204" t="s">
        <v>3500</v>
      </c>
      <c r="H9" s="3169">
        <v>4.76</v>
      </c>
      <c r="I9" s="3164">
        <v>45708</v>
      </c>
      <c r="J9" s="3164">
        <v>45708</v>
      </c>
      <c r="K9" s="3164">
        <v>48263</v>
      </c>
      <c r="L9" s="3177" t="s">
        <v>3500</v>
      </c>
      <c r="M9" s="3205" t="s">
        <v>3500</v>
      </c>
      <c r="N9" s="3206">
        <v>265.23</v>
      </c>
      <c r="O9" s="3206">
        <f t="shared" si="0"/>
        <v>8.8410000000000011</v>
      </c>
      <c r="P9" s="3207">
        <v>16767.009999999998</v>
      </c>
      <c r="Q9" s="3202" t="s">
        <v>3770</v>
      </c>
      <c r="R9" s="3202" t="s">
        <v>3771</v>
      </c>
      <c r="S9" s="3209"/>
      <c r="T9" s="3208" t="s">
        <v>3501</v>
      </c>
      <c r="U9" s="3213">
        <v>25</v>
      </c>
      <c r="V9" s="3202"/>
      <c r="W9" s="3202"/>
    </row>
    <row r="10" spans="1:23" ht="24" hidden="1">
      <c r="A10" s="3202" t="s">
        <v>3767</v>
      </c>
      <c r="B10" s="3215" t="s">
        <v>3788</v>
      </c>
      <c r="C10" s="3215" t="s">
        <v>3781</v>
      </c>
      <c r="D10" s="3216" t="s">
        <v>3502</v>
      </c>
      <c r="E10" s="3215" t="s">
        <v>3789</v>
      </c>
      <c r="F10" s="3202" t="s">
        <v>3499</v>
      </c>
      <c r="G10" s="3202" t="s">
        <v>3500</v>
      </c>
      <c r="H10" s="3163">
        <v>828.83</v>
      </c>
      <c r="I10" s="3164">
        <v>44620</v>
      </c>
      <c r="J10" s="3164">
        <v>44621</v>
      </c>
      <c r="K10" s="3164">
        <v>47542</v>
      </c>
      <c r="L10" s="3177" t="s">
        <v>3790</v>
      </c>
      <c r="M10" s="3205">
        <v>44986</v>
      </c>
      <c r="N10" s="3206">
        <f>O10*30</f>
        <v>150</v>
      </c>
      <c r="O10" s="3206">
        <v>5</v>
      </c>
      <c r="P10" s="3207">
        <v>2881181.01</v>
      </c>
      <c r="Q10" s="3202" t="s">
        <v>3739</v>
      </c>
      <c r="R10" s="3202" t="s">
        <v>3791</v>
      </c>
      <c r="S10" s="3209" t="s">
        <v>3792</v>
      </c>
      <c r="T10" s="3208" t="s">
        <v>3501</v>
      </c>
      <c r="U10" s="3213">
        <v>25</v>
      </c>
      <c r="V10" s="3202"/>
      <c r="W10" s="3202"/>
    </row>
    <row r="11" spans="1:23" hidden="1">
      <c r="A11" s="3202" t="s">
        <v>3767</v>
      </c>
      <c r="B11" s="3214" t="s">
        <v>3793</v>
      </c>
      <c r="C11" s="3214" t="s">
        <v>3781</v>
      </c>
      <c r="D11" s="3212" t="s">
        <v>3502</v>
      </c>
      <c r="E11" s="3214" t="s">
        <v>3794</v>
      </c>
      <c r="F11" s="3204" t="s">
        <v>3499</v>
      </c>
      <c r="G11" s="3204" t="s">
        <v>3500</v>
      </c>
      <c r="H11" s="3169">
        <v>1597.48</v>
      </c>
      <c r="I11" s="3164">
        <v>44621</v>
      </c>
      <c r="J11" s="3164">
        <v>44682</v>
      </c>
      <c r="K11" s="3164">
        <v>46873</v>
      </c>
      <c r="L11" s="3177" t="s">
        <v>3795</v>
      </c>
      <c r="M11" s="3205">
        <v>44682</v>
      </c>
      <c r="N11" s="3206">
        <v>142.35</v>
      </c>
      <c r="O11" s="3206">
        <f t="shared" ref="O11:O32" si="1">N11/30</f>
        <v>4.7450000000000001</v>
      </c>
      <c r="P11" s="3207">
        <v>2501414.08</v>
      </c>
      <c r="Q11" s="3202" t="s">
        <v>3796</v>
      </c>
      <c r="R11" s="3202">
        <v>0</v>
      </c>
      <c r="S11" s="3209" t="s">
        <v>3499</v>
      </c>
      <c r="T11" s="3208" t="s">
        <v>3501</v>
      </c>
      <c r="U11" s="3213">
        <v>25</v>
      </c>
      <c r="V11" s="3202"/>
      <c r="W11" s="3202"/>
    </row>
    <row r="12" spans="1:23" s="3228" customFormat="1" ht="24" hidden="1">
      <c r="A12" s="3217" t="s">
        <v>3767</v>
      </c>
      <c r="B12" s="3218" t="s">
        <v>3797</v>
      </c>
      <c r="C12" s="3218" t="s">
        <v>3781</v>
      </c>
      <c r="D12" s="3219" t="s">
        <v>3502</v>
      </c>
      <c r="E12" s="3218" t="s">
        <v>3798</v>
      </c>
      <c r="F12" s="3220" t="s">
        <v>3499</v>
      </c>
      <c r="G12" s="3220" t="s">
        <v>3500</v>
      </c>
      <c r="H12" s="3221">
        <f>6619.86-1927.88</f>
        <v>4691.9799999999996</v>
      </c>
      <c r="I12" s="3167">
        <v>44774</v>
      </c>
      <c r="J12" s="3167">
        <v>44927</v>
      </c>
      <c r="K12" s="3167">
        <v>48579</v>
      </c>
      <c r="L12" s="3184" t="s">
        <v>3518</v>
      </c>
      <c r="M12" s="3222"/>
      <c r="N12" s="3223">
        <v>121.67</v>
      </c>
      <c r="O12" s="3223">
        <f t="shared" si="1"/>
        <v>4.0556666666666663</v>
      </c>
      <c r="P12" s="3224">
        <v>9665260.4399999995</v>
      </c>
      <c r="Q12" s="3217" t="s">
        <v>3770</v>
      </c>
      <c r="R12" s="3217" t="s">
        <v>3799</v>
      </c>
      <c r="S12" s="3225" t="s">
        <v>3800</v>
      </c>
      <c r="T12" s="3226" t="s">
        <v>3501</v>
      </c>
      <c r="U12" s="3227">
        <v>25</v>
      </c>
      <c r="V12" s="3217"/>
      <c r="W12" s="3217"/>
    </row>
    <row r="13" spans="1:23" ht="24" hidden="1">
      <c r="A13" s="3202" t="s">
        <v>3767</v>
      </c>
      <c r="B13" s="3214" t="s">
        <v>3801</v>
      </c>
      <c r="C13" s="3214" t="s">
        <v>3781</v>
      </c>
      <c r="D13" s="3212" t="s">
        <v>3502</v>
      </c>
      <c r="E13" s="3214" t="s">
        <v>3802</v>
      </c>
      <c r="F13" s="3204" t="s">
        <v>3499</v>
      </c>
      <c r="G13" s="3204" t="s">
        <v>3500</v>
      </c>
      <c r="H13" s="3169">
        <v>3485.57</v>
      </c>
      <c r="I13" s="3164">
        <v>44927</v>
      </c>
      <c r="J13" s="3164">
        <v>44927</v>
      </c>
      <c r="K13" s="3164">
        <v>46752</v>
      </c>
      <c r="L13" s="3177" t="s">
        <v>3803</v>
      </c>
      <c r="M13" s="3205">
        <v>0</v>
      </c>
      <c r="N13" s="3206"/>
      <c r="O13" s="3206">
        <v>5.68</v>
      </c>
      <c r="P13" s="3207">
        <v>6624093.4100000001</v>
      </c>
      <c r="Q13" s="3202" t="s">
        <v>3804</v>
      </c>
      <c r="R13" s="3202">
        <v>0</v>
      </c>
      <c r="S13" s="3209" t="s">
        <v>3499</v>
      </c>
      <c r="T13" s="3208" t="s">
        <v>3501</v>
      </c>
      <c r="U13" s="3213">
        <v>25</v>
      </c>
      <c r="V13" s="3202"/>
      <c r="W13" s="3202"/>
    </row>
    <row r="14" spans="1:23" ht="24" hidden="1">
      <c r="A14" s="3202" t="s">
        <v>3767</v>
      </c>
      <c r="B14" s="3214" t="s">
        <v>3805</v>
      </c>
      <c r="C14" s="3214" t="s">
        <v>3781</v>
      </c>
      <c r="D14" s="3212" t="s">
        <v>3502</v>
      </c>
      <c r="E14" s="3214" t="s">
        <v>3806</v>
      </c>
      <c r="F14" s="3204" t="s">
        <v>3499</v>
      </c>
      <c r="G14" s="3204" t="s">
        <v>3500</v>
      </c>
      <c r="H14" s="3169">
        <v>4016.29</v>
      </c>
      <c r="I14" s="3164">
        <v>44835</v>
      </c>
      <c r="J14" s="3164">
        <v>44958</v>
      </c>
      <c r="K14" s="3164">
        <v>48610</v>
      </c>
      <c r="L14" s="3177" t="s">
        <v>3807</v>
      </c>
      <c r="M14" s="3205">
        <v>45352</v>
      </c>
      <c r="N14" s="3206">
        <v>121.67</v>
      </c>
      <c r="O14" s="3206">
        <f t="shared" si="1"/>
        <v>4.0556666666666663</v>
      </c>
      <c r="P14" s="3207">
        <v>5863944</v>
      </c>
      <c r="Q14" s="3202" t="s">
        <v>3770</v>
      </c>
      <c r="R14" s="3202" t="s">
        <v>3808</v>
      </c>
      <c r="S14" s="3209" t="s">
        <v>3499</v>
      </c>
      <c r="T14" s="3208" t="s">
        <v>3501</v>
      </c>
      <c r="U14" s="3213">
        <v>25</v>
      </c>
      <c r="V14" s="3202"/>
      <c r="W14" s="3202"/>
    </row>
    <row r="15" spans="1:23" hidden="1">
      <c r="A15" s="3202" t="s">
        <v>3767</v>
      </c>
      <c r="B15" s="3214" t="s">
        <v>3809</v>
      </c>
      <c r="C15" s="3214" t="s">
        <v>3781</v>
      </c>
      <c r="D15" s="3212" t="s">
        <v>3502</v>
      </c>
      <c r="E15" s="3214" t="s">
        <v>3810</v>
      </c>
      <c r="F15" s="3204" t="s">
        <v>3499</v>
      </c>
      <c r="G15" s="3204" t="s">
        <v>3500</v>
      </c>
      <c r="H15" s="3169">
        <v>558.97</v>
      </c>
      <c r="I15" s="3164">
        <v>44958</v>
      </c>
      <c r="J15" s="3164">
        <v>44986</v>
      </c>
      <c r="K15" s="3164">
        <v>46812</v>
      </c>
      <c r="L15" s="3177" t="s">
        <v>3500</v>
      </c>
      <c r="M15" s="3205" t="s">
        <v>3500</v>
      </c>
      <c r="N15" s="3206">
        <v>130.79</v>
      </c>
      <c r="O15" s="3206">
        <f t="shared" si="1"/>
        <v>4.3596666666666666</v>
      </c>
      <c r="P15" s="3207">
        <v>877292.28</v>
      </c>
      <c r="Q15" s="3202" t="s">
        <v>3739</v>
      </c>
      <c r="R15" s="3202" t="s">
        <v>3811</v>
      </c>
      <c r="S15" s="3209" t="s">
        <v>3812</v>
      </c>
      <c r="T15" s="3208" t="s">
        <v>3501</v>
      </c>
      <c r="U15" s="3213">
        <v>25</v>
      </c>
      <c r="V15" s="3202"/>
      <c r="W15" s="3202"/>
    </row>
    <row r="16" spans="1:23" hidden="1">
      <c r="A16" s="3202" t="s">
        <v>3767</v>
      </c>
      <c r="B16" s="3215" t="s">
        <v>3813</v>
      </c>
      <c r="C16" s="3215" t="s">
        <v>3781</v>
      </c>
      <c r="D16" s="3216" t="s">
        <v>3502</v>
      </c>
      <c r="E16" s="3215" t="s">
        <v>3814</v>
      </c>
      <c r="F16" s="3202" t="s">
        <v>3499</v>
      </c>
      <c r="G16" s="3202" t="s">
        <v>3500</v>
      </c>
      <c r="H16" s="3163">
        <v>151.94999999999999</v>
      </c>
      <c r="I16" s="3164">
        <v>44970</v>
      </c>
      <c r="J16" s="3164">
        <v>45017</v>
      </c>
      <c r="K16" s="3164">
        <v>46112</v>
      </c>
      <c r="L16" s="3177" t="s">
        <v>3500</v>
      </c>
      <c r="M16" s="3205" t="s">
        <v>3500</v>
      </c>
      <c r="N16" s="3206">
        <v>118.02</v>
      </c>
      <c r="O16" s="3206">
        <f t="shared" si="1"/>
        <v>3.9339999999999997</v>
      </c>
      <c r="P16" s="3207">
        <v>215197.68</v>
      </c>
      <c r="Q16" s="3202" t="s">
        <v>3770</v>
      </c>
      <c r="R16" s="3202">
        <v>0</v>
      </c>
      <c r="S16" s="3209"/>
      <c r="T16" s="3208" t="s">
        <v>3501</v>
      </c>
      <c r="U16" s="3213">
        <v>25</v>
      </c>
      <c r="V16" s="3202"/>
      <c r="W16" s="3202"/>
    </row>
    <row r="17" spans="1:23" hidden="1">
      <c r="A17" s="3202" t="s">
        <v>3767</v>
      </c>
      <c r="B17" s="3215" t="s">
        <v>3815</v>
      </c>
      <c r="C17" s="3215" t="s">
        <v>3781</v>
      </c>
      <c r="D17" s="3216" t="s">
        <v>3502</v>
      </c>
      <c r="E17" s="3215" t="s">
        <v>3816</v>
      </c>
      <c r="F17" s="3202" t="s">
        <v>3499</v>
      </c>
      <c r="G17" s="3202" t="s">
        <v>3500</v>
      </c>
      <c r="H17" s="3163">
        <v>181.47</v>
      </c>
      <c r="I17" s="3164">
        <v>44986</v>
      </c>
      <c r="J17" s="3164">
        <v>45017</v>
      </c>
      <c r="K17" s="3164">
        <v>46112</v>
      </c>
      <c r="L17" s="3177" t="s">
        <v>3500</v>
      </c>
      <c r="M17" s="3205" t="s">
        <v>3500</v>
      </c>
      <c r="N17" s="3206">
        <v>136.88</v>
      </c>
      <c r="O17" s="3206">
        <f t="shared" si="1"/>
        <v>4.5626666666666669</v>
      </c>
      <c r="P17" s="3207">
        <v>298075.32</v>
      </c>
      <c r="Q17" s="3202" t="s">
        <v>3770</v>
      </c>
      <c r="R17" s="3202">
        <v>0</v>
      </c>
      <c r="S17" s="3209"/>
      <c r="T17" s="3208" t="s">
        <v>3501</v>
      </c>
      <c r="U17" s="3213">
        <v>25</v>
      </c>
      <c r="V17" s="3202"/>
      <c r="W17" s="3202"/>
    </row>
    <row r="18" spans="1:23" hidden="1">
      <c r="A18" s="3202" t="s">
        <v>3767</v>
      </c>
      <c r="B18" s="3215" t="s">
        <v>3817</v>
      </c>
      <c r="C18" s="3215" t="s">
        <v>3781</v>
      </c>
      <c r="D18" s="3216" t="s">
        <v>3502</v>
      </c>
      <c r="E18" s="3215" t="s">
        <v>3818</v>
      </c>
      <c r="F18" s="3202" t="s">
        <v>3499</v>
      </c>
      <c r="G18" s="3202" t="s">
        <v>3500</v>
      </c>
      <c r="H18" s="3163">
        <v>489.65</v>
      </c>
      <c r="I18" s="3164">
        <v>45017</v>
      </c>
      <c r="J18" s="3164">
        <v>45017</v>
      </c>
      <c r="K18" s="3164">
        <v>46112</v>
      </c>
      <c r="L18" s="3177" t="s">
        <v>3500</v>
      </c>
      <c r="M18" s="3205" t="s">
        <v>3500</v>
      </c>
      <c r="N18" s="3206">
        <v>172.77</v>
      </c>
      <c r="O18" s="3206">
        <f t="shared" si="1"/>
        <v>5.7590000000000003</v>
      </c>
      <c r="P18" s="3207">
        <v>1015161.96</v>
      </c>
      <c r="Q18" s="3202" t="s">
        <v>3770</v>
      </c>
      <c r="R18" s="3202">
        <v>0</v>
      </c>
      <c r="S18" s="3209" t="s">
        <v>3819</v>
      </c>
      <c r="T18" s="3208" t="s">
        <v>3501</v>
      </c>
      <c r="U18" s="3213">
        <v>25</v>
      </c>
      <c r="V18" s="3202"/>
      <c r="W18" s="3202"/>
    </row>
    <row r="19" spans="1:23" hidden="1">
      <c r="A19" s="3202" t="s">
        <v>3767</v>
      </c>
      <c r="B19" s="3168" t="s">
        <v>3820</v>
      </c>
      <c r="C19" s="3168" t="s">
        <v>3781</v>
      </c>
      <c r="D19" s="3212" t="s">
        <v>3470</v>
      </c>
      <c r="E19" s="3168" t="s">
        <v>3821</v>
      </c>
      <c r="F19" s="3204" t="s">
        <v>3499</v>
      </c>
      <c r="G19" s="3204" t="s">
        <v>3500</v>
      </c>
      <c r="H19" s="3169">
        <v>54.54</v>
      </c>
      <c r="I19" s="3164">
        <v>45017</v>
      </c>
      <c r="J19" s="3164">
        <v>45017</v>
      </c>
      <c r="K19" s="3164">
        <v>48263</v>
      </c>
      <c r="L19" s="3177" t="s">
        <v>3500</v>
      </c>
      <c r="M19" s="3205" t="s">
        <v>3500</v>
      </c>
      <c r="N19" s="3206">
        <v>265.23</v>
      </c>
      <c r="O19" s="3206">
        <f t="shared" si="1"/>
        <v>8.8410000000000011</v>
      </c>
      <c r="P19" s="3207">
        <v>174161.41</v>
      </c>
      <c r="Q19" s="3202" t="s">
        <v>3770</v>
      </c>
      <c r="R19" s="3202" t="s">
        <v>3771</v>
      </c>
      <c r="S19" s="3209"/>
      <c r="T19" s="3208" t="s">
        <v>3501</v>
      </c>
      <c r="U19" s="3213">
        <v>25</v>
      </c>
      <c r="V19" s="3202"/>
      <c r="W19" s="3202"/>
    </row>
    <row r="20" spans="1:23" hidden="1">
      <c r="A20" s="3202" t="s">
        <v>3767</v>
      </c>
      <c r="B20" s="3215" t="s">
        <v>3822</v>
      </c>
      <c r="C20" s="3215" t="s">
        <v>3781</v>
      </c>
      <c r="D20" s="3216" t="s">
        <v>3502</v>
      </c>
      <c r="E20" s="3215" t="s">
        <v>3823</v>
      </c>
      <c r="F20" s="3202" t="s">
        <v>3499</v>
      </c>
      <c r="G20" s="3202" t="s">
        <v>3500</v>
      </c>
      <c r="H20" s="3163">
        <v>471.4</v>
      </c>
      <c r="I20" s="3164">
        <v>45001</v>
      </c>
      <c r="J20" s="3164">
        <v>45032</v>
      </c>
      <c r="K20" s="3164">
        <v>46858</v>
      </c>
      <c r="L20" s="3177" t="s">
        <v>3500</v>
      </c>
      <c r="M20" s="3205" t="s">
        <v>3500</v>
      </c>
      <c r="N20" s="3206">
        <v>105.85</v>
      </c>
      <c r="O20" s="3206">
        <f t="shared" si="1"/>
        <v>3.5283333333333333</v>
      </c>
      <c r="P20" s="3207">
        <v>548874.59</v>
      </c>
      <c r="Q20" s="3202" t="s">
        <v>3770</v>
      </c>
      <c r="R20" s="3202" t="s">
        <v>3824</v>
      </c>
      <c r="S20" s="3209" t="s">
        <v>3499</v>
      </c>
      <c r="T20" s="3208" t="s">
        <v>3501</v>
      </c>
      <c r="U20" s="3213">
        <v>25</v>
      </c>
      <c r="V20" s="3202"/>
      <c r="W20" s="3202"/>
    </row>
    <row r="21" spans="1:23" hidden="1">
      <c r="A21" s="3202" t="s">
        <v>3767</v>
      </c>
      <c r="B21" s="3215" t="s">
        <v>3825</v>
      </c>
      <c r="C21" s="3215" t="s">
        <v>3781</v>
      </c>
      <c r="D21" s="3216" t="s">
        <v>3502</v>
      </c>
      <c r="E21" s="3215" t="s">
        <v>3826</v>
      </c>
      <c r="F21" s="3202" t="s">
        <v>3499</v>
      </c>
      <c r="G21" s="3202" t="s">
        <v>3500</v>
      </c>
      <c r="H21" s="3163">
        <v>218.78</v>
      </c>
      <c r="I21" s="3164">
        <v>45001</v>
      </c>
      <c r="J21" s="3164">
        <v>45032</v>
      </c>
      <c r="K21" s="3164">
        <v>46858</v>
      </c>
      <c r="L21" s="3177" t="s">
        <v>3500</v>
      </c>
      <c r="M21" s="3205" t="s">
        <v>3500</v>
      </c>
      <c r="N21" s="3206">
        <v>105.85</v>
      </c>
      <c r="O21" s="3206">
        <f t="shared" si="1"/>
        <v>3.5283333333333333</v>
      </c>
      <c r="P21" s="3207">
        <v>254736.46</v>
      </c>
      <c r="Q21" s="3202" t="s">
        <v>3770</v>
      </c>
      <c r="R21" s="3202" t="s">
        <v>3824</v>
      </c>
      <c r="S21" s="3209"/>
      <c r="T21" s="3208" t="s">
        <v>3501</v>
      </c>
      <c r="U21" s="3213">
        <v>25</v>
      </c>
      <c r="V21" s="3202"/>
      <c r="W21" s="3202"/>
    </row>
    <row r="22" spans="1:23" hidden="1">
      <c r="A22" s="3202" t="s">
        <v>3767</v>
      </c>
      <c r="B22" s="3168" t="s">
        <v>3827</v>
      </c>
      <c r="C22" s="3168" t="s">
        <v>3781</v>
      </c>
      <c r="D22" s="3212" t="s">
        <v>3502</v>
      </c>
      <c r="E22" s="3168" t="s">
        <v>3828</v>
      </c>
      <c r="F22" s="3204" t="s">
        <v>3499</v>
      </c>
      <c r="G22" s="3204" t="s">
        <v>3500</v>
      </c>
      <c r="H22" s="3169">
        <v>8509.7579999999998</v>
      </c>
      <c r="I22" s="3164">
        <v>44986</v>
      </c>
      <c r="J22" s="3164">
        <v>45078</v>
      </c>
      <c r="K22" s="3164">
        <v>46173</v>
      </c>
      <c r="L22" s="3177">
        <v>45078</v>
      </c>
      <c r="M22" s="3205">
        <v>45108</v>
      </c>
      <c r="N22" s="3206">
        <v>121.67</v>
      </c>
      <c r="O22" s="3206">
        <f t="shared" si="1"/>
        <v>4.0556666666666663</v>
      </c>
      <c r="P22" s="3207">
        <v>12424587.070320001</v>
      </c>
      <c r="Q22" s="3202" t="s">
        <v>3739</v>
      </c>
      <c r="R22" s="3202">
        <v>0</v>
      </c>
      <c r="S22" s="3209" t="s">
        <v>3829</v>
      </c>
      <c r="T22" s="3208" t="s">
        <v>3501</v>
      </c>
      <c r="U22" s="3213">
        <v>25</v>
      </c>
      <c r="V22" s="3202"/>
      <c r="W22" s="3202"/>
    </row>
    <row r="23" spans="1:23" hidden="1">
      <c r="A23" s="3202" t="s">
        <v>3767</v>
      </c>
      <c r="B23" s="3168" t="s">
        <v>3830</v>
      </c>
      <c r="C23" s="3168" t="s">
        <v>3781</v>
      </c>
      <c r="D23" s="3212" t="s">
        <v>3502</v>
      </c>
      <c r="E23" s="3168" t="s">
        <v>3831</v>
      </c>
      <c r="F23" s="3204" t="s">
        <v>3499</v>
      </c>
      <c r="G23" s="3204" t="s">
        <v>3500</v>
      </c>
      <c r="H23" s="3169">
        <v>1050.971</v>
      </c>
      <c r="I23" s="3164">
        <v>44986</v>
      </c>
      <c r="J23" s="3164">
        <v>45078</v>
      </c>
      <c r="K23" s="3164">
        <v>46173</v>
      </c>
      <c r="L23" s="3177">
        <v>45078</v>
      </c>
      <c r="M23" s="3205">
        <v>45108</v>
      </c>
      <c r="N23" s="3206">
        <v>121.67</v>
      </c>
      <c r="O23" s="3206">
        <f t="shared" si="1"/>
        <v>4.0556666666666663</v>
      </c>
      <c r="P23" s="3207">
        <v>1534459.69884</v>
      </c>
      <c r="Q23" s="3202" t="s">
        <v>3739</v>
      </c>
      <c r="R23" s="3202">
        <v>0</v>
      </c>
      <c r="S23" s="3209" t="s">
        <v>3832</v>
      </c>
      <c r="T23" s="3208" t="s">
        <v>3501</v>
      </c>
      <c r="U23" s="3213">
        <v>25</v>
      </c>
      <c r="V23" s="3202"/>
      <c r="W23" s="3202"/>
    </row>
    <row r="24" spans="1:23" hidden="1">
      <c r="A24" s="3202" t="s">
        <v>3767</v>
      </c>
      <c r="B24" s="3168" t="s">
        <v>3833</v>
      </c>
      <c r="C24" s="3168" t="s">
        <v>3781</v>
      </c>
      <c r="D24" s="3212" t="s">
        <v>3502</v>
      </c>
      <c r="E24" s="3168" t="s">
        <v>3834</v>
      </c>
      <c r="F24" s="3204" t="s">
        <v>3499</v>
      </c>
      <c r="G24" s="3204" t="s">
        <v>3500</v>
      </c>
      <c r="H24" s="3169">
        <v>112.351</v>
      </c>
      <c r="I24" s="3164">
        <v>44986</v>
      </c>
      <c r="J24" s="3164">
        <v>45078</v>
      </c>
      <c r="K24" s="3164">
        <v>46173</v>
      </c>
      <c r="L24" s="3177" t="s">
        <v>3500</v>
      </c>
      <c r="M24" s="3205" t="s">
        <v>3500</v>
      </c>
      <c r="N24" s="3206">
        <v>121.67</v>
      </c>
      <c r="O24" s="3206">
        <f t="shared" si="1"/>
        <v>4.0556666666666663</v>
      </c>
      <c r="P24" s="3207">
        <v>164036.95404000001</v>
      </c>
      <c r="Q24" s="3202" t="s">
        <v>3739</v>
      </c>
      <c r="R24" s="3202">
        <v>0</v>
      </c>
      <c r="S24" s="3209"/>
      <c r="T24" s="3208" t="s">
        <v>3501</v>
      </c>
      <c r="U24" s="3213">
        <v>25</v>
      </c>
      <c r="V24" s="3202"/>
      <c r="W24" s="3202"/>
    </row>
    <row r="25" spans="1:23">
      <c r="A25" s="3202" t="s">
        <v>3767</v>
      </c>
      <c r="B25" s="3168" t="s">
        <v>3835</v>
      </c>
      <c r="C25" s="3168" t="s">
        <v>3781</v>
      </c>
      <c r="D25" s="3212" t="s">
        <v>3502</v>
      </c>
      <c r="E25" s="3168" t="s">
        <v>3836</v>
      </c>
      <c r="F25" s="3204" t="s">
        <v>3499</v>
      </c>
      <c r="G25" s="3204" t="s">
        <v>3500</v>
      </c>
      <c r="H25" s="3169">
        <v>6520</v>
      </c>
      <c r="I25" s="3164">
        <v>45097</v>
      </c>
      <c r="J25" s="3164">
        <v>45311</v>
      </c>
      <c r="K25" s="3164">
        <v>47907</v>
      </c>
      <c r="L25" s="3177" t="s">
        <v>3518</v>
      </c>
      <c r="M25" s="3205"/>
      <c r="N25" s="3206">
        <v>130.79</v>
      </c>
      <c r="O25" s="3206">
        <f t="shared" si="1"/>
        <v>4.3596666666666666</v>
      </c>
      <c r="P25" s="3207">
        <v>10173547.199999999</v>
      </c>
      <c r="Q25" s="3202" t="s">
        <v>3739</v>
      </c>
      <c r="R25" s="3202" t="s">
        <v>3837</v>
      </c>
      <c r="S25" s="3209" t="s">
        <v>3499</v>
      </c>
      <c r="T25" s="3208" t="s">
        <v>3501</v>
      </c>
      <c r="U25" s="3213">
        <v>25</v>
      </c>
      <c r="V25" s="3202"/>
      <c r="W25" s="3202"/>
    </row>
    <row r="26" spans="1:23" hidden="1">
      <c r="A26" s="3202" t="s">
        <v>3767</v>
      </c>
      <c r="B26" s="3162" t="s">
        <v>3838</v>
      </c>
      <c r="C26" s="3162" t="s">
        <v>3781</v>
      </c>
      <c r="D26" s="3216" t="s">
        <v>3502</v>
      </c>
      <c r="E26" s="3162" t="s">
        <v>3839</v>
      </c>
      <c r="F26" s="3202" t="s">
        <v>3499</v>
      </c>
      <c r="G26" s="3202" t="s">
        <v>3500</v>
      </c>
      <c r="H26" s="3163">
        <v>114.7</v>
      </c>
      <c r="I26" s="3164">
        <v>45108</v>
      </c>
      <c r="J26" s="3164">
        <v>45123</v>
      </c>
      <c r="K26" s="3164">
        <v>46218</v>
      </c>
      <c r="L26" s="3177" t="s">
        <v>3500</v>
      </c>
      <c r="M26" s="3205" t="s">
        <v>3500</v>
      </c>
      <c r="N26" s="3206">
        <v>114.98</v>
      </c>
      <c r="O26" s="3206">
        <f t="shared" si="1"/>
        <v>3.8326666666666669</v>
      </c>
      <c r="P26" s="3207">
        <v>158258.51999999999</v>
      </c>
      <c r="Q26" s="3202" t="s">
        <v>3770</v>
      </c>
      <c r="R26" s="3202">
        <v>0</v>
      </c>
      <c r="S26" s="3209"/>
      <c r="T26" s="3208" t="s">
        <v>3501</v>
      </c>
      <c r="U26" s="3213">
        <v>25</v>
      </c>
      <c r="V26" s="3202"/>
      <c r="W26" s="3202"/>
    </row>
    <row r="27" spans="1:23" hidden="1">
      <c r="A27" s="3202" t="s">
        <v>3767</v>
      </c>
      <c r="B27" s="3162" t="s">
        <v>3840</v>
      </c>
      <c r="C27" s="3162" t="s">
        <v>3781</v>
      </c>
      <c r="D27" s="3216" t="s">
        <v>3502</v>
      </c>
      <c r="E27" s="3162" t="s">
        <v>3841</v>
      </c>
      <c r="F27" s="3202" t="s">
        <v>3499</v>
      </c>
      <c r="G27" s="3202" t="s">
        <v>3500</v>
      </c>
      <c r="H27" s="3163">
        <v>238.95</v>
      </c>
      <c r="I27" s="3164">
        <v>45108</v>
      </c>
      <c r="J27" s="3164">
        <v>45123</v>
      </c>
      <c r="K27" s="3164">
        <v>46218</v>
      </c>
      <c r="L27" s="3177" t="s">
        <v>3500</v>
      </c>
      <c r="M27" s="3205" t="s">
        <v>3500</v>
      </c>
      <c r="N27" s="3206">
        <v>114.98</v>
      </c>
      <c r="O27" s="3206">
        <f t="shared" si="1"/>
        <v>3.8326666666666669</v>
      </c>
      <c r="P27" s="3207">
        <v>329693.64</v>
      </c>
      <c r="Q27" s="3202" t="s">
        <v>3770</v>
      </c>
      <c r="R27" s="3202">
        <v>0</v>
      </c>
      <c r="S27" s="3209"/>
      <c r="T27" s="3208" t="s">
        <v>3501</v>
      </c>
      <c r="U27" s="3213">
        <v>25</v>
      </c>
      <c r="V27" s="3202"/>
      <c r="W27" s="3202"/>
    </row>
    <row r="28" spans="1:23" hidden="1">
      <c r="A28" s="3202" t="s">
        <v>3767</v>
      </c>
      <c r="B28" s="3162" t="s">
        <v>3842</v>
      </c>
      <c r="C28" s="3162" t="s">
        <v>3781</v>
      </c>
      <c r="D28" s="3216" t="s">
        <v>3502</v>
      </c>
      <c r="E28" s="3162" t="s">
        <v>3843</v>
      </c>
      <c r="F28" s="3202" t="s">
        <v>3499</v>
      </c>
      <c r="G28" s="3202" t="s">
        <v>3500</v>
      </c>
      <c r="H28" s="3163">
        <v>134.41</v>
      </c>
      <c r="I28" s="3164">
        <v>45108</v>
      </c>
      <c r="J28" s="3164">
        <v>45123</v>
      </c>
      <c r="K28" s="3164">
        <v>46218</v>
      </c>
      <c r="L28" s="3177" t="s">
        <v>3500</v>
      </c>
      <c r="M28" s="3205" t="s">
        <v>3500</v>
      </c>
      <c r="N28" s="3206">
        <v>114.98</v>
      </c>
      <c r="O28" s="3206">
        <f t="shared" si="1"/>
        <v>3.8326666666666669</v>
      </c>
      <c r="P28" s="3207">
        <v>185453.52</v>
      </c>
      <c r="Q28" s="3202" t="s">
        <v>3770</v>
      </c>
      <c r="R28" s="3202">
        <v>0</v>
      </c>
      <c r="S28" s="3209"/>
      <c r="T28" s="3208" t="s">
        <v>3501</v>
      </c>
      <c r="U28" s="3213">
        <v>25</v>
      </c>
      <c r="V28" s="3202"/>
      <c r="W28" s="3202"/>
    </row>
    <row r="29" spans="1:23" hidden="1">
      <c r="A29" s="3202" t="s">
        <v>3767</v>
      </c>
      <c r="B29" s="3162" t="s">
        <v>3844</v>
      </c>
      <c r="C29" s="3162" t="s">
        <v>3781</v>
      </c>
      <c r="D29" s="3216" t="s">
        <v>3502</v>
      </c>
      <c r="E29" s="3162" t="s">
        <v>3845</v>
      </c>
      <c r="F29" s="3202" t="s">
        <v>3499</v>
      </c>
      <c r="G29" s="3202" t="s">
        <v>3500</v>
      </c>
      <c r="H29" s="3163">
        <v>125.35</v>
      </c>
      <c r="I29" s="3164">
        <v>45108</v>
      </c>
      <c r="J29" s="3164">
        <v>45123</v>
      </c>
      <c r="K29" s="3164">
        <v>46218</v>
      </c>
      <c r="L29" s="3177" t="s">
        <v>3500</v>
      </c>
      <c r="M29" s="3205" t="s">
        <v>3500</v>
      </c>
      <c r="N29" s="3206">
        <v>114.98</v>
      </c>
      <c r="O29" s="3206">
        <f t="shared" si="1"/>
        <v>3.8326666666666669</v>
      </c>
      <c r="P29" s="3207">
        <v>172952.88</v>
      </c>
      <c r="Q29" s="3202" t="s">
        <v>3770</v>
      </c>
      <c r="R29" s="3202">
        <v>0</v>
      </c>
      <c r="S29" s="3209"/>
      <c r="T29" s="3208" t="s">
        <v>3501</v>
      </c>
      <c r="U29" s="3213">
        <v>25</v>
      </c>
      <c r="V29" s="3202"/>
      <c r="W29" s="3202"/>
    </row>
    <row r="30" spans="1:23" hidden="1">
      <c r="A30" s="3202" t="s">
        <v>3767</v>
      </c>
      <c r="B30" s="3215" t="s">
        <v>3846</v>
      </c>
      <c r="C30" s="3215" t="s">
        <v>3781</v>
      </c>
      <c r="D30" s="3216" t="s">
        <v>3502</v>
      </c>
      <c r="E30" s="3215" t="s">
        <v>3847</v>
      </c>
      <c r="F30" s="3202" t="s">
        <v>3499</v>
      </c>
      <c r="G30" s="3202" t="s">
        <v>3500</v>
      </c>
      <c r="H30" s="3163">
        <v>1469.23</v>
      </c>
      <c r="I30" s="3164">
        <v>44986</v>
      </c>
      <c r="J30" s="3164">
        <v>45139</v>
      </c>
      <c r="K30" s="3164">
        <v>46142</v>
      </c>
      <c r="L30" s="3177" t="s">
        <v>3518</v>
      </c>
      <c r="M30" s="3205"/>
      <c r="N30" s="3206">
        <v>129.27000000000001</v>
      </c>
      <c r="O30" s="3206">
        <f t="shared" si="1"/>
        <v>4.3090000000000002</v>
      </c>
      <c r="P30" s="3207">
        <v>2279128.3199999998</v>
      </c>
      <c r="Q30" s="3202" t="s">
        <v>3739</v>
      </c>
      <c r="R30" s="3202">
        <v>0</v>
      </c>
      <c r="S30" s="3209" t="s">
        <v>3848</v>
      </c>
      <c r="T30" s="3208" t="s">
        <v>3501</v>
      </c>
      <c r="U30" s="3213">
        <v>25</v>
      </c>
      <c r="V30" s="3202"/>
      <c r="W30" s="3202"/>
    </row>
    <row r="31" spans="1:23" hidden="1">
      <c r="A31" s="3202" t="s">
        <v>3767</v>
      </c>
      <c r="B31" s="3162" t="s">
        <v>3849</v>
      </c>
      <c r="C31" s="3162" t="s">
        <v>3781</v>
      </c>
      <c r="D31" s="3216" t="s">
        <v>3502</v>
      </c>
      <c r="E31" s="3162" t="s">
        <v>3850</v>
      </c>
      <c r="F31" s="3202" t="s">
        <v>3499</v>
      </c>
      <c r="G31" s="3202" t="s">
        <v>3500</v>
      </c>
      <c r="H31" s="3163">
        <v>3863.76</v>
      </c>
      <c r="I31" s="3164">
        <v>45086</v>
      </c>
      <c r="J31" s="3164">
        <v>45139</v>
      </c>
      <c r="K31" s="3164">
        <v>46965</v>
      </c>
      <c r="L31" s="3177">
        <v>45413</v>
      </c>
      <c r="M31" s="3205">
        <v>45444</v>
      </c>
      <c r="N31" s="3206">
        <v>121.67</v>
      </c>
      <c r="O31" s="3206">
        <f t="shared" si="1"/>
        <v>4.0556666666666663</v>
      </c>
      <c r="P31" s="3207">
        <v>5782194.1200000001</v>
      </c>
      <c r="Q31" s="3202" t="s">
        <v>3770</v>
      </c>
      <c r="R31" s="3202" t="s">
        <v>3851</v>
      </c>
      <c r="S31" s="3209" t="s">
        <v>3499</v>
      </c>
      <c r="T31" s="3208" t="s">
        <v>3501</v>
      </c>
      <c r="U31" s="3213">
        <v>25</v>
      </c>
      <c r="V31" s="3202"/>
      <c r="W31" s="3202"/>
    </row>
    <row r="32" spans="1:23" hidden="1">
      <c r="A32" s="3202" t="s">
        <v>3767</v>
      </c>
      <c r="B32" s="3162" t="s">
        <v>3852</v>
      </c>
      <c r="C32" s="3162" t="s">
        <v>3781</v>
      </c>
      <c r="D32" s="3216" t="s">
        <v>3502</v>
      </c>
      <c r="E32" s="3162" t="s">
        <v>3853</v>
      </c>
      <c r="F32" s="3202" t="s">
        <v>3499</v>
      </c>
      <c r="G32" s="3202" t="s">
        <v>3500</v>
      </c>
      <c r="H32" s="3163">
        <v>134.41</v>
      </c>
      <c r="I32" s="3164">
        <v>45170</v>
      </c>
      <c r="J32" s="3164">
        <v>45170</v>
      </c>
      <c r="K32" s="3164">
        <v>46265</v>
      </c>
      <c r="L32" s="3177" t="s">
        <v>3500</v>
      </c>
      <c r="M32" s="3205" t="s">
        <v>3500</v>
      </c>
      <c r="N32" s="3206">
        <v>121.78</v>
      </c>
      <c r="O32" s="3206">
        <f t="shared" si="1"/>
        <v>4.059333333333333</v>
      </c>
      <c r="P32" s="3207">
        <v>196421.4</v>
      </c>
      <c r="Q32" s="3202" t="s">
        <v>3804</v>
      </c>
      <c r="R32" s="3202">
        <v>0</v>
      </c>
      <c r="S32" s="3209"/>
      <c r="T32" s="3208" t="s">
        <v>3501</v>
      </c>
      <c r="U32" s="3213">
        <v>25</v>
      </c>
      <c r="V32" s="3202"/>
      <c r="W32" s="3202"/>
    </row>
    <row r="33" spans="1:23" hidden="1">
      <c r="A33" s="3202" t="s">
        <v>3767</v>
      </c>
      <c r="B33" s="3214" t="s">
        <v>3854</v>
      </c>
      <c r="C33" s="3214" t="s">
        <v>3781</v>
      </c>
      <c r="D33" s="3212" t="s">
        <v>3502</v>
      </c>
      <c r="E33" s="3214" t="s">
        <v>3855</v>
      </c>
      <c r="F33" s="3204" t="s">
        <v>3499</v>
      </c>
      <c r="G33" s="3204" t="s">
        <v>3500</v>
      </c>
      <c r="H33" s="3169">
        <v>2254.31</v>
      </c>
      <c r="I33" s="3164">
        <v>45175</v>
      </c>
      <c r="J33" s="3164">
        <v>45175</v>
      </c>
      <c r="K33" s="3164">
        <v>47001</v>
      </c>
      <c r="L33" s="3177" t="s">
        <v>3518</v>
      </c>
      <c r="M33" s="3205"/>
      <c r="N33" s="3206"/>
      <c r="O33" s="3206">
        <v>7.6</v>
      </c>
      <c r="P33" s="3207">
        <v>6253455.9400000004</v>
      </c>
      <c r="Q33" s="3202" t="s">
        <v>3804</v>
      </c>
      <c r="R33" s="3202">
        <v>0</v>
      </c>
      <c r="S33" s="3209" t="s">
        <v>3856</v>
      </c>
      <c r="T33" s="3208" t="s">
        <v>3501</v>
      </c>
      <c r="U33" s="3213">
        <v>25</v>
      </c>
      <c r="V33" s="3202"/>
      <c r="W33" s="3202"/>
    </row>
    <row r="34" spans="1:23" hidden="1">
      <c r="A34" s="3202" t="s">
        <v>3767</v>
      </c>
      <c r="B34" s="3162" t="s">
        <v>3857</v>
      </c>
      <c r="C34" s="3162" t="s">
        <v>3781</v>
      </c>
      <c r="D34" s="3216" t="s">
        <v>3502</v>
      </c>
      <c r="E34" s="3162" t="s">
        <v>3858</v>
      </c>
      <c r="F34" s="3202" t="s">
        <v>3499</v>
      </c>
      <c r="G34" s="3202" t="s">
        <v>3500</v>
      </c>
      <c r="H34" s="3163">
        <v>1322.15</v>
      </c>
      <c r="I34" s="3164">
        <v>45658</v>
      </c>
      <c r="J34" s="3164">
        <v>45658</v>
      </c>
      <c r="K34" s="3164">
        <v>47026</v>
      </c>
      <c r="L34" s="3177" t="s">
        <v>3518</v>
      </c>
      <c r="M34" s="3205"/>
      <c r="N34" s="3206">
        <v>121.67</v>
      </c>
      <c r="O34" s="3206">
        <f t="shared" ref="O34:O42" si="2">N34/30</f>
        <v>4.0556666666666663</v>
      </c>
      <c r="P34" s="3207">
        <v>2271400.84</v>
      </c>
      <c r="Q34" s="3202" t="s">
        <v>3770</v>
      </c>
      <c r="R34" s="3202" t="s">
        <v>3859</v>
      </c>
      <c r="S34" s="3209" t="s">
        <v>3499</v>
      </c>
      <c r="T34" s="3208" t="s">
        <v>3501</v>
      </c>
      <c r="U34" s="3213">
        <v>25</v>
      </c>
      <c r="V34" s="3202"/>
      <c r="W34" s="3202"/>
    </row>
    <row r="35" spans="1:23" hidden="1">
      <c r="A35" s="3202" t="s">
        <v>3767</v>
      </c>
      <c r="B35" s="3215" t="s">
        <v>3860</v>
      </c>
      <c r="C35" s="3215" t="s">
        <v>3781</v>
      </c>
      <c r="D35" s="3216" t="s">
        <v>3502</v>
      </c>
      <c r="E35" s="3215" t="s">
        <v>3861</v>
      </c>
      <c r="F35" s="3202" t="s">
        <v>3499</v>
      </c>
      <c r="G35" s="3202" t="s">
        <v>3500</v>
      </c>
      <c r="H35" s="3163">
        <v>620.75</v>
      </c>
      <c r="I35" s="3164">
        <v>45139</v>
      </c>
      <c r="J35" s="3164">
        <v>45200</v>
      </c>
      <c r="K35" s="3164">
        <v>46295</v>
      </c>
      <c r="L35" s="3177" t="s">
        <v>3500</v>
      </c>
      <c r="M35" s="3205" t="s">
        <v>3500</v>
      </c>
      <c r="N35" s="3206">
        <v>136.88</v>
      </c>
      <c r="O35" s="3206">
        <f t="shared" si="2"/>
        <v>4.5626666666666669</v>
      </c>
      <c r="P35" s="3207">
        <v>1057360.72</v>
      </c>
      <c r="Q35" s="3202" t="s">
        <v>3739</v>
      </c>
      <c r="R35" s="3202" t="s">
        <v>3862</v>
      </c>
      <c r="S35" s="3209" t="s">
        <v>3499</v>
      </c>
      <c r="T35" s="3208" t="s">
        <v>3501</v>
      </c>
      <c r="U35" s="3213">
        <v>25</v>
      </c>
      <c r="V35" s="3202"/>
      <c r="W35" s="3202"/>
    </row>
    <row r="36" spans="1:23" hidden="1">
      <c r="A36" s="3202" t="s">
        <v>3767</v>
      </c>
      <c r="B36" s="3162" t="s">
        <v>3863</v>
      </c>
      <c r="C36" s="3162" t="s">
        <v>3781</v>
      </c>
      <c r="D36" s="3216" t="s">
        <v>3502</v>
      </c>
      <c r="E36" s="3162" t="s">
        <v>3864</v>
      </c>
      <c r="F36" s="3202" t="s">
        <v>3499</v>
      </c>
      <c r="G36" s="3202" t="s">
        <v>3500</v>
      </c>
      <c r="H36" s="3163">
        <v>340.63</v>
      </c>
      <c r="I36" s="3164">
        <v>45153</v>
      </c>
      <c r="J36" s="3164">
        <v>45214</v>
      </c>
      <c r="K36" s="3164">
        <v>46309</v>
      </c>
      <c r="L36" s="3177" t="s">
        <v>3500</v>
      </c>
      <c r="M36" s="3205" t="s">
        <v>3500</v>
      </c>
      <c r="N36" s="3206">
        <v>130.79</v>
      </c>
      <c r="O36" s="3206">
        <f t="shared" si="2"/>
        <v>4.3596666666666666</v>
      </c>
      <c r="P36" s="3207">
        <v>534612</v>
      </c>
      <c r="Q36" s="3202" t="s">
        <v>3770</v>
      </c>
      <c r="R36" s="3202">
        <v>0</v>
      </c>
      <c r="S36" s="3209"/>
      <c r="T36" s="3208" t="s">
        <v>3501</v>
      </c>
      <c r="U36" s="3213">
        <v>25</v>
      </c>
      <c r="V36" s="3202"/>
      <c r="W36" s="3202"/>
    </row>
    <row r="37" spans="1:23" hidden="1">
      <c r="A37" s="3202" t="s">
        <v>3767</v>
      </c>
      <c r="B37" s="3168" t="s">
        <v>3865</v>
      </c>
      <c r="C37" s="3168" t="s">
        <v>3781</v>
      </c>
      <c r="D37" s="3212" t="s">
        <v>3502</v>
      </c>
      <c r="E37" s="3168" t="s">
        <v>3866</v>
      </c>
      <c r="F37" s="3204" t="s">
        <v>3499</v>
      </c>
      <c r="G37" s="3204" t="s">
        <v>3500</v>
      </c>
      <c r="H37" s="3169">
        <v>234.01</v>
      </c>
      <c r="I37" s="3164">
        <v>45311</v>
      </c>
      <c r="J37" s="3164">
        <v>45311</v>
      </c>
      <c r="K37" s="3164">
        <v>46041</v>
      </c>
      <c r="L37" s="3177" t="s">
        <v>3500</v>
      </c>
      <c r="M37" s="3205" t="s">
        <v>3500</v>
      </c>
      <c r="N37" s="3206">
        <v>265.23</v>
      </c>
      <c r="O37" s="3206">
        <f t="shared" si="2"/>
        <v>8.8410000000000011</v>
      </c>
      <c r="P37" s="3207">
        <v>410439.56</v>
      </c>
      <c r="Q37" s="3202" t="s">
        <v>3770</v>
      </c>
      <c r="R37" s="3202">
        <v>0</v>
      </c>
      <c r="S37" s="3209"/>
      <c r="T37" s="3208" t="s">
        <v>3501</v>
      </c>
      <c r="U37" s="3213">
        <v>25</v>
      </c>
      <c r="V37" s="3202"/>
      <c r="W37" s="3202"/>
    </row>
    <row r="38" spans="1:23" hidden="1">
      <c r="A38" s="3202" t="s">
        <v>3767</v>
      </c>
      <c r="B38" s="3168" t="s">
        <v>3867</v>
      </c>
      <c r="C38" s="3168" t="s">
        <v>3781</v>
      </c>
      <c r="D38" s="3212" t="s">
        <v>3502</v>
      </c>
      <c r="E38" s="3168" t="s">
        <v>3868</v>
      </c>
      <c r="F38" s="3204" t="s">
        <v>3499</v>
      </c>
      <c r="G38" s="3204" t="s">
        <v>3500</v>
      </c>
      <c r="H38" s="3169">
        <v>561.80999999999995</v>
      </c>
      <c r="I38" s="3164">
        <v>45311</v>
      </c>
      <c r="J38" s="3164">
        <v>45311</v>
      </c>
      <c r="K38" s="3164">
        <v>46041</v>
      </c>
      <c r="L38" s="3177" t="s">
        <v>3500</v>
      </c>
      <c r="M38" s="3205" t="s">
        <v>3500</v>
      </c>
      <c r="N38" s="3206">
        <v>265.23</v>
      </c>
      <c r="O38" s="3206">
        <f t="shared" si="2"/>
        <v>8.8410000000000011</v>
      </c>
      <c r="P38" s="3207">
        <v>985381.24</v>
      </c>
      <c r="Q38" s="3202" t="s">
        <v>3770</v>
      </c>
      <c r="R38" s="3202">
        <v>0</v>
      </c>
      <c r="S38" s="3209"/>
      <c r="T38" s="3208" t="s">
        <v>3501</v>
      </c>
      <c r="U38" s="3213">
        <v>25</v>
      </c>
      <c r="V38" s="3202"/>
      <c r="W38" s="3202"/>
    </row>
    <row r="39" spans="1:23" hidden="1">
      <c r="A39" s="3202" t="s">
        <v>3767</v>
      </c>
      <c r="B39" s="3215" t="s">
        <v>3869</v>
      </c>
      <c r="C39" s="3215" t="s">
        <v>3781</v>
      </c>
      <c r="D39" s="3216" t="s">
        <v>3502</v>
      </c>
      <c r="E39" s="3215" t="s">
        <v>3870</v>
      </c>
      <c r="F39" s="3202" t="s">
        <v>3499</v>
      </c>
      <c r="G39" s="3202" t="s">
        <v>3500</v>
      </c>
      <c r="H39" s="3163">
        <v>1663.71</v>
      </c>
      <c r="I39" s="3164">
        <v>45127</v>
      </c>
      <c r="J39" s="3164">
        <v>45219.0000020718</v>
      </c>
      <c r="K39" s="3164">
        <v>47045.000007245399</v>
      </c>
      <c r="L39" s="3177" t="s">
        <v>3518</v>
      </c>
      <c r="M39" s="3205"/>
      <c r="N39" s="3206">
        <v>106.46</v>
      </c>
      <c r="O39" s="3206">
        <f t="shared" si="2"/>
        <v>3.5486666666666666</v>
      </c>
      <c r="P39" s="3207">
        <v>2216460.96</v>
      </c>
      <c r="Q39" s="3202" t="s">
        <v>3770</v>
      </c>
      <c r="R39" s="3202" t="s">
        <v>3871</v>
      </c>
      <c r="S39" s="3209" t="s">
        <v>3872</v>
      </c>
      <c r="T39" s="3208" t="s">
        <v>3501</v>
      </c>
      <c r="U39" s="3213">
        <v>25</v>
      </c>
      <c r="V39" s="3202"/>
      <c r="W39" s="3202"/>
    </row>
    <row r="40" spans="1:23" hidden="1">
      <c r="A40" s="3202" t="s">
        <v>3767</v>
      </c>
      <c r="B40" s="3162" t="s">
        <v>3873</v>
      </c>
      <c r="C40" s="3162" t="s">
        <v>3781</v>
      </c>
      <c r="D40" s="3216" t="s">
        <v>3502</v>
      </c>
      <c r="E40" s="3162" t="s">
        <v>3874</v>
      </c>
      <c r="F40" s="3202" t="s">
        <v>3499</v>
      </c>
      <c r="G40" s="3202" t="s">
        <v>3500</v>
      </c>
      <c r="H40" s="3163">
        <v>134.44999999999999</v>
      </c>
      <c r="I40" s="3164">
        <v>45127</v>
      </c>
      <c r="J40" s="3164">
        <v>45219</v>
      </c>
      <c r="K40" s="3164">
        <v>47045</v>
      </c>
      <c r="L40" s="3177" t="s">
        <v>3500</v>
      </c>
      <c r="M40" s="3205" t="s">
        <v>3500</v>
      </c>
      <c r="N40" s="3206">
        <v>106.46</v>
      </c>
      <c r="O40" s="3206">
        <f t="shared" si="2"/>
        <v>3.5486666666666666</v>
      </c>
      <c r="P40" s="3207">
        <v>179119.68</v>
      </c>
      <c r="Q40" s="3202" t="s">
        <v>3770</v>
      </c>
      <c r="R40" s="3202" t="s">
        <v>3871</v>
      </c>
      <c r="S40" s="3209"/>
      <c r="T40" s="3208" t="s">
        <v>3501</v>
      </c>
      <c r="U40" s="3213">
        <v>25</v>
      </c>
      <c r="V40" s="3202"/>
      <c r="W40" s="3202"/>
    </row>
    <row r="41" spans="1:23" hidden="1">
      <c r="A41" s="3202" t="s">
        <v>3767</v>
      </c>
      <c r="B41" s="3162" t="s">
        <v>3875</v>
      </c>
      <c r="C41" s="3162" t="s">
        <v>3781</v>
      </c>
      <c r="D41" s="3216" t="s">
        <v>3502</v>
      </c>
      <c r="E41" s="3162" t="s">
        <v>3870</v>
      </c>
      <c r="F41" s="3202" t="s">
        <v>3499</v>
      </c>
      <c r="G41" s="3202" t="s">
        <v>3500</v>
      </c>
      <c r="H41" s="3163">
        <v>133.72</v>
      </c>
      <c r="I41" s="3164">
        <v>45127</v>
      </c>
      <c r="J41" s="3164">
        <v>45219</v>
      </c>
      <c r="K41" s="3164">
        <v>47045</v>
      </c>
      <c r="L41" s="3177" t="s">
        <v>3500</v>
      </c>
      <c r="M41" s="3205" t="s">
        <v>3500</v>
      </c>
      <c r="N41" s="3206">
        <v>106.46</v>
      </c>
      <c r="O41" s="3206">
        <f t="shared" si="2"/>
        <v>3.5486666666666666</v>
      </c>
      <c r="P41" s="3207">
        <v>178147.14</v>
      </c>
      <c r="Q41" s="3202" t="s">
        <v>3770</v>
      </c>
      <c r="R41" s="3202" t="s">
        <v>3871</v>
      </c>
      <c r="S41" s="3209"/>
      <c r="T41" s="3208" t="s">
        <v>3501</v>
      </c>
      <c r="U41" s="3213">
        <v>25</v>
      </c>
      <c r="V41" s="3202"/>
      <c r="W41" s="3202"/>
    </row>
    <row r="42" spans="1:23" hidden="1">
      <c r="A42" s="3202" t="s">
        <v>3767</v>
      </c>
      <c r="B42" s="3162" t="s">
        <v>3876</v>
      </c>
      <c r="C42" s="3162" t="s">
        <v>3781</v>
      </c>
      <c r="D42" s="3216" t="s">
        <v>3502</v>
      </c>
      <c r="E42" s="3162" t="s">
        <v>3877</v>
      </c>
      <c r="F42" s="3202" t="s">
        <v>3499</v>
      </c>
      <c r="G42" s="3202" t="s">
        <v>3500</v>
      </c>
      <c r="H42" s="3163">
        <v>940.97</v>
      </c>
      <c r="I42" s="3164">
        <v>45231</v>
      </c>
      <c r="J42" s="3164">
        <v>45231</v>
      </c>
      <c r="K42" s="3164">
        <v>47057</v>
      </c>
      <c r="L42" s="3177" t="s">
        <v>3518</v>
      </c>
      <c r="M42" s="3205"/>
      <c r="N42" s="3206">
        <v>142.35</v>
      </c>
      <c r="O42" s="3206">
        <f t="shared" si="2"/>
        <v>4.7450000000000001</v>
      </c>
      <c r="P42" s="3207">
        <v>1607364.96</v>
      </c>
      <c r="Q42" s="3202" t="s">
        <v>3770</v>
      </c>
      <c r="R42" s="3202" t="s">
        <v>3878</v>
      </c>
      <c r="S42" s="3209" t="s">
        <v>3879</v>
      </c>
      <c r="T42" s="3208" t="s">
        <v>3501</v>
      </c>
      <c r="U42" s="3213">
        <v>25</v>
      </c>
      <c r="V42" s="3202"/>
      <c r="W42" s="3202"/>
    </row>
    <row r="43" spans="1:23" hidden="1">
      <c r="A43" s="3202" t="s">
        <v>3767</v>
      </c>
      <c r="B43" s="3162" t="s">
        <v>3880</v>
      </c>
      <c r="C43" s="3162" t="s">
        <v>3781</v>
      </c>
      <c r="D43" s="3216" t="s">
        <v>3502</v>
      </c>
      <c r="E43" s="3162" t="s">
        <v>3881</v>
      </c>
      <c r="F43" s="3202" t="s">
        <v>3499</v>
      </c>
      <c r="G43" s="3202" t="s">
        <v>3500</v>
      </c>
      <c r="H43" s="3163">
        <v>2912.66</v>
      </c>
      <c r="I43" s="3164">
        <v>45231</v>
      </c>
      <c r="J43" s="3164">
        <v>45231</v>
      </c>
      <c r="K43" s="3164">
        <v>47057</v>
      </c>
      <c r="L43" s="3177" t="s">
        <v>3518</v>
      </c>
      <c r="M43" s="3205"/>
      <c r="N43" s="3206"/>
      <c r="O43" s="3206">
        <v>4</v>
      </c>
      <c r="P43" s="3207">
        <v>4252483.5599999996</v>
      </c>
      <c r="Q43" s="3202" t="s">
        <v>3796</v>
      </c>
      <c r="R43" s="3202" t="s">
        <v>3882</v>
      </c>
      <c r="S43" s="3209" t="s">
        <v>3872</v>
      </c>
      <c r="T43" s="3208" t="s">
        <v>3501</v>
      </c>
      <c r="U43" s="3213">
        <f>0.57*30</f>
        <v>17.099999999999998</v>
      </c>
      <c r="V43" s="3202"/>
      <c r="W43" s="3202"/>
    </row>
    <row r="44" spans="1:23" hidden="1">
      <c r="A44" s="3202" t="s">
        <v>3767</v>
      </c>
      <c r="B44" s="3162" t="s">
        <v>3883</v>
      </c>
      <c r="C44" s="3162" t="s">
        <v>3781</v>
      </c>
      <c r="D44" s="3216" t="s">
        <v>3502</v>
      </c>
      <c r="E44" s="3162" t="s">
        <v>3884</v>
      </c>
      <c r="F44" s="3202" t="s">
        <v>3499</v>
      </c>
      <c r="G44" s="3202" t="s">
        <v>3500</v>
      </c>
      <c r="H44" s="3163">
        <v>954.49</v>
      </c>
      <c r="I44" s="3164">
        <v>45137</v>
      </c>
      <c r="J44" s="3164">
        <v>45266</v>
      </c>
      <c r="K44" s="3164">
        <v>46361</v>
      </c>
      <c r="L44" s="3177" t="s">
        <v>3518</v>
      </c>
      <c r="M44" s="3205"/>
      <c r="N44" s="3206">
        <v>135.47999999999999</v>
      </c>
      <c r="O44" s="3206">
        <f t="shared" ref="O44:O65" si="3">N44/30</f>
        <v>4.516</v>
      </c>
      <c r="P44" s="3207">
        <v>1551771.94</v>
      </c>
      <c r="Q44" s="3202" t="s">
        <v>3770</v>
      </c>
      <c r="R44" s="3202">
        <v>0</v>
      </c>
      <c r="S44" s="3209" t="s">
        <v>3885</v>
      </c>
      <c r="T44" s="3208" t="s">
        <v>3501</v>
      </c>
      <c r="U44" s="3213">
        <v>25</v>
      </c>
      <c r="V44" s="3202"/>
      <c r="W44" s="3202"/>
    </row>
    <row r="45" spans="1:23" hidden="1">
      <c r="A45" s="3202" t="s">
        <v>3767</v>
      </c>
      <c r="B45" s="3214" t="s">
        <v>3886</v>
      </c>
      <c r="C45" s="3214" t="s">
        <v>3781</v>
      </c>
      <c r="D45" s="3212" t="s">
        <v>3502</v>
      </c>
      <c r="E45" s="3214" t="s">
        <v>3887</v>
      </c>
      <c r="F45" s="3204" t="s">
        <v>3499</v>
      </c>
      <c r="G45" s="3204" t="s">
        <v>3500</v>
      </c>
      <c r="H45" s="3169">
        <v>3855.76</v>
      </c>
      <c r="I45" s="3164">
        <v>45275</v>
      </c>
      <c r="J45" s="3164">
        <v>45275</v>
      </c>
      <c r="K45" s="3164">
        <v>47101</v>
      </c>
      <c r="L45" s="3177" t="s">
        <v>3518</v>
      </c>
      <c r="M45" s="3205"/>
      <c r="N45" s="3206"/>
      <c r="O45" s="3206">
        <v>4.38</v>
      </c>
      <c r="P45" s="3207">
        <v>6164203.5099999998</v>
      </c>
      <c r="Q45" s="3202" t="s">
        <v>3804</v>
      </c>
      <c r="R45" s="3202">
        <v>0</v>
      </c>
      <c r="S45" s="3209" t="s">
        <v>3499</v>
      </c>
      <c r="T45" s="3208" t="s">
        <v>3501</v>
      </c>
      <c r="U45" s="3213">
        <v>25</v>
      </c>
      <c r="V45" s="3202"/>
      <c r="W45" s="3202"/>
    </row>
    <row r="46" spans="1:23" hidden="1">
      <c r="A46" s="3202" t="s">
        <v>3767</v>
      </c>
      <c r="B46" s="3229" t="s">
        <v>3888</v>
      </c>
      <c r="C46" s="3215" t="s">
        <v>3781</v>
      </c>
      <c r="D46" s="3216" t="s">
        <v>3502</v>
      </c>
      <c r="E46" s="3215" t="s">
        <v>3889</v>
      </c>
      <c r="F46" s="3202" t="s">
        <v>3499</v>
      </c>
      <c r="G46" s="3202" t="s">
        <v>3500</v>
      </c>
      <c r="H46" s="3163">
        <v>25.41</v>
      </c>
      <c r="I46" s="3164">
        <v>45323</v>
      </c>
      <c r="J46" s="3164">
        <v>45323</v>
      </c>
      <c r="K46" s="3164">
        <v>46081</v>
      </c>
      <c r="L46" s="3177" t="s">
        <v>3500</v>
      </c>
      <c r="M46" s="3205" t="s">
        <v>3500</v>
      </c>
      <c r="N46" s="3206">
        <v>158.16999999999999</v>
      </c>
      <c r="O46" s="3206">
        <f t="shared" si="3"/>
        <v>5.2723333333333331</v>
      </c>
      <c r="P46" s="3207">
        <v>44210.1</v>
      </c>
      <c r="Q46" s="3202" t="s">
        <v>3770</v>
      </c>
      <c r="R46" s="3202">
        <v>0</v>
      </c>
      <c r="S46" s="3209"/>
      <c r="T46" s="3208" t="s">
        <v>3501</v>
      </c>
      <c r="U46" s="3213">
        <v>25</v>
      </c>
      <c r="V46" s="3202"/>
      <c r="W46" s="3202"/>
    </row>
    <row r="47" spans="1:23" hidden="1">
      <c r="A47" s="3202" t="s">
        <v>3767</v>
      </c>
      <c r="B47" s="3229" t="s">
        <v>3890</v>
      </c>
      <c r="C47" s="3215" t="s">
        <v>3781</v>
      </c>
      <c r="D47" s="3216" t="s">
        <v>3470</v>
      </c>
      <c r="E47" s="3215" t="s">
        <v>3891</v>
      </c>
      <c r="F47" s="3202" t="s">
        <v>3499</v>
      </c>
      <c r="G47" s="3202" t="s">
        <v>3500</v>
      </c>
      <c r="H47" s="3163">
        <v>448.99</v>
      </c>
      <c r="I47" s="3164">
        <v>45323</v>
      </c>
      <c r="J47" s="3164">
        <v>45323</v>
      </c>
      <c r="K47" s="3164">
        <v>46081</v>
      </c>
      <c r="L47" s="3177" t="s">
        <v>3500</v>
      </c>
      <c r="M47" s="3205" t="s">
        <v>3500</v>
      </c>
      <c r="N47" s="3206">
        <v>158.16999999999999</v>
      </c>
      <c r="O47" s="3206">
        <f t="shared" si="3"/>
        <v>5.2723333333333331</v>
      </c>
      <c r="P47" s="3207">
        <v>781184.25</v>
      </c>
      <c r="Q47" s="3202" t="s">
        <v>3770</v>
      </c>
      <c r="R47" s="3202">
        <v>0</v>
      </c>
      <c r="S47" s="3209"/>
      <c r="T47" s="3208" t="s">
        <v>3501</v>
      </c>
      <c r="U47" s="3213">
        <v>25</v>
      </c>
      <c r="V47" s="3202"/>
      <c r="W47" s="3202"/>
    </row>
    <row r="48" spans="1:23" hidden="1">
      <c r="A48" s="3202" t="s">
        <v>3767</v>
      </c>
      <c r="B48" s="3229" t="s">
        <v>3892</v>
      </c>
      <c r="C48" s="3215" t="s">
        <v>3781</v>
      </c>
      <c r="D48" s="3216" t="s">
        <v>3470</v>
      </c>
      <c r="E48" s="3215" t="s">
        <v>3893</v>
      </c>
      <c r="F48" s="3202" t="s">
        <v>3499</v>
      </c>
      <c r="G48" s="3202" t="s">
        <v>3500</v>
      </c>
      <c r="H48" s="3163">
        <v>25.41</v>
      </c>
      <c r="I48" s="3164">
        <v>45323</v>
      </c>
      <c r="J48" s="3164">
        <v>45323</v>
      </c>
      <c r="K48" s="3164">
        <v>46081</v>
      </c>
      <c r="L48" s="3177" t="s">
        <v>3500</v>
      </c>
      <c r="M48" s="3205" t="s">
        <v>3500</v>
      </c>
      <c r="N48" s="3206">
        <v>158.16999999999999</v>
      </c>
      <c r="O48" s="3206">
        <f t="shared" si="3"/>
        <v>5.2723333333333331</v>
      </c>
      <c r="P48" s="3207">
        <v>44210.1</v>
      </c>
      <c r="Q48" s="3202" t="s">
        <v>3770</v>
      </c>
      <c r="R48" s="3202">
        <v>0</v>
      </c>
      <c r="S48" s="3209"/>
      <c r="T48" s="3208" t="s">
        <v>3501</v>
      </c>
      <c r="U48" s="3213">
        <v>25</v>
      </c>
      <c r="V48" s="3202"/>
      <c r="W48" s="3202"/>
    </row>
    <row r="49" spans="1:23" hidden="1">
      <c r="A49" s="3202" t="s">
        <v>3767</v>
      </c>
      <c r="B49" s="3229" t="s">
        <v>3894</v>
      </c>
      <c r="C49" s="3215" t="s">
        <v>3781</v>
      </c>
      <c r="D49" s="3216" t="s">
        <v>3502</v>
      </c>
      <c r="E49" s="3215" t="s">
        <v>3895</v>
      </c>
      <c r="F49" s="3202" t="s">
        <v>3499</v>
      </c>
      <c r="G49" s="3202" t="s">
        <v>3500</v>
      </c>
      <c r="H49" s="3163">
        <v>15.38</v>
      </c>
      <c r="I49" s="3164">
        <v>45323</v>
      </c>
      <c r="J49" s="3164">
        <v>45323</v>
      </c>
      <c r="K49" s="3164">
        <v>46081</v>
      </c>
      <c r="L49" s="3177" t="s">
        <v>3500</v>
      </c>
      <c r="M49" s="3205" t="s">
        <v>3500</v>
      </c>
      <c r="N49" s="3206">
        <v>158.16999999999999</v>
      </c>
      <c r="O49" s="3206">
        <f t="shared" si="3"/>
        <v>5.2723333333333331</v>
      </c>
      <c r="P49" s="3207">
        <v>26759.15</v>
      </c>
      <c r="Q49" s="3202" t="s">
        <v>3770</v>
      </c>
      <c r="R49" s="3202">
        <v>0</v>
      </c>
      <c r="S49" s="3209"/>
      <c r="T49" s="3208" t="s">
        <v>3501</v>
      </c>
      <c r="U49" s="3213">
        <v>25</v>
      </c>
      <c r="V49" s="3202"/>
      <c r="W49" s="3202"/>
    </row>
    <row r="50" spans="1:23" hidden="1">
      <c r="A50" s="3202" t="s">
        <v>3767</v>
      </c>
      <c r="B50" s="3162" t="s">
        <v>3896</v>
      </c>
      <c r="C50" s="3162" t="s">
        <v>3781</v>
      </c>
      <c r="D50" s="3216" t="s">
        <v>3502</v>
      </c>
      <c r="E50" s="3162" t="s">
        <v>3897</v>
      </c>
      <c r="F50" s="3202" t="s">
        <v>3499</v>
      </c>
      <c r="G50" s="3202" t="s">
        <v>3500</v>
      </c>
      <c r="H50" s="3163">
        <v>5766.55</v>
      </c>
      <c r="I50" s="3164">
        <v>45292</v>
      </c>
      <c r="J50" s="3164">
        <v>45413</v>
      </c>
      <c r="K50" s="3164">
        <v>47238</v>
      </c>
      <c r="L50" s="3177" t="s">
        <v>3518</v>
      </c>
      <c r="M50" s="3205"/>
      <c r="N50" s="3206">
        <v>132.31</v>
      </c>
      <c r="O50" s="3206">
        <f t="shared" si="3"/>
        <v>4.410333333333333</v>
      </c>
      <c r="P50" s="3207">
        <v>9155666.7599999998</v>
      </c>
      <c r="Q50" s="3202" t="s">
        <v>3739</v>
      </c>
      <c r="R50" s="3202" t="s">
        <v>3898</v>
      </c>
      <c r="S50" s="3209" t="s">
        <v>3499</v>
      </c>
      <c r="T50" s="3208" t="s">
        <v>3501</v>
      </c>
      <c r="U50" s="3213">
        <v>25</v>
      </c>
      <c r="V50" s="3202"/>
      <c r="W50" s="3202"/>
    </row>
    <row r="51" spans="1:23" hidden="1">
      <c r="A51" s="3202" t="s">
        <v>3767</v>
      </c>
      <c r="B51" s="3215" t="s">
        <v>3899</v>
      </c>
      <c r="C51" s="3215" t="s">
        <v>3781</v>
      </c>
      <c r="D51" s="3216" t="s">
        <v>3502</v>
      </c>
      <c r="E51" s="3215" t="s">
        <v>3900</v>
      </c>
      <c r="F51" s="3202" t="s">
        <v>3499</v>
      </c>
      <c r="G51" s="3202" t="s">
        <v>3500</v>
      </c>
      <c r="H51" s="3163">
        <v>140</v>
      </c>
      <c r="I51" s="3164">
        <v>45292</v>
      </c>
      <c r="J51" s="3164">
        <v>45413</v>
      </c>
      <c r="K51" s="3164">
        <v>47238</v>
      </c>
      <c r="L51" s="3177" t="s">
        <v>3500</v>
      </c>
      <c r="M51" s="3205" t="s">
        <v>3500</v>
      </c>
      <c r="N51" s="3206">
        <v>132.31</v>
      </c>
      <c r="O51" s="3206">
        <f t="shared" si="3"/>
        <v>4.410333333333333</v>
      </c>
      <c r="P51" s="3207">
        <v>222280.8</v>
      </c>
      <c r="Q51" s="3202" t="s">
        <v>3739</v>
      </c>
      <c r="R51" s="3202" t="s">
        <v>3898</v>
      </c>
      <c r="S51" s="3209"/>
      <c r="T51" s="3208" t="s">
        <v>3501</v>
      </c>
      <c r="U51" s="3213">
        <v>25</v>
      </c>
      <c r="V51" s="3202"/>
      <c r="W51" s="3202"/>
    </row>
    <row r="52" spans="1:23" hidden="1">
      <c r="A52" s="3202" t="s">
        <v>3767</v>
      </c>
      <c r="B52" s="3215" t="s">
        <v>3901</v>
      </c>
      <c r="C52" s="3215" t="s">
        <v>3781</v>
      </c>
      <c r="D52" s="3216" t="s">
        <v>3502</v>
      </c>
      <c r="E52" s="3215" t="s">
        <v>3902</v>
      </c>
      <c r="F52" s="3202" t="s">
        <v>3499</v>
      </c>
      <c r="G52" s="3202" t="s">
        <v>3500</v>
      </c>
      <c r="H52" s="3163">
        <v>720</v>
      </c>
      <c r="I52" s="3164">
        <v>45292</v>
      </c>
      <c r="J52" s="3164">
        <v>45413</v>
      </c>
      <c r="K52" s="3164">
        <v>47238</v>
      </c>
      <c r="L52" s="3177" t="s">
        <v>3500</v>
      </c>
      <c r="M52" s="3205" t="s">
        <v>3500</v>
      </c>
      <c r="N52" s="3206">
        <v>132.31</v>
      </c>
      <c r="O52" s="3206">
        <f t="shared" si="3"/>
        <v>4.410333333333333</v>
      </c>
      <c r="P52" s="3207">
        <v>1143158.3999999999</v>
      </c>
      <c r="Q52" s="3202" t="s">
        <v>3739</v>
      </c>
      <c r="R52" s="3202" t="s">
        <v>3898</v>
      </c>
      <c r="S52" s="3209" t="s">
        <v>3499</v>
      </c>
      <c r="T52" s="3208" t="s">
        <v>3501</v>
      </c>
      <c r="U52" s="3213">
        <v>25</v>
      </c>
      <c r="V52" s="3202"/>
      <c r="W52" s="3202"/>
    </row>
    <row r="53" spans="1:23" hidden="1">
      <c r="A53" s="3202" t="s">
        <v>3767</v>
      </c>
      <c r="B53" s="3215" t="s">
        <v>3903</v>
      </c>
      <c r="C53" s="3215" t="s">
        <v>3781</v>
      </c>
      <c r="D53" s="3216" t="s">
        <v>3502</v>
      </c>
      <c r="E53" s="3215" t="s">
        <v>3904</v>
      </c>
      <c r="F53" s="3202" t="s">
        <v>3499</v>
      </c>
      <c r="G53" s="3202" t="s">
        <v>3500</v>
      </c>
      <c r="H53" s="3163">
        <v>844.24</v>
      </c>
      <c r="I53" s="3164">
        <v>45427</v>
      </c>
      <c r="J53" s="3164">
        <v>45444</v>
      </c>
      <c r="K53" s="3164">
        <v>47269</v>
      </c>
      <c r="L53" s="3177">
        <v>45505</v>
      </c>
      <c r="M53" s="3205">
        <v>45536</v>
      </c>
      <c r="N53" s="3206">
        <v>132.31</v>
      </c>
      <c r="O53" s="3206">
        <f t="shared" si="3"/>
        <v>4.410333333333333</v>
      </c>
      <c r="P53" s="3207">
        <v>1340416.68</v>
      </c>
      <c r="Q53" s="3202" t="s">
        <v>3739</v>
      </c>
      <c r="R53" s="3202" t="s">
        <v>3905</v>
      </c>
      <c r="S53" s="3209" t="s">
        <v>3499</v>
      </c>
      <c r="T53" s="3208" t="s">
        <v>3501</v>
      </c>
      <c r="U53" s="3213">
        <v>25</v>
      </c>
      <c r="V53" s="3202"/>
      <c r="W53" s="3202"/>
    </row>
    <row r="54" spans="1:23" ht="24" hidden="1">
      <c r="A54" s="3202" t="s">
        <v>3767</v>
      </c>
      <c r="B54" s="3215" t="s">
        <v>3906</v>
      </c>
      <c r="C54" s="3215" t="s">
        <v>3781</v>
      </c>
      <c r="D54" s="3216" t="s">
        <v>3502</v>
      </c>
      <c r="E54" s="3215" t="s">
        <v>3907</v>
      </c>
      <c r="F54" s="3202" t="s">
        <v>3499</v>
      </c>
      <c r="G54" s="3202" t="s">
        <v>3500</v>
      </c>
      <c r="H54" s="3163">
        <v>385.39</v>
      </c>
      <c r="I54" s="3164">
        <f>+J54</f>
        <v>45444</v>
      </c>
      <c r="J54" s="3164">
        <v>45444</v>
      </c>
      <c r="K54" s="3164">
        <v>46173</v>
      </c>
      <c r="L54" s="3177" t="s">
        <v>3500</v>
      </c>
      <c r="M54" s="3205" t="s">
        <v>3500</v>
      </c>
      <c r="N54" s="3206">
        <v>142.35</v>
      </c>
      <c r="O54" s="3206">
        <f t="shared" si="3"/>
        <v>4.7450000000000001</v>
      </c>
      <c r="P54" s="3207">
        <v>0</v>
      </c>
      <c r="Q54" s="3202" t="s">
        <v>3804</v>
      </c>
      <c r="R54" s="3202">
        <v>0</v>
      </c>
      <c r="S54" s="3209" t="s">
        <v>3908</v>
      </c>
      <c r="T54" s="3208" t="s">
        <v>3501</v>
      </c>
      <c r="U54" s="3213">
        <v>25</v>
      </c>
      <c r="V54" s="3202"/>
      <c r="W54" s="3202"/>
    </row>
    <row r="55" spans="1:23" hidden="1">
      <c r="A55" s="3202" t="s">
        <v>3767</v>
      </c>
      <c r="B55" s="3215" t="s">
        <v>3909</v>
      </c>
      <c r="C55" s="3215" t="s">
        <v>3781</v>
      </c>
      <c r="D55" s="3216" t="s">
        <v>3502</v>
      </c>
      <c r="E55" s="3215" t="s">
        <v>3910</v>
      </c>
      <c r="F55" s="3202" t="s">
        <v>3499</v>
      </c>
      <c r="G55" s="3202" t="s">
        <v>3500</v>
      </c>
      <c r="H55" s="3163">
        <v>233.76</v>
      </c>
      <c r="I55" s="3164">
        <v>45429</v>
      </c>
      <c r="J55" s="3164">
        <v>45536</v>
      </c>
      <c r="K55" s="3164">
        <v>47361</v>
      </c>
      <c r="L55" s="3177" t="s">
        <v>3500</v>
      </c>
      <c r="M55" s="3205" t="s">
        <v>3500</v>
      </c>
      <c r="N55" s="3206">
        <v>127.75</v>
      </c>
      <c r="O55" s="3206">
        <f t="shared" si="3"/>
        <v>4.2583333333333337</v>
      </c>
      <c r="P55" s="3207">
        <v>358354.08</v>
      </c>
      <c r="Q55" s="3202" t="s">
        <v>3739</v>
      </c>
      <c r="R55" s="3202" t="s">
        <v>3911</v>
      </c>
      <c r="S55" s="3209"/>
      <c r="T55" s="3208" t="s">
        <v>3501</v>
      </c>
      <c r="U55" s="3213">
        <v>25</v>
      </c>
      <c r="V55" s="3202"/>
      <c r="W55" s="3202"/>
    </row>
    <row r="56" spans="1:23" hidden="1">
      <c r="A56" s="3202" t="s">
        <v>3767</v>
      </c>
      <c r="B56" s="3215" t="s">
        <v>3912</v>
      </c>
      <c r="C56" s="3215" t="s">
        <v>3781</v>
      </c>
      <c r="D56" s="3216" t="s">
        <v>3502</v>
      </c>
      <c r="E56" s="3215" t="s">
        <v>3913</v>
      </c>
      <c r="F56" s="3202" t="s">
        <v>3499</v>
      </c>
      <c r="G56" s="3202" t="s">
        <v>3500</v>
      </c>
      <c r="H56" s="3163">
        <v>385.66</v>
      </c>
      <c r="I56" s="3164">
        <v>45474</v>
      </c>
      <c r="J56" s="3164">
        <v>45536</v>
      </c>
      <c r="K56" s="3164">
        <v>47361</v>
      </c>
      <c r="L56" s="3177" t="s">
        <v>3500</v>
      </c>
      <c r="M56" s="3205" t="s">
        <v>3500</v>
      </c>
      <c r="N56" s="3206">
        <v>127.75</v>
      </c>
      <c r="O56" s="3206">
        <f t="shared" si="3"/>
        <v>4.2583333333333337</v>
      </c>
      <c r="P56" s="3207">
        <v>591216.84</v>
      </c>
      <c r="Q56" s="3202" t="s">
        <v>3739</v>
      </c>
      <c r="R56" s="3202" t="s">
        <v>3911</v>
      </c>
      <c r="S56" s="3209"/>
      <c r="T56" s="3208" t="s">
        <v>3501</v>
      </c>
      <c r="U56" s="3213">
        <v>25</v>
      </c>
      <c r="V56" s="3202"/>
      <c r="W56" s="3202"/>
    </row>
    <row r="57" spans="1:23" hidden="1">
      <c r="A57" s="3202" t="s">
        <v>3767</v>
      </c>
      <c r="B57" s="3215" t="s">
        <v>3914</v>
      </c>
      <c r="C57" s="3215" t="s">
        <v>3781</v>
      </c>
      <c r="D57" s="3216" t="s">
        <v>3502</v>
      </c>
      <c r="E57" s="3215" t="s">
        <v>3915</v>
      </c>
      <c r="F57" s="3202" t="s">
        <v>3499</v>
      </c>
      <c r="G57" s="3202" t="s">
        <v>3500</v>
      </c>
      <c r="H57" s="3163">
        <v>299.99</v>
      </c>
      <c r="I57" s="3164">
        <v>45537</v>
      </c>
      <c r="J57" s="3164">
        <v>45474</v>
      </c>
      <c r="K57" s="3164">
        <v>46568</v>
      </c>
      <c r="L57" s="3177" t="s">
        <v>3500</v>
      </c>
      <c r="M57" s="3205" t="s">
        <v>3500</v>
      </c>
      <c r="N57" s="3206">
        <v>152.08000000000001</v>
      </c>
      <c r="O57" s="3206">
        <f t="shared" si="3"/>
        <v>5.0693333333333337</v>
      </c>
      <c r="P57" s="3207">
        <v>547469.76</v>
      </c>
      <c r="Q57" s="3202" t="s">
        <v>3770</v>
      </c>
      <c r="R57" s="3202">
        <v>0</v>
      </c>
      <c r="S57" s="3209"/>
      <c r="T57" s="3208" t="s">
        <v>3501</v>
      </c>
      <c r="U57" s="3213">
        <v>25</v>
      </c>
      <c r="V57" s="3202"/>
      <c r="W57" s="3202"/>
    </row>
    <row r="58" spans="1:23" hidden="1">
      <c r="A58" s="3202" t="s">
        <v>3767</v>
      </c>
      <c r="B58" s="3162" t="s">
        <v>3916</v>
      </c>
      <c r="C58" s="3162" t="s">
        <v>3781</v>
      </c>
      <c r="D58" s="3216" t="s">
        <v>3502</v>
      </c>
      <c r="E58" s="3162" t="s">
        <v>3917</v>
      </c>
      <c r="F58" s="3202" t="s">
        <v>3499</v>
      </c>
      <c r="G58" s="3202" t="s">
        <v>3500</v>
      </c>
      <c r="H58" s="3163">
        <v>852</v>
      </c>
      <c r="I58" s="3164">
        <v>45628</v>
      </c>
      <c r="J58" s="3164">
        <v>45641</v>
      </c>
      <c r="K58" s="3164">
        <v>46735</v>
      </c>
      <c r="L58" s="3177" t="s">
        <v>3518</v>
      </c>
      <c r="M58" s="3205"/>
      <c r="N58" s="3206">
        <v>121.67</v>
      </c>
      <c r="O58" s="3206">
        <f t="shared" si="3"/>
        <v>4.0556666666666663</v>
      </c>
      <c r="P58" s="3207">
        <v>1243954.08</v>
      </c>
      <c r="Q58" s="3202" t="s">
        <v>3770</v>
      </c>
      <c r="R58" s="3202">
        <v>0</v>
      </c>
      <c r="S58" s="3209" t="s">
        <v>3499</v>
      </c>
      <c r="T58" s="3208" t="s">
        <v>3501</v>
      </c>
      <c r="U58" s="3213">
        <v>25</v>
      </c>
      <c r="V58" s="3202"/>
      <c r="W58" s="3202"/>
    </row>
    <row r="59" spans="1:23" hidden="1">
      <c r="A59" s="3202" t="s">
        <v>3767</v>
      </c>
      <c r="B59" s="3162" t="s">
        <v>3918</v>
      </c>
      <c r="C59" s="3162" t="s">
        <v>3781</v>
      </c>
      <c r="D59" s="3216" t="s">
        <v>3502</v>
      </c>
      <c r="E59" s="3162" t="s">
        <v>3919</v>
      </c>
      <c r="F59" s="3202" t="s">
        <v>3499</v>
      </c>
      <c r="G59" s="3202" t="s">
        <v>3500</v>
      </c>
      <c r="H59" s="3163">
        <v>1043.3599999999999</v>
      </c>
      <c r="I59" s="3164">
        <v>45628</v>
      </c>
      <c r="J59" s="3164">
        <v>45839</v>
      </c>
      <c r="K59" s="3164">
        <v>46735</v>
      </c>
      <c r="L59" s="3177" t="s">
        <v>3518</v>
      </c>
      <c r="M59" s="3205"/>
      <c r="N59" s="3206">
        <v>121.67</v>
      </c>
      <c r="O59" s="3206">
        <f t="shared" si="3"/>
        <v>4.0556666666666663</v>
      </c>
      <c r="P59" s="3207">
        <v>761673.66</v>
      </c>
      <c r="Q59" s="3202" t="s">
        <v>3770</v>
      </c>
      <c r="R59" s="3202">
        <v>0</v>
      </c>
      <c r="S59" s="3209" t="s">
        <v>3499</v>
      </c>
      <c r="T59" s="3208" t="s">
        <v>3501</v>
      </c>
      <c r="U59" s="3213">
        <v>25</v>
      </c>
      <c r="V59" s="3202"/>
      <c r="W59" s="3202"/>
    </row>
    <row r="60" spans="1:23" hidden="1">
      <c r="A60" s="3202" t="s">
        <v>3767</v>
      </c>
      <c r="B60" s="3215" t="s">
        <v>3920</v>
      </c>
      <c r="C60" s="3162" t="s">
        <v>3781</v>
      </c>
      <c r="D60" s="3216" t="s">
        <v>3502</v>
      </c>
      <c r="E60" s="3215" t="s">
        <v>3921</v>
      </c>
      <c r="F60" s="3202" t="s">
        <v>3499</v>
      </c>
      <c r="G60" s="3202"/>
      <c r="H60" s="3163">
        <v>1838.25</v>
      </c>
      <c r="I60" s="3164">
        <v>45231</v>
      </c>
      <c r="J60" s="3164">
        <v>45231</v>
      </c>
      <c r="K60" s="3164">
        <v>46142</v>
      </c>
      <c r="L60" s="3177"/>
      <c r="M60" s="3205"/>
      <c r="N60" s="3206">
        <v>200.82</v>
      </c>
      <c r="O60" s="3206">
        <f t="shared" si="3"/>
        <v>6.694</v>
      </c>
      <c r="P60" s="3207">
        <v>2214944.19</v>
      </c>
      <c r="Q60" s="3202" t="s">
        <v>3804</v>
      </c>
      <c r="R60" s="3202">
        <v>0</v>
      </c>
      <c r="S60" s="3209"/>
      <c r="T60" s="3208" t="s">
        <v>3501</v>
      </c>
      <c r="U60" s="3213"/>
      <c r="V60" s="3202"/>
      <c r="W60" s="3202"/>
    </row>
    <row r="61" spans="1:23" ht="24" hidden="1">
      <c r="A61" s="3202" t="s">
        <v>3767</v>
      </c>
      <c r="B61" s="3215" t="s">
        <v>3922</v>
      </c>
      <c r="C61" s="3215" t="s">
        <v>3781</v>
      </c>
      <c r="D61" s="3216" t="s">
        <v>3502</v>
      </c>
      <c r="E61" s="3215" t="s">
        <v>3923</v>
      </c>
      <c r="F61" s="3202" t="s">
        <v>3499</v>
      </c>
      <c r="G61" s="3202" t="s">
        <v>3500</v>
      </c>
      <c r="H61" s="3163">
        <v>381.79</v>
      </c>
      <c r="I61" s="3164">
        <v>45962</v>
      </c>
      <c r="J61" s="3164">
        <v>45962</v>
      </c>
      <c r="K61" s="3164">
        <v>46691</v>
      </c>
      <c r="L61" s="3177" t="s">
        <v>3924</v>
      </c>
      <c r="M61" s="3205">
        <v>45962</v>
      </c>
      <c r="N61" s="3206">
        <v>121.67</v>
      </c>
      <c r="O61" s="3206">
        <f t="shared" si="3"/>
        <v>4.0556666666666663</v>
      </c>
      <c r="P61" s="3207">
        <v>92904.78</v>
      </c>
      <c r="Q61" s="3202" t="s">
        <v>3739</v>
      </c>
      <c r="R61" s="3202">
        <v>0</v>
      </c>
      <c r="S61" s="3209"/>
      <c r="T61" s="3208" t="s">
        <v>3501</v>
      </c>
      <c r="U61" s="3213"/>
      <c r="V61" s="3202"/>
      <c r="W61" s="3202"/>
    </row>
    <row r="62" spans="1:23" ht="36" hidden="1">
      <c r="A62" s="3202" t="s">
        <v>3767</v>
      </c>
      <c r="B62" s="3215" t="s">
        <v>3925</v>
      </c>
      <c r="C62" s="3215" t="s">
        <v>3781</v>
      </c>
      <c r="D62" s="3216" t="s">
        <v>3502</v>
      </c>
      <c r="E62" s="3215" t="s">
        <v>3926</v>
      </c>
      <c r="F62" s="3202" t="s">
        <v>3499</v>
      </c>
      <c r="G62" s="3202" t="s">
        <v>3500</v>
      </c>
      <c r="H62" s="3163">
        <v>1043</v>
      </c>
      <c r="I62" s="3164">
        <v>45992</v>
      </c>
      <c r="J62" s="3164">
        <v>45992</v>
      </c>
      <c r="K62" s="3164">
        <v>47087</v>
      </c>
      <c r="L62" s="3177" t="s">
        <v>3927</v>
      </c>
      <c r="M62" s="3205">
        <v>45992</v>
      </c>
      <c r="N62" s="3206">
        <v>121.67</v>
      </c>
      <c r="O62" s="3206">
        <f t="shared" si="3"/>
        <v>4.0556666666666663</v>
      </c>
      <c r="P62" s="3207">
        <v>380705.43</v>
      </c>
      <c r="Q62" s="3202" t="s">
        <v>3770</v>
      </c>
      <c r="R62" s="3202">
        <v>0</v>
      </c>
      <c r="S62" s="3209"/>
      <c r="T62" s="3208" t="s">
        <v>3501</v>
      </c>
      <c r="U62" s="3213"/>
      <c r="V62" s="3202"/>
      <c r="W62" s="3202"/>
    </row>
    <row r="63" spans="1:23" ht="24" hidden="1">
      <c r="A63" s="3202" t="s">
        <v>3767</v>
      </c>
      <c r="B63" s="3215" t="s">
        <v>3928</v>
      </c>
      <c r="C63" s="3215" t="s">
        <v>3781</v>
      </c>
      <c r="D63" s="3216" t="s">
        <v>3502</v>
      </c>
      <c r="E63" s="3215" t="s">
        <v>3929</v>
      </c>
      <c r="F63" s="3202" t="s">
        <v>3499</v>
      </c>
      <c r="G63" s="3202" t="s">
        <v>3500</v>
      </c>
      <c r="H63" s="3163">
        <v>25.41</v>
      </c>
      <c r="I63" s="3164">
        <v>45689</v>
      </c>
      <c r="J63" s="3164">
        <v>45689</v>
      </c>
      <c r="K63" s="3164">
        <v>46081</v>
      </c>
      <c r="L63" s="3177" t="s">
        <v>3930</v>
      </c>
      <c r="M63" s="3205">
        <v>45717</v>
      </c>
      <c r="N63" s="3206">
        <v>158.16999999999999</v>
      </c>
      <c r="O63" s="3206">
        <f t="shared" si="3"/>
        <v>5.2723333333333331</v>
      </c>
      <c r="P63" s="3207">
        <v>44210.1</v>
      </c>
      <c r="Q63" s="3202" t="s">
        <v>3770</v>
      </c>
      <c r="R63" s="3202">
        <v>0</v>
      </c>
      <c r="S63" s="3209"/>
      <c r="T63" s="3208" t="s">
        <v>3501</v>
      </c>
      <c r="U63" s="3213"/>
      <c r="V63" s="3202"/>
      <c r="W63" s="3202"/>
    </row>
    <row r="64" spans="1:23" ht="24" hidden="1">
      <c r="A64" s="3202" t="s">
        <v>3767</v>
      </c>
      <c r="B64" s="3215" t="s">
        <v>3931</v>
      </c>
      <c r="C64" s="3215"/>
      <c r="D64" s="3216"/>
      <c r="E64" s="3215" t="s">
        <v>3932</v>
      </c>
      <c r="F64" s="3202"/>
      <c r="G64" s="3202"/>
      <c r="H64" s="3163">
        <v>1000</v>
      </c>
      <c r="I64" s="3164">
        <v>45689</v>
      </c>
      <c r="J64" s="3164">
        <v>45689</v>
      </c>
      <c r="K64" s="3164">
        <v>46081</v>
      </c>
      <c r="L64" s="3177" t="s">
        <v>3930</v>
      </c>
      <c r="M64" s="3205"/>
      <c r="N64" s="3206">
        <v>158.16999999999999</v>
      </c>
      <c r="O64" s="3206">
        <f t="shared" si="3"/>
        <v>5.2723333333333331</v>
      </c>
      <c r="P64" s="3207">
        <v>1739870</v>
      </c>
      <c r="Q64" s="3202" t="s">
        <v>3770</v>
      </c>
      <c r="R64" s="3202">
        <v>0</v>
      </c>
      <c r="S64" s="3209"/>
      <c r="T64" s="3208" t="s">
        <v>3501</v>
      </c>
      <c r="U64" s="3213"/>
      <c r="V64" s="3202"/>
      <c r="W64" s="3202"/>
    </row>
    <row r="65" spans="1:23" ht="24" hidden="1">
      <c r="A65" s="3202" t="s">
        <v>3767</v>
      </c>
      <c r="B65" s="3215" t="s">
        <v>3933</v>
      </c>
      <c r="C65" s="3215"/>
      <c r="D65" s="3216"/>
      <c r="E65" s="3215" t="s">
        <v>3934</v>
      </c>
      <c r="F65" s="3202"/>
      <c r="G65" s="3202"/>
      <c r="H65" s="3163">
        <v>1000</v>
      </c>
      <c r="I65" s="3164">
        <v>45689</v>
      </c>
      <c r="J65" s="3164">
        <v>45689</v>
      </c>
      <c r="K65" s="3164">
        <v>46081</v>
      </c>
      <c r="L65" s="3177" t="s">
        <v>3930</v>
      </c>
      <c r="M65" s="3205"/>
      <c r="N65" s="3206">
        <v>158.16999999999999</v>
      </c>
      <c r="O65" s="3206">
        <f t="shared" si="3"/>
        <v>5.2723333333333331</v>
      </c>
      <c r="P65" s="3207">
        <v>1739870</v>
      </c>
      <c r="Q65" s="3202" t="s">
        <v>3770</v>
      </c>
      <c r="R65" s="3202">
        <v>0</v>
      </c>
      <c r="S65" s="3209"/>
      <c r="T65" s="3208" t="s">
        <v>3501</v>
      </c>
      <c r="U65" s="3213"/>
      <c r="V65" s="3202"/>
      <c r="W65" s="3202"/>
    </row>
    <row r="66" spans="1:23" hidden="1">
      <c r="G66" s="3201" t="s">
        <v>3935</v>
      </c>
      <c r="H66" s="3231">
        <f>SUM(H2:H65)</f>
        <v>81164.840000000011</v>
      </c>
      <c r="N66" s="3233"/>
      <c r="O66" s="3233" t="s">
        <v>3936</v>
      </c>
      <c r="P66" s="3233">
        <f>SUM(P2:P65)</f>
        <v>144378110.22840002</v>
      </c>
      <c r="Q66" s="3201">
        <f>P66/H66/365</f>
        <v>4.8734953014036382</v>
      </c>
    </row>
    <row r="67" spans="1:23" ht="28.5" hidden="1">
      <c r="G67" s="3235" t="s">
        <v>3937</v>
      </c>
      <c r="H67" s="3231">
        <v>96000</v>
      </c>
      <c r="N67" s="3233"/>
      <c r="O67" s="3233" t="s">
        <v>3938</v>
      </c>
      <c r="P67" s="3233">
        <f>P2+P3+P8+P10+P11+P12+P13+P14+P15+P18+P20+P22+P23+P25+P30+P31+P33+P34+P35+P39+P42+P43+P44+P45+P50+P52+P53+P54+P58+P59</f>
        <v>129431208.32916002</v>
      </c>
    </row>
    <row r="68" spans="1:23" s="3236" customFormat="1" hidden="1">
      <c r="D68" s="3237"/>
      <c r="G68" s="3236" t="s">
        <v>3756</v>
      </c>
      <c r="H68" s="3238">
        <f>H66/H67</f>
        <v>0.84546708333333342</v>
      </c>
      <c r="L68" s="3239"/>
      <c r="M68" s="3239"/>
      <c r="N68" s="3233"/>
      <c r="O68" s="3233" t="s">
        <v>3939</v>
      </c>
      <c r="P68" s="3238">
        <f>P67/P66</f>
        <v>0.89647390538915739</v>
      </c>
      <c r="S68" s="3240"/>
    </row>
    <row r="69" spans="1:23" s="3236" customFormat="1" hidden="1">
      <c r="D69" s="3237"/>
      <c r="H69" s="3241"/>
      <c r="L69" s="3239"/>
      <c r="M69" s="3239"/>
      <c r="N69" s="3233"/>
      <c r="O69" s="3233" t="s">
        <v>3940</v>
      </c>
      <c r="P69" s="3233">
        <f>P2+P10+P12+P15+P18+P22+P23+P30+P39+P42+P43+P44+P54</f>
        <v>67266514.139160007</v>
      </c>
      <c r="S69" s="3240"/>
    </row>
    <row r="70" spans="1:23" s="3236" customFormat="1" hidden="1">
      <c r="D70" s="3237"/>
      <c r="H70" s="3241"/>
      <c r="L70" s="3239"/>
      <c r="M70" s="3239"/>
      <c r="N70" s="3233"/>
      <c r="O70" s="3233" t="s">
        <v>3941</v>
      </c>
      <c r="P70" s="3238">
        <f>P69/P67</f>
        <v>0.51970861593204565</v>
      </c>
      <c r="S70" s="3240"/>
    </row>
    <row r="71" spans="1:23">
      <c r="P71" s="3238"/>
    </row>
    <row r="73" spans="1:23" ht="13.5">
      <c r="O73" s="3243"/>
      <c r="P73" s="3243"/>
      <c r="Q73" s="3243"/>
      <c r="R73" s="3243"/>
      <c r="S73" s="3243"/>
    </row>
    <row r="74" spans="1:23" ht="13.5">
      <c r="O74" s="3243"/>
      <c r="P74" s="3243"/>
      <c r="Q74" s="3243"/>
      <c r="R74" s="3243"/>
      <c r="S74" s="3243"/>
    </row>
    <row r="75" spans="1:23" ht="13.5">
      <c r="O75" s="3243"/>
      <c r="P75" s="3243"/>
      <c r="Q75" s="3243"/>
      <c r="R75" s="3243"/>
      <c r="S75" s="3243"/>
    </row>
    <row r="76" spans="1:23" ht="13.5">
      <c r="O76" s="3243"/>
      <c r="P76" s="3243"/>
      <c r="Q76" s="3243"/>
      <c r="R76" s="3243"/>
      <c r="S76" s="3243"/>
    </row>
    <row r="77" spans="1:23" ht="13.5">
      <c r="O77" s="3243"/>
      <c r="P77" s="3243"/>
      <c r="Q77" s="3243"/>
      <c r="R77" s="3243"/>
      <c r="S77" s="3243"/>
    </row>
    <row r="78" spans="1:23" ht="13.5">
      <c r="O78" s="3243"/>
      <c r="P78" s="3243"/>
      <c r="Q78" s="3243"/>
      <c r="R78" s="3243"/>
      <c r="S78" s="3243"/>
    </row>
    <row r="79" spans="1:23" ht="13.5">
      <c r="O79" s="3243"/>
      <c r="P79" s="3243"/>
      <c r="Q79" s="3243"/>
      <c r="R79" s="3243"/>
      <c r="S79" s="3243"/>
    </row>
    <row r="80" spans="1:23" ht="13.5">
      <c r="O80" s="3243"/>
      <c r="P80" s="3243"/>
      <c r="Q80" s="3243"/>
      <c r="R80" s="3243"/>
      <c r="S80" s="3243"/>
    </row>
    <row r="81" spans="15:19" ht="13.5">
      <c r="O81" s="3243"/>
      <c r="P81" s="3243"/>
      <c r="Q81" s="3243"/>
      <c r="R81" s="3243"/>
      <c r="S81" s="3243"/>
    </row>
    <row r="82" spans="15:19" ht="13.5">
      <c r="O82" s="3243"/>
      <c r="P82" s="3243"/>
      <c r="Q82" s="3243"/>
      <c r="R82" s="3243"/>
      <c r="S82" s="3243"/>
    </row>
    <row r="83" spans="15:19" ht="13.5">
      <c r="O83" s="3243"/>
      <c r="P83" s="3243"/>
      <c r="Q83" s="3243"/>
      <c r="R83" s="3243"/>
      <c r="S83" s="3243"/>
    </row>
    <row r="84" spans="15:19" ht="13.5">
      <c r="O84" s="3243"/>
      <c r="P84" s="3243"/>
      <c r="Q84" s="3243"/>
      <c r="R84" s="3243"/>
      <c r="S84" s="3243"/>
    </row>
    <row r="85" spans="15:19" ht="13.5">
      <c r="O85" s="3243"/>
      <c r="P85" s="3243"/>
      <c r="Q85" s="3243"/>
      <c r="R85" s="3243"/>
      <c r="S85" s="3243"/>
    </row>
    <row r="86" spans="15:19" ht="13.5">
      <c r="O86" s="3243"/>
      <c r="P86" s="3243"/>
      <c r="Q86" s="3243"/>
      <c r="R86" s="3243"/>
      <c r="S86" s="3243"/>
    </row>
    <row r="87" spans="15:19" ht="13.5">
      <c r="O87" s="3243"/>
      <c r="P87" s="3243"/>
      <c r="Q87" s="3243"/>
      <c r="R87" s="3243"/>
      <c r="S87" s="3243"/>
    </row>
    <row r="88" spans="15:19">
      <c r="O88" s="3244"/>
      <c r="P88" s="3202"/>
      <c r="Q88" s="3202"/>
      <c r="R88" s="3202"/>
      <c r="S88" s="3209"/>
    </row>
  </sheetData>
  <autoFilter ref="A1:W70" xr:uid="{00000000-0009-0000-0000-000001000000}">
    <filterColumn colId="4">
      <filters>
        <filter val="B1-1-101-104,2-201-209,3-301-310,4-401-408"/>
      </filters>
    </filterColumn>
  </autoFilter>
  <phoneticPr fontId="135" type="noConversion"/>
  <conditionalFormatting sqref="B1:B59 B66:B1048576">
    <cfRule type="duplicateValues" dxfId="127" priority="7"/>
  </conditionalFormatting>
  <conditionalFormatting sqref="B60">
    <cfRule type="duplicateValues" dxfId="126" priority="3"/>
  </conditionalFormatting>
  <conditionalFormatting sqref="B61">
    <cfRule type="duplicateValues" dxfId="125" priority="6"/>
  </conditionalFormatting>
  <conditionalFormatting sqref="B62">
    <cfRule type="duplicateValues" dxfId="124" priority="5"/>
  </conditionalFormatting>
  <conditionalFormatting sqref="B63">
    <cfRule type="duplicateValues" dxfId="123" priority="4"/>
  </conditionalFormatting>
  <conditionalFormatting sqref="B64">
    <cfRule type="duplicateValues" dxfId="122" priority="2"/>
  </conditionalFormatting>
  <conditionalFormatting sqref="B65">
    <cfRule type="duplicateValues" dxfId="121" priority="1"/>
  </conditionalFormatting>
  <pageMargins left="0.75" right="0.75" top="1" bottom="1" header="0.5" footer="0.5"/>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FEF2-E174-40AB-AD13-17ADB9616796}">
  <dimension ref="A1:W18"/>
  <sheetViews>
    <sheetView workbookViewId="0">
      <selection activeCell="L20" sqref="L20"/>
    </sheetView>
  </sheetViews>
  <sheetFormatPr defaultRowHeight="13.5"/>
  <cols>
    <col min="1" max="1" width="4.75" bestFit="1" customWidth="1"/>
    <col min="2" max="2" width="49.75" bestFit="1" customWidth="1"/>
    <col min="3" max="3" width="4.75" bestFit="1" customWidth="1"/>
    <col min="4" max="4" width="8" bestFit="1" customWidth="1"/>
    <col min="5" max="5" width="31.25" customWidth="1"/>
    <col min="6" max="6" width="8.875" bestFit="1" customWidth="1"/>
    <col min="7" max="7" width="8" bestFit="1" customWidth="1"/>
    <col min="8" max="8" width="13" customWidth="1"/>
    <col min="9" max="11" width="10.25" bestFit="1" customWidth="1"/>
    <col min="12" max="12" width="9.875" bestFit="1" customWidth="1"/>
    <col min="13" max="13" width="9.125" bestFit="1" customWidth="1"/>
    <col min="14" max="15" width="8.875" bestFit="1" customWidth="1"/>
    <col min="16" max="16" width="17.25" bestFit="1" customWidth="1"/>
    <col min="17" max="17" width="8" bestFit="1" customWidth="1"/>
    <col min="18" max="18" width="106.5" bestFit="1" customWidth="1"/>
    <col min="19" max="19" width="9.625" bestFit="1" customWidth="1"/>
    <col min="20" max="20" width="8" bestFit="1" customWidth="1"/>
    <col min="21" max="21" width="8.125" bestFit="1" customWidth="1"/>
    <col min="22" max="22" width="9.625" bestFit="1" customWidth="1"/>
    <col min="23" max="23" width="8" bestFit="1" customWidth="1"/>
  </cols>
  <sheetData>
    <row r="1" spans="1:23" ht="60">
      <c r="A1" s="3170" t="s">
        <v>3473</v>
      </c>
      <c r="B1" s="3170" t="s">
        <v>3474</v>
      </c>
      <c r="C1" s="3170" t="s">
        <v>3475</v>
      </c>
      <c r="D1" s="3200" t="s">
        <v>3493</v>
      </c>
      <c r="E1" s="3170" t="s">
        <v>3476</v>
      </c>
      <c r="F1" s="3170" t="s">
        <v>3477</v>
      </c>
      <c r="G1" s="3170" t="s">
        <v>3478</v>
      </c>
      <c r="H1" s="3171" t="s">
        <v>3479</v>
      </c>
      <c r="I1" s="3170" t="s">
        <v>3480</v>
      </c>
      <c r="J1" s="3170" t="s">
        <v>3481</v>
      </c>
      <c r="K1" s="3170" t="s">
        <v>3482</v>
      </c>
      <c r="L1" s="3172" t="s">
        <v>3483</v>
      </c>
      <c r="M1" s="3172" t="s">
        <v>3484</v>
      </c>
      <c r="N1" s="3173" t="s">
        <v>3485</v>
      </c>
      <c r="O1" s="3173" t="s">
        <v>3486</v>
      </c>
      <c r="P1" s="3170" t="s">
        <v>3766</v>
      </c>
      <c r="Q1" s="3170" t="s">
        <v>3488</v>
      </c>
      <c r="R1" s="3170" t="s">
        <v>3489</v>
      </c>
      <c r="S1" s="3170" t="s">
        <v>3490</v>
      </c>
      <c r="T1" s="3170" t="s">
        <v>3491</v>
      </c>
      <c r="U1" s="3170" t="s">
        <v>3492</v>
      </c>
      <c r="V1" s="3170" t="s">
        <v>3494</v>
      </c>
      <c r="W1" s="3170" t="s">
        <v>3495</v>
      </c>
    </row>
    <row r="2" spans="1:23" ht="72">
      <c r="A2" s="3202" t="s">
        <v>3767</v>
      </c>
      <c r="B2" s="3168" t="s">
        <v>3768</v>
      </c>
      <c r="C2" s="3168"/>
      <c r="D2" s="3203" t="s">
        <v>3470</v>
      </c>
      <c r="E2" s="3168" t="s">
        <v>3769</v>
      </c>
      <c r="F2" s="3204" t="s">
        <v>3499</v>
      </c>
      <c r="G2" s="3204" t="s">
        <v>3500</v>
      </c>
      <c r="H2" s="3169">
        <v>8303.56</v>
      </c>
      <c r="I2" s="3164">
        <v>44835</v>
      </c>
      <c r="J2" s="3164">
        <v>44612</v>
      </c>
      <c r="K2" s="3164">
        <v>48263</v>
      </c>
      <c r="L2" s="3177" t="s">
        <v>3500</v>
      </c>
      <c r="M2" s="3205" t="s">
        <v>3500</v>
      </c>
      <c r="N2" s="3206">
        <v>265.23</v>
      </c>
      <c r="O2" s="3206">
        <v>8.8410000000000011</v>
      </c>
      <c r="P2" s="3207">
        <v>26961361.940000001</v>
      </c>
      <c r="Q2" s="3208" t="s">
        <v>3770</v>
      </c>
      <c r="R2" s="3202" t="s">
        <v>3771</v>
      </c>
      <c r="S2" s="3209" t="s">
        <v>3772</v>
      </c>
      <c r="T2" s="3208" t="s">
        <v>3501</v>
      </c>
      <c r="U2" s="3210">
        <v>25</v>
      </c>
      <c r="V2" s="3202"/>
      <c r="W2" s="3202"/>
    </row>
    <row r="3" spans="1:23">
      <c r="A3" s="3202" t="s">
        <v>3767</v>
      </c>
      <c r="B3" s="3168" t="s">
        <v>3773</v>
      </c>
      <c r="C3" s="3168"/>
      <c r="D3" s="3203" t="s">
        <v>3470</v>
      </c>
      <c r="E3" s="3168" t="s">
        <v>3774</v>
      </c>
      <c r="F3" s="3204" t="s">
        <v>3499</v>
      </c>
      <c r="G3" s="3204" t="s">
        <v>3500</v>
      </c>
      <c r="H3" s="3169">
        <v>396.92</v>
      </c>
      <c r="I3" s="3164">
        <v>45536</v>
      </c>
      <c r="J3" s="3164">
        <v>45536</v>
      </c>
      <c r="K3" s="3164">
        <v>48263</v>
      </c>
      <c r="L3" s="3177" t="s">
        <v>3500</v>
      </c>
      <c r="M3" s="3205" t="s">
        <v>3500</v>
      </c>
      <c r="N3" s="3206">
        <v>162.55001007759699</v>
      </c>
      <c r="O3" s="3206">
        <v>5.4183336692532329</v>
      </c>
      <c r="P3" s="3207">
        <v>774232.2</v>
      </c>
      <c r="Q3" s="3208" t="s">
        <v>3770</v>
      </c>
      <c r="R3" s="3202"/>
      <c r="S3" s="3209" t="s">
        <v>3499</v>
      </c>
      <c r="T3" s="3208" t="s">
        <v>3501</v>
      </c>
      <c r="U3" s="3210">
        <v>25</v>
      </c>
      <c r="V3" s="3202"/>
      <c r="W3" s="3202"/>
    </row>
    <row r="4" spans="1:23">
      <c r="A4" s="3202" t="s">
        <v>3767</v>
      </c>
      <c r="B4" s="3168" t="s">
        <v>3775</v>
      </c>
      <c r="C4" s="3168"/>
      <c r="D4" s="3203" t="s">
        <v>3470</v>
      </c>
      <c r="E4" s="3168" t="s">
        <v>3776</v>
      </c>
      <c r="F4" s="3204" t="s">
        <v>3499</v>
      </c>
      <c r="G4" s="3204" t="s">
        <v>3500</v>
      </c>
      <c r="H4" s="3169">
        <v>207.69</v>
      </c>
      <c r="I4" s="3164">
        <v>45383</v>
      </c>
      <c r="J4" s="3164">
        <v>45383</v>
      </c>
      <c r="K4" s="3164">
        <v>46477</v>
      </c>
      <c r="L4" s="3177" t="s">
        <v>3500</v>
      </c>
      <c r="M4" s="3205" t="s">
        <v>3500</v>
      </c>
      <c r="N4" s="3206">
        <v>265.23</v>
      </c>
      <c r="O4" s="3206">
        <v>8.8410000000000011</v>
      </c>
      <c r="P4" s="3207">
        <v>663212.04</v>
      </c>
      <c r="Q4" s="3208" t="s">
        <v>3770</v>
      </c>
      <c r="R4" s="3202" t="s">
        <v>3771</v>
      </c>
      <c r="S4" s="3208"/>
      <c r="T4" s="3208" t="s">
        <v>3501</v>
      </c>
      <c r="U4" s="3210">
        <v>25</v>
      </c>
      <c r="V4" s="3202"/>
      <c r="W4" s="3202"/>
    </row>
    <row r="5" spans="1:23">
      <c r="A5" s="3202" t="s">
        <v>3767</v>
      </c>
      <c r="B5" s="3168" t="s">
        <v>3780</v>
      </c>
      <c r="C5" s="3168" t="s">
        <v>3781</v>
      </c>
      <c r="D5" s="3203" t="s">
        <v>3470</v>
      </c>
      <c r="E5" s="3168" t="s">
        <v>3782</v>
      </c>
      <c r="F5" s="3204" t="s">
        <v>3499</v>
      </c>
      <c r="G5" s="3204" t="s">
        <v>3500</v>
      </c>
      <c r="H5" s="3169">
        <v>316.29000000000002</v>
      </c>
      <c r="I5" s="3164">
        <v>45858</v>
      </c>
      <c r="J5" s="3164">
        <v>45858</v>
      </c>
      <c r="K5" s="3164">
        <v>48263</v>
      </c>
      <c r="L5" s="3177" t="s">
        <v>3500</v>
      </c>
      <c r="M5" s="3205" t="s">
        <v>3500</v>
      </c>
      <c r="N5" s="3206">
        <v>265.23</v>
      </c>
      <c r="O5" s="3206">
        <v>8.8410000000000011</v>
      </c>
      <c r="P5" s="3207">
        <v>700806.94</v>
      </c>
      <c r="Q5" s="3208" t="s">
        <v>3770</v>
      </c>
      <c r="R5" s="3202" t="s">
        <v>3771</v>
      </c>
      <c r="S5" s="3208"/>
      <c r="T5" s="3208" t="s">
        <v>3501</v>
      </c>
      <c r="U5" s="3210">
        <v>25</v>
      </c>
      <c r="V5" s="3202"/>
      <c r="W5" s="3202"/>
    </row>
    <row r="6" spans="1:23">
      <c r="A6" s="3202" t="s">
        <v>3767</v>
      </c>
      <c r="B6" s="3168" t="s">
        <v>3784</v>
      </c>
      <c r="C6" s="3168" t="s">
        <v>3781</v>
      </c>
      <c r="D6" s="3212" t="s">
        <v>3502</v>
      </c>
      <c r="E6" s="3168" t="s">
        <v>3785</v>
      </c>
      <c r="F6" s="3204" t="s">
        <v>3499</v>
      </c>
      <c r="G6" s="3204" t="s">
        <v>3500</v>
      </c>
      <c r="H6" s="3169">
        <v>158.69999999999999</v>
      </c>
      <c r="I6" s="3164">
        <v>45708</v>
      </c>
      <c r="J6" s="3164">
        <v>45708</v>
      </c>
      <c r="K6" s="3164">
        <v>46072</v>
      </c>
      <c r="L6" s="3177" t="s">
        <v>3500</v>
      </c>
      <c r="M6" s="3205" t="s">
        <v>3500</v>
      </c>
      <c r="N6" s="3206">
        <v>265.23</v>
      </c>
      <c r="O6" s="3206">
        <v>8.8410000000000011</v>
      </c>
      <c r="P6" s="3207">
        <v>505104</v>
      </c>
      <c r="Q6" s="3202" t="s">
        <v>3770</v>
      </c>
      <c r="R6" s="3202">
        <v>0</v>
      </c>
      <c r="S6" s="3209" t="s">
        <v>3499</v>
      </c>
      <c r="T6" s="3208" t="s">
        <v>3501</v>
      </c>
      <c r="U6" s="3213">
        <v>25</v>
      </c>
      <c r="V6" s="3202"/>
      <c r="W6" s="3202"/>
    </row>
    <row r="7" spans="1:23">
      <c r="A7" s="3202" t="s">
        <v>3767</v>
      </c>
      <c r="B7" s="3214" t="s">
        <v>3786</v>
      </c>
      <c r="C7" s="3214" t="s">
        <v>3781</v>
      </c>
      <c r="D7" s="3212" t="s">
        <v>3502</v>
      </c>
      <c r="E7" s="3214" t="s">
        <v>3787</v>
      </c>
      <c r="F7" s="3204" t="s">
        <v>3499</v>
      </c>
      <c r="G7" s="3204" t="s">
        <v>3500</v>
      </c>
      <c r="H7" s="3169">
        <v>4.76</v>
      </c>
      <c r="I7" s="3164">
        <v>45708</v>
      </c>
      <c r="J7" s="3164">
        <v>45708</v>
      </c>
      <c r="K7" s="3164">
        <v>48263</v>
      </c>
      <c r="L7" s="3177" t="s">
        <v>3500</v>
      </c>
      <c r="M7" s="3205" t="s">
        <v>3500</v>
      </c>
      <c r="N7" s="3206">
        <v>265.23</v>
      </c>
      <c r="O7" s="3206">
        <v>8.8410000000000011</v>
      </c>
      <c r="P7" s="3207">
        <v>16767.009999999998</v>
      </c>
      <c r="Q7" s="3202" t="s">
        <v>3770</v>
      </c>
      <c r="R7" s="3202" t="s">
        <v>3771</v>
      </c>
      <c r="S7" s="3209"/>
      <c r="T7" s="3208" t="s">
        <v>3501</v>
      </c>
      <c r="U7" s="3213">
        <v>25</v>
      </c>
      <c r="V7" s="3202"/>
      <c r="W7" s="3202"/>
    </row>
    <row r="8" spans="1:23">
      <c r="A8" s="3202" t="s">
        <v>3767</v>
      </c>
      <c r="B8" s="3214" t="s">
        <v>3793</v>
      </c>
      <c r="C8" s="3214" t="s">
        <v>3781</v>
      </c>
      <c r="D8" s="3212" t="s">
        <v>3502</v>
      </c>
      <c r="E8" s="3214" t="s">
        <v>3794</v>
      </c>
      <c r="F8" s="3204" t="s">
        <v>3499</v>
      </c>
      <c r="G8" s="3204" t="s">
        <v>3500</v>
      </c>
      <c r="H8" s="3169">
        <v>1597.48</v>
      </c>
      <c r="I8" s="3164">
        <v>44621</v>
      </c>
      <c r="J8" s="3164">
        <v>44682</v>
      </c>
      <c r="K8" s="3164">
        <v>46873</v>
      </c>
      <c r="L8" s="3177" t="s">
        <v>3795</v>
      </c>
      <c r="M8" s="3205">
        <v>44682</v>
      </c>
      <c r="N8" s="3206">
        <v>142.35</v>
      </c>
      <c r="O8" s="3206">
        <v>4.7450000000000001</v>
      </c>
      <c r="P8" s="3207">
        <v>2501414.08</v>
      </c>
      <c r="Q8" s="3202" t="s">
        <v>3796</v>
      </c>
      <c r="R8" s="3202">
        <v>0</v>
      </c>
      <c r="S8" s="3209" t="s">
        <v>3499</v>
      </c>
      <c r="T8" s="3208" t="s">
        <v>3501</v>
      </c>
      <c r="U8" s="3213">
        <v>25</v>
      </c>
      <c r="V8" s="3202"/>
      <c r="W8" s="3202"/>
    </row>
    <row r="9" spans="1:23" ht="48">
      <c r="A9" s="3217" t="s">
        <v>3767</v>
      </c>
      <c r="B9" s="3218" t="s">
        <v>3797</v>
      </c>
      <c r="C9" s="3218" t="s">
        <v>3781</v>
      </c>
      <c r="D9" s="3219" t="s">
        <v>3502</v>
      </c>
      <c r="E9" s="3218" t="s">
        <v>3798</v>
      </c>
      <c r="F9" s="3220" t="s">
        <v>3499</v>
      </c>
      <c r="G9" s="3220" t="s">
        <v>3500</v>
      </c>
      <c r="H9" s="3221">
        <v>4691.9799999999996</v>
      </c>
      <c r="I9" s="3167">
        <v>44774</v>
      </c>
      <c r="J9" s="3167">
        <v>44927</v>
      </c>
      <c r="K9" s="3167">
        <v>48579</v>
      </c>
      <c r="L9" s="3184" t="s">
        <v>3518</v>
      </c>
      <c r="M9" s="3222"/>
      <c r="N9" s="3223">
        <v>121.67</v>
      </c>
      <c r="O9" s="3223">
        <v>4.0556666666666663</v>
      </c>
      <c r="P9" s="3224">
        <v>9665260.4399999995</v>
      </c>
      <c r="Q9" s="3217" t="s">
        <v>3770</v>
      </c>
      <c r="R9" s="3217" t="s">
        <v>3799</v>
      </c>
      <c r="S9" s="3225" t="s">
        <v>3800</v>
      </c>
      <c r="T9" s="3226" t="s">
        <v>3501</v>
      </c>
      <c r="U9" s="3227">
        <v>25</v>
      </c>
      <c r="V9" s="3217"/>
      <c r="W9" s="3217"/>
    </row>
    <row r="10" spans="1:23" ht="24">
      <c r="A10" s="3202" t="s">
        <v>3767</v>
      </c>
      <c r="B10" s="3214" t="s">
        <v>3801</v>
      </c>
      <c r="C10" s="3214" t="s">
        <v>3781</v>
      </c>
      <c r="D10" s="3212" t="s">
        <v>3502</v>
      </c>
      <c r="E10" s="3214" t="s">
        <v>3802</v>
      </c>
      <c r="F10" s="3204" t="s">
        <v>3499</v>
      </c>
      <c r="G10" s="3204" t="s">
        <v>3500</v>
      </c>
      <c r="H10" s="3169">
        <v>3485.57</v>
      </c>
      <c r="I10" s="3164">
        <v>44927</v>
      </c>
      <c r="J10" s="3164">
        <v>44927</v>
      </c>
      <c r="K10" s="3164">
        <v>46752</v>
      </c>
      <c r="L10" s="3177" t="s">
        <v>3803</v>
      </c>
      <c r="M10" s="3205">
        <v>0</v>
      </c>
      <c r="N10" s="3206"/>
      <c r="O10" s="3206">
        <v>5.68</v>
      </c>
      <c r="P10" s="3207">
        <v>6624093.4100000001</v>
      </c>
      <c r="Q10" s="3202" t="s">
        <v>3804</v>
      </c>
      <c r="R10" s="3202">
        <v>0</v>
      </c>
      <c r="S10" s="3209" t="s">
        <v>3499</v>
      </c>
      <c r="T10" s="3208" t="s">
        <v>3501</v>
      </c>
      <c r="U10" s="3213">
        <v>25</v>
      </c>
      <c r="V10" s="3202"/>
      <c r="W10" s="3202"/>
    </row>
    <row r="11" spans="1:23" ht="24">
      <c r="A11" s="3202" t="s">
        <v>3767</v>
      </c>
      <c r="B11" s="3214" t="s">
        <v>3805</v>
      </c>
      <c r="C11" s="3214" t="s">
        <v>3781</v>
      </c>
      <c r="D11" s="3212" t="s">
        <v>3502</v>
      </c>
      <c r="E11" s="3214" t="s">
        <v>3806</v>
      </c>
      <c r="F11" s="3204" t="s">
        <v>3499</v>
      </c>
      <c r="G11" s="3204" t="s">
        <v>3500</v>
      </c>
      <c r="H11" s="3169">
        <v>4016.29</v>
      </c>
      <c r="I11" s="3164">
        <v>44835</v>
      </c>
      <c r="J11" s="3164">
        <v>44958</v>
      </c>
      <c r="K11" s="3164">
        <v>48610</v>
      </c>
      <c r="L11" s="3177" t="s">
        <v>3807</v>
      </c>
      <c r="M11" s="3205">
        <v>45352</v>
      </c>
      <c r="N11" s="3206">
        <v>121.67</v>
      </c>
      <c r="O11" s="3206">
        <v>4.0556666666666663</v>
      </c>
      <c r="P11" s="3207">
        <v>5863944</v>
      </c>
      <c r="Q11" s="3202" t="s">
        <v>3770</v>
      </c>
      <c r="R11" s="3202" t="s">
        <v>3808</v>
      </c>
      <c r="S11" s="3209" t="s">
        <v>3499</v>
      </c>
      <c r="T11" s="3208" t="s">
        <v>3501</v>
      </c>
      <c r="U11" s="3213">
        <v>25</v>
      </c>
      <c r="V11" s="3202"/>
      <c r="W11" s="3202"/>
    </row>
    <row r="12" spans="1:23" ht="24">
      <c r="A12" s="3202" t="s">
        <v>3767</v>
      </c>
      <c r="B12" s="3214" t="s">
        <v>3809</v>
      </c>
      <c r="C12" s="3214" t="s">
        <v>3781</v>
      </c>
      <c r="D12" s="3212" t="s">
        <v>3502</v>
      </c>
      <c r="E12" s="3214" t="s">
        <v>3810</v>
      </c>
      <c r="F12" s="3204" t="s">
        <v>3499</v>
      </c>
      <c r="G12" s="3204" t="s">
        <v>3500</v>
      </c>
      <c r="H12" s="3169">
        <v>558.97</v>
      </c>
      <c r="I12" s="3164">
        <v>44958</v>
      </c>
      <c r="J12" s="3164">
        <v>44986</v>
      </c>
      <c r="K12" s="3164">
        <v>46812</v>
      </c>
      <c r="L12" s="3177" t="s">
        <v>3500</v>
      </c>
      <c r="M12" s="3205" t="s">
        <v>3500</v>
      </c>
      <c r="N12" s="3206">
        <v>130.79</v>
      </c>
      <c r="O12" s="3206">
        <v>4.3596666666666666</v>
      </c>
      <c r="P12" s="3207">
        <v>877292.28</v>
      </c>
      <c r="Q12" s="3202" t="s">
        <v>3739</v>
      </c>
      <c r="R12" s="3202" t="s">
        <v>3811</v>
      </c>
      <c r="S12" s="3209" t="s">
        <v>3812</v>
      </c>
      <c r="T12" s="3208" t="s">
        <v>3501</v>
      </c>
      <c r="U12" s="3213">
        <v>25</v>
      </c>
      <c r="V12" s="3202"/>
      <c r="W12" s="3202"/>
    </row>
    <row r="13" spans="1:23">
      <c r="A13" s="3202" t="s">
        <v>3767</v>
      </c>
      <c r="B13" s="3168" t="s">
        <v>3820</v>
      </c>
      <c r="C13" s="3168" t="s">
        <v>3781</v>
      </c>
      <c r="D13" s="3212" t="s">
        <v>3470</v>
      </c>
      <c r="E13" s="3168" t="s">
        <v>3821</v>
      </c>
      <c r="F13" s="3204" t="s">
        <v>3499</v>
      </c>
      <c r="G13" s="3204" t="s">
        <v>3500</v>
      </c>
      <c r="H13" s="3169">
        <v>54.54</v>
      </c>
      <c r="I13" s="3164">
        <v>45017</v>
      </c>
      <c r="J13" s="3164">
        <v>45017</v>
      </c>
      <c r="K13" s="3164">
        <v>48263</v>
      </c>
      <c r="L13" s="3177" t="s">
        <v>3500</v>
      </c>
      <c r="M13" s="3205" t="s">
        <v>3500</v>
      </c>
      <c r="N13" s="3206">
        <v>265.23</v>
      </c>
      <c r="O13" s="3206">
        <v>8.8410000000000011</v>
      </c>
      <c r="P13" s="3207">
        <v>174161.41</v>
      </c>
      <c r="Q13" s="3202" t="s">
        <v>3770</v>
      </c>
      <c r="R13" s="3202" t="s">
        <v>3771</v>
      </c>
      <c r="S13" s="3209"/>
      <c r="T13" s="3208" t="s">
        <v>3501</v>
      </c>
      <c r="U13" s="3213">
        <v>25</v>
      </c>
      <c r="V13" s="3202"/>
      <c r="W13" s="3202"/>
    </row>
    <row r="14" spans="1:23" ht="36">
      <c r="A14" s="3202" t="s">
        <v>3767</v>
      </c>
      <c r="B14" s="3214" t="s">
        <v>3854</v>
      </c>
      <c r="C14" s="3214" t="s">
        <v>3781</v>
      </c>
      <c r="D14" s="3212" t="s">
        <v>3502</v>
      </c>
      <c r="E14" s="3214" t="s">
        <v>3855</v>
      </c>
      <c r="F14" s="3204" t="s">
        <v>3499</v>
      </c>
      <c r="G14" s="3204" t="s">
        <v>3500</v>
      </c>
      <c r="H14" s="3169">
        <v>2254.31</v>
      </c>
      <c r="I14" s="3164">
        <v>45175</v>
      </c>
      <c r="J14" s="3164">
        <v>45175</v>
      </c>
      <c r="K14" s="3164">
        <v>47001</v>
      </c>
      <c r="L14" s="3177" t="s">
        <v>3518</v>
      </c>
      <c r="M14" s="3205"/>
      <c r="N14" s="3206"/>
      <c r="O14" s="3206">
        <v>7.6</v>
      </c>
      <c r="P14" s="3207">
        <v>6253455.9400000004</v>
      </c>
      <c r="Q14" s="3202" t="s">
        <v>3804</v>
      </c>
      <c r="R14" s="3202">
        <v>0</v>
      </c>
      <c r="S14" s="3209" t="s">
        <v>3856</v>
      </c>
      <c r="T14" s="3208" t="s">
        <v>3501</v>
      </c>
      <c r="U14" s="3213">
        <v>25</v>
      </c>
      <c r="V14" s="3202"/>
      <c r="W14" s="3202"/>
    </row>
    <row r="15" spans="1:23">
      <c r="A15" s="3202" t="s">
        <v>3767</v>
      </c>
      <c r="B15" s="3168" t="s">
        <v>3865</v>
      </c>
      <c r="C15" s="3168" t="s">
        <v>3781</v>
      </c>
      <c r="D15" s="3212" t="s">
        <v>3502</v>
      </c>
      <c r="E15" s="3168" t="s">
        <v>3866</v>
      </c>
      <c r="F15" s="3204" t="s">
        <v>3499</v>
      </c>
      <c r="G15" s="3204" t="s">
        <v>3500</v>
      </c>
      <c r="H15" s="3169">
        <v>234.01</v>
      </c>
      <c r="I15" s="3164">
        <v>45311</v>
      </c>
      <c r="J15" s="3164">
        <v>45311</v>
      </c>
      <c r="K15" s="3164">
        <v>46041</v>
      </c>
      <c r="L15" s="3177" t="s">
        <v>3500</v>
      </c>
      <c r="M15" s="3205" t="s">
        <v>3500</v>
      </c>
      <c r="N15" s="3206">
        <v>265.23</v>
      </c>
      <c r="O15" s="3206">
        <v>8.8410000000000011</v>
      </c>
      <c r="P15" s="3207">
        <v>410439.56</v>
      </c>
      <c r="Q15" s="3202" t="s">
        <v>3770</v>
      </c>
      <c r="R15" s="3202">
        <v>0</v>
      </c>
      <c r="S15" s="3209"/>
      <c r="T15" s="3208" t="s">
        <v>3501</v>
      </c>
      <c r="U15" s="3213">
        <v>25</v>
      </c>
      <c r="V15" s="3202"/>
      <c r="W15" s="3202"/>
    </row>
    <row r="16" spans="1:23">
      <c r="A16" s="3202" t="s">
        <v>3767</v>
      </c>
      <c r="B16" s="3168" t="s">
        <v>3867</v>
      </c>
      <c r="C16" s="3168" t="s">
        <v>3781</v>
      </c>
      <c r="D16" s="3212" t="s">
        <v>3502</v>
      </c>
      <c r="E16" s="3168" t="s">
        <v>3868</v>
      </c>
      <c r="F16" s="3204" t="s">
        <v>3499</v>
      </c>
      <c r="G16" s="3204" t="s">
        <v>3500</v>
      </c>
      <c r="H16" s="3169">
        <v>561.80999999999995</v>
      </c>
      <c r="I16" s="3164">
        <v>45311</v>
      </c>
      <c r="J16" s="3164">
        <v>45311</v>
      </c>
      <c r="K16" s="3164">
        <v>46041</v>
      </c>
      <c r="L16" s="3177" t="s">
        <v>3500</v>
      </c>
      <c r="M16" s="3205" t="s">
        <v>3500</v>
      </c>
      <c r="N16" s="3206">
        <v>265.23</v>
      </c>
      <c r="O16" s="3206">
        <v>8.8410000000000011</v>
      </c>
      <c r="P16" s="3207">
        <v>985381.24</v>
      </c>
      <c r="Q16" s="3202" t="s">
        <v>3770</v>
      </c>
      <c r="R16" s="3202">
        <v>0</v>
      </c>
      <c r="S16" s="3209"/>
      <c r="T16" s="3208" t="s">
        <v>3501</v>
      </c>
      <c r="U16" s="3213">
        <v>25</v>
      </c>
      <c r="V16" s="3202"/>
      <c r="W16" s="3202"/>
    </row>
    <row r="17" spans="1:23">
      <c r="A17" s="3202" t="s">
        <v>3767</v>
      </c>
      <c r="B17" s="3214" t="s">
        <v>3886</v>
      </c>
      <c r="C17" s="3214" t="s">
        <v>3781</v>
      </c>
      <c r="D17" s="3212" t="s">
        <v>3502</v>
      </c>
      <c r="E17" s="3214" t="s">
        <v>3887</v>
      </c>
      <c r="F17" s="3204" t="s">
        <v>3499</v>
      </c>
      <c r="G17" s="3204" t="s">
        <v>3500</v>
      </c>
      <c r="H17" s="3169">
        <v>3855.76</v>
      </c>
      <c r="I17" s="3164">
        <v>45275</v>
      </c>
      <c r="J17" s="3164">
        <v>45275</v>
      </c>
      <c r="K17" s="3164">
        <v>47101</v>
      </c>
      <c r="L17" s="3177" t="s">
        <v>3518</v>
      </c>
      <c r="M17" s="3205"/>
      <c r="N17" s="3206"/>
      <c r="O17" s="3206">
        <v>4.38</v>
      </c>
      <c r="P17" s="3207">
        <v>6164203.5099999998</v>
      </c>
      <c r="Q17" s="3202" t="s">
        <v>3804</v>
      </c>
      <c r="R17" s="3202">
        <v>0</v>
      </c>
      <c r="S17" s="3209" t="s">
        <v>3499</v>
      </c>
      <c r="T17" s="3208" t="s">
        <v>3501</v>
      </c>
      <c r="U17" s="3213">
        <v>25</v>
      </c>
      <c r="V17" s="3202"/>
      <c r="W17" s="3202"/>
    </row>
    <row r="18" spans="1:23">
      <c r="H18" s="3247">
        <f>SUM(H2:H17)</f>
        <v>30698.640000000007</v>
      </c>
      <c r="O18">
        <f>P18/H18/365</f>
        <v>6.1705584815697865</v>
      </c>
      <c r="P18" s="3247">
        <f>SUM(P2:P17)</f>
        <v>69141130</v>
      </c>
    </row>
  </sheetData>
  <phoneticPr fontId="135" type="noConversion"/>
  <conditionalFormatting sqref="B1:B17">
    <cfRule type="duplicateValues" dxfId="120" priority="1"/>
  </conditionalFormatting>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874</v>
      </c>
      <c r="B1" s="653"/>
      <c r="C1" s="1265"/>
      <c r="D1" s="1249" t="s">
        <v>43</v>
      </c>
      <c r="E1" s="1250" t="s">
        <v>675</v>
      </c>
      <c r="F1" s="978">
        <f ca="1">J53</f>
        <v>0</v>
      </c>
      <c r="G1" s="1264">
        <f>MATCH(C1,'数据-取费表'!A6:A16,0)+5</f>
        <v>8</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875</v>
      </c>
      <c r="B2" s="3096" t="e">
        <f ca="1">ROUND(D2/10000,4)</f>
        <v>#DIV/0!</v>
      </c>
      <c r="C2" s="1267" t="s">
        <v>876</v>
      </c>
      <c r="D2" s="1353" t="e">
        <f ca="1">C40+J29+L46</f>
        <v>#DIV/0!</v>
      </c>
      <c r="E2" s="1273" t="s">
        <v>877</v>
      </c>
      <c r="F2" s="1274"/>
      <c r="G2" s="2453"/>
      <c r="H2" s="2443"/>
      <c r="I2" s="2443"/>
      <c r="J2" s="2443"/>
      <c r="K2" s="2444"/>
      <c r="L2" s="2443"/>
      <c r="M2" s="2443"/>
    </row>
    <row r="3" spans="1:37" ht="18" customHeight="1" thickBot="1">
      <c r="A3" s="1275" t="s">
        <v>878</v>
      </c>
      <c r="B3" s="1276">
        <f ca="1">IF(ISERROR(D2/F43),0,ROUND(D2/F43,0))</f>
        <v>0</v>
      </c>
      <c r="C3" s="1267" t="s">
        <v>879</v>
      </c>
      <c r="D3" s="1267"/>
      <c r="E3" s="1273"/>
      <c r="F3" s="1274"/>
      <c r="G3" s="2453"/>
      <c r="H3" s="639" t="s">
        <v>873</v>
      </c>
      <c r="I3" s="1268"/>
      <c r="J3" s="1268"/>
      <c r="K3" s="1269"/>
      <c r="L3" s="1268"/>
      <c r="M3" s="1268"/>
    </row>
    <row r="4" spans="1:37" ht="18" customHeight="1">
      <c r="A4" s="281" t="s">
        <v>880</v>
      </c>
      <c r="B4" s="282" t="s">
        <v>881</v>
      </c>
      <c r="C4" s="282" t="s">
        <v>882</v>
      </c>
      <c r="D4" s="282" t="s">
        <v>883</v>
      </c>
      <c r="E4" s="283" t="s">
        <v>884</v>
      </c>
      <c r="F4" s="284"/>
      <c r="G4" s="1270"/>
      <c r="H4" s="281" t="s">
        <v>880</v>
      </c>
      <c r="I4" s="282" t="s">
        <v>881</v>
      </c>
      <c r="J4" s="282" t="s">
        <v>882</v>
      </c>
      <c r="K4" s="282" t="s">
        <v>883</v>
      </c>
      <c r="L4" s="283" t="s">
        <v>884</v>
      </c>
      <c r="M4" s="284"/>
    </row>
    <row r="5" spans="1:37" ht="18" customHeight="1">
      <c r="A5" s="285">
        <v>1</v>
      </c>
      <c r="B5" s="286" t="s">
        <v>885</v>
      </c>
      <c r="C5" s="986">
        <f ca="1">C6+C10+C12</f>
        <v>0</v>
      </c>
      <c r="D5" s="1251" t="s">
        <v>886</v>
      </c>
      <c r="E5" s="987"/>
      <c r="F5" s="988"/>
      <c r="G5" s="1270"/>
      <c r="H5" s="285">
        <v>1</v>
      </c>
      <c r="I5" s="286" t="s">
        <v>885</v>
      </c>
      <c r="J5" s="986">
        <f ca="1">J6+J10+J12</f>
        <v>0</v>
      </c>
      <c r="K5" s="1251" t="s">
        <v>886</v>
      </c>
      <c r="L5" s="987"/>
      <c r="M5" s="988"/>
    </row>
    <row r="6" spans="1:37" ht="18" customHeight="1">
      <c r="A6" s="985" t="s">
        <v>398</v>
      </c>
      <c r="B6" s="3485" t="s">
        <v>691</v>
      </c>
      <c r="C6" s="990">
        <f ca="1">ROUND(F6*F8*F7*(1-F9),0)</f>
        <v>0</v>
      </c>
      <c r="D6" s="141" t="s">
        <v>2101</v>
      </c>
      <c r="E6" s="288" t="s">
        <v>693</v>
      </c>
      <c r="F6" s="289">
        <f ca="1">INDIRECT("'数据-取费表'!u"&amp;$G$1)</f>
        <v>0</v>
      </c>
      <c r="G6" s="1270"/>
      <c r="H6" s="985" t="s">
        <v>398</v>
      </c>
      <c r="I6" s="3485" t="s">
        <v>691</v>
      </c>
      <c r="J6" s="287">
        <f ca="1">ROUND(M6*M8*M7*(1-M9),0)</f>
        <v>0</v>
      </c>
      <c r="K6" s="1262" t="s">
        <v>2102</v>
      </c>
      <c r="L6" s="288" t="s">
        <v>693</v>
      </c>
      <c r="M6" s="289">
        <f ca="1">INDIRECT("'数据-取费表'!z"&amp;$G$1)</f>
        <v>0</v>
      </c>
    </row>
    <row r="7" spans="1:37" ht="18" customHeight="1">
      <c r="A7" s="989"/>
      <c r="B7" s="3486"/>
      <c r="C7" s="991"/>
      <c r="D7" s="293"/>
      <c r="E7" s="992" t="s">
        <v>694</v>
      </c>
      <c r="F7" s="289">
        <f ca="1">IF(INDIRECT("'数据-取费表'!ah"&amp;$G$1)="",INDIRECT("'数据-取费表'!k"&amp;$G$1),INDIRECT("'数据-取费表'!ah"&amp;$G$1))</f>
        <v>0</v>
      </c>
      <c r="G7" s="1270"/>
      <c r="H7" s="290"/>
      <c r="I7" s="3486"/>
      <c r="J7" s="292"/>
      <c r="K7" s="293"/>
      <c r="L7" s="288" t="s">
        <v>694</v>
      </c>
      <c r="M7" s="289">
        <f ca="1">F7</f>
        <v>0</v>
      </c>
    </row>
    <row r="8" spans="1:37" ht="18" customHeight="1">
      <c r="A8" s="290"/>
      <c r="B8" s="3486"/>
      <c r="C8" s="292"/>
      <c r="D8" s="293"/>
      <c r="E8" s="288" t="s">
        <v>695</v>
      </c>
      <c r="F8" s="289">
        <f ca="1">INDIRECT("'数据-取费表'!ai"&amp;$G$1)</f>
        <v>0</v>
      </c>
      <c r="G8" s="1270"/>
      <c r="H8" s="290"/>
      <c r="I8" s="3486"/>
      <c r="J8" s="292"/>
      <c r="K8" s="293"/>
      <c r="L8" s="288" t="s">
        <v>695</v>
      </c>
      <c r="M8" s="289">
        <f ca="1">INDIRECT("'数据-取费表'!ai"&amp;$G$1)</f>
        <v>0</v>
      </c>
    </row>
    <row r="9" spans="1:37" ht="18" customHeight="1">
      <c r="A9" s="290"/>
      <c r="B9" s="3487"/>
      <c r="C9" s="292"/>
      <c r="D9" s="293"/>
      <c r="E9" s="288" t="s">
        <v>696</v>
      </c>
      <c r="F9" s="298">
        <f ca="1">INDIRECT("'数据-取费表'!w"&amp;$G$1)</f>
        <v>0</v>
      </c>
      <c r="G9" s="1270"/>
      <c r="H9" s="290"/>
      <c r="I9" s="3487"/>
      <c r="J9" s="292"/>
      <c r="K9" s="293"/>
      <c r="L9" s="299" t="s">
        <v>696</v>
      </c>
      <c r="M9" s="300">
        <f ca="1">INDIRECT("'数据-取费表'!ab"&amp;$G$1)</f>
        <v>0</v>
      </c>
    </row>
    <row r="10" spans="1:37" ht="18" customHeight="1">
      <c r="A10" s="985" t="s">
        <v>402</v>
      </c>
      <c r="B10" s="1252" t="s">
        <v>697</v>
      </c>
      <c r="C10" s="302">
        <f ca="1">ROUND(IF(F10="押一",C6/12*F11,IF(F10="押二",C6/12*2*F11,IF(F10="押三",C6/12*3*F11,C11*F11))),0)</f>
        <v>0</v>
      </c>
      <c r="D10" s="144" t="s">
        <v>2111</v>
      </c>
      <c r="E10" s="299" t="s">
        <v>698</v>
      </c>
      <c r="F10" s="1031"/>
      <c r="G10" s="1270"/>
      <c r="H10" s="985" t="s">
        <v>402</v>
      </c>
      <c r="I10" s="1252" t="s">
        <v>697</v>
      </c>
      <c r="J10" s="287">
        <f ca="1">ROUND(IF(M10="押一",J6/12*M11,IF(M10="押二",J6/12*2*M11,IF(M10="押三",J6/12*3*M11,J11*M11))),0)</f>
        <v>0</v>
      </c>
      <c r="K10" s="1263" t="s">
        <v>2113</v>
      </c>
      <c r="L10" s="299" t="s">
        <v>698</v>
      </c>
      <c r="M10" s="1031"/>
    </row>
    <row r="11" spans="1:37" ht="18" customHeight="1">
      <c r="A11" s="294"/>
      <c r="B11" s="1253" t="s">
        <v>887</v>
      </c>
      <c r="C11" s="885"/>
      <c r="D11" s="293"/>
      <c r="E11" s="299" t="s">
        <v>699</v>
      </c>
      <c r="F11" s="300">
        <f ca="1">'数据-取费表'!B39</f>
        <v>1.4999999999999999E-2</v>
      </c>
      <c r="G11" s="1270"/>
      <c r="H11" s="993"/>
      <c r="I11" s="1253" t="s">
        <v>888</v>
      </c>
      <c r="J11" s="885"/>
      <c r="K11" s="636"/>
      <c r="L11" s="299" t="s">
        <v>699</v>
      </c>
      <c r="M11" s="789">
        <f ca="1">'数据-取费表'!B39</f>
        <v>1.4999999999999999E-2</v>
      </c>
    </row>
    <row r="12" spans="1:37" ht="18" customHeight="1" thickBot="1">
      <c r="A12" s="998" t="s">
        <v>437</v>
      </c>
      <c r="B12" s="1255" t="s">
        <v>700</v>
      </c>
      <c r="C12" s="999"/>
      <c r="D12" s="1000"/>
      <c r="E12" s="1005"/>
      <c r="F12" s="1001"/>
      <c r="G12" s="1270"/>
      <c r="H12" s="998" t="s">
        <v>437</v>
      </c>
      <c r="I12" s="1255" t="s">
        <v>700</v>
      </c>
      <c r="J12" s="999"/>
      <c r="K12" s="1013"/>
      <c r="L12" s="1005"/>
      <c r="M12" s="1014"/>
    </row>
    <row r="13" spans="1:37" ht="18" customHeight="1" thickTop="1">
      <c r="A13" s="994">
        <v>2</v>
      </c>
      <c r="B13" s="995" t="s">
        <v>701</v>
      </c>
      <c r="C13" s="296">
        <f ca="1">ROUND(C29*F13,0)</f>
        <v>0</v>
      </c>
      <c r="D13" s="996" t="s">
        <v>702</v>
      </c>
      <c r="E13" s="996" t="s">
        <v>703</v>
      </c>
      <c r="F13" s="997">
        <f ca="1">INDIRECT("'数据-取费表'!y"&amp;$G$1)</f>
        <v>0</v>
      </c>
      <c r="G13" s="1270"/>
      <c r="H13" s="994">
        <v>2</v>
      </c>
      <c r="I13" s="995" t="s">
        <v>701</v>
      </c>
      <c r="J13" s="984">
        <f ca="1">ROUND(J14*J15,0)</f>
        <v>0</v>
      </c>
      <c r="K13" s="1002" t="s">
        <v>702</v>
      </c>
      <c r="L13" s="1277"/>
      <c r="M13" s="1278"/>
    </row>
    <row r="14" spans="1:37" ht="18" customHeight="1">
      <c r="A14" s="908" t="s">
        <v>397</v>
      </c>
      <c r="B14" s="288" t="s">
        <v>704</v>
      </c>
      <c r="C14" s="303">
        <f ca="1">ROUND(INDIRECT("'数据-取费表'!l"&amp;$G$1)*F43+'数据-取费表'!L14*INDIRECT("'数据-取费表'!S"&amp;$G$1),0)</f>
        <v>0</v>
      </c>
      <c r="D14" s="1235" t="s">
        <v>705</v>
      </c>
      <c r="E14" s="1233"/>
      <c r="F14" s="304"/>
      <c r="G14" s="1270"/>
      <c r="H14" s="908" t="s">
        <v>398</v>
      </c>
      <c r="I14" s="288" t="s">
        <v>706</v>
      </c>
      <c r="J14" s="21">
        <f ca="1">C29</f>
        <v>0</v>
      </c>
      <c r="K14" s="12"/>
      <c r="L14" s="741"/>
      <c r="M14" s="742"/>
    </row>
    <row r="15" spans="1:37" s="1282" customFormat="1" ht="18" customHeight="1" thickBot="1">
      <c r="A15" s="908" t="s">
        <v>399</v>
      </c>
      <c r="B15" s="288" t="s">
        <v>707</v>
      </c>
      <c r="C15" s="21">
        <f ca="1">ROUND(C14*F15,0)</f>
        <v>0</v>
      </c>
      <c r="D15" s="305" t="s">
        <v>708</v>
      </c>
      <c r="E15" s="305" t="s">
        <v>709</v>
      </c>
      <c r="F15" s="306">
        <f>'数据-取费表'!B33</f>
        <v>0.05</v>
      </c>
      <c r="G15" s="1281"/>
      <c r="H15" s="1004" t="s">
        <v>402</v>
      </c>
      <c r="I15" s="1005" t="s">
        <v>703</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677</v>
      </c>
      <c r="B16" s="288" t="s">
        <v>710</v>
      </c>
      <c r="C16" s="21">
        <f ca="1">ROUND(INDIRECT("'数据-取费表'!l"&amp;$G$1)*F43*F16,0)</f>
        <v>0</v>
      </c>
      <c r="D16" s="288" t="s">
        <v>708</v>
      </c>
      <c r="E16" s="288" t="s">
        <v>709</v>
      </c>
      <c r="F16" s="307">
        <f ca="1">IF(INDIRECT("'数据-取费表'!c"&amp;$G$1)="住宅",'数据-取费表'!B34,0)</f>
        <v>0</v>
      </c>
      <c r="G16" s="1270"/>
      <c r="H16" s="994" t="s">
        <v>393</v>
      </c>
      <c r="I16" s="995" t="s">
        <v>711</v>
      </c>
      <c r="J16" s="296">
        <f ca="1">ROUND(J17+J22+J23+J24,0)</f>
        <v>0</v>
      </c>
      <c r="K16" s="1002" t="s">
        <v>712</v>
      </c>
      <c r="L16" s="1003"/>
      <c r="M16" s="988"/>
    </row>
    <row r="17" spans="1:37" s="1282" customFormat="1" ht="18" customHeight="1">
      <c r="A17" s="908" t="s">
        <v>678</v>
      </c>
      <c r="B17" s="288" t="s">
        <v>713</v>
      </c>
      <c r="C17" s="21">
        <f ca="1">ROUND(F17*(F43+INDIRECT("'数据-取费表'!S"&amp;$G$1)),0)</f>
        <v>0</v>
      </c>
      <c r="D17" s="288" t="s">
        <v>714</v>
      </c>
      <c r="E17" s="288" t="s">
        <v>715</v>
      </c>
      <c r="F17" s="23">
        <f>'数据-取费表'!B35</f>
        <v>200</v>
      </c>
      <c r="G17" s="1281"/>
      <c r="H17" s="908" t="s">
        <v>398</v>
      </c>
      <c r="I17" s="288" t="s">
        <v>716</v>
      </c>
      <c r="J17" s="2117">
        <f ca="1">ROUND(IF(AND(项目基本情况!B11="自然人",项目基本情况!B10="北京市"),J6*M17/(1+'数据-取费表'!C42),J18+J19+J20),0)</f>
        <v>0</v>
      </c>
      <c r="K17" s="1235" t="s">
        <v>717</v>
      </c>
      <c r="L17" s="1234" t="s">
        <v>718</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679</v>
      </c>
      <c r="B18" s="288" t="s">
        <v>719</v>
      </c>
      <c r="C18" s="21">
        <f ca="1">ROUND(C14*F18,0)</f>
        <v>0</v>
      </c>
      <c r="D18" s="288" t="s">
        <v>708</v>
      </c>
      <c r="E18" s="288" t="s">
        <v>709</v>
      </c>
      <c r="F18" s="307">
        <f>'数据-取费表'!B36</f>
        <v>0.02</v>
      </c>
      <c r="G18" s="1281"/>
      <c r="H18" s="908" t="s">
        <v>397</v>
      </c>
      <c r="I18" s="288" t="s">
        <v>720</v>
      </c>
      <c r="J18" s="21">
        <f ca="1">ROUND(J6*M18/(1+'数据-取费表'!C42),0)</f>
        <v>0</v>
      </c>
      <c r="K18" s="1234" t="s">
        <v>721</v>
      </c>
      <c r="L18" s="288" t="s">
        <v>709</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722</v>
      </c>
      <c r="C19" s="21">
        <f ca="1">SUM(C14:C18)</f>
        <v>0</v>
      </c>
      <c r="D19" s="117" t="s">
        <v>723</v>
      </c>
      <c r="E19" s="1247"/>
      <c r="F19" s="23"/>
      <c r="G19" s="1270"/>
      <c r="H19" s="908" t="s">
        <v>399</v>
      </c>
      <c r="I19" s="288" t="s">
        <v>724</v>
      </c>
      <c r="J19" s="21">
        <f ca="1">IF(K19="按租金收入计税",ROUND(J6*M19/(1+'数据-取费表'!C42),0),ROUND(C29*M19*0.7,0))</f>
        <v>0</v>
      </c>
      <c r="K19" s="1256" t="s">
        <v>3318</v>
      </c>
      <c r="L19" s="288" t="s">
        <v>709</v>
      </c>
      <c r="M19" s="307">
        <f>IF(K19="按租金收入计税",'数据-取费表'!B51,'数据-取费表'!B50)</f>
        <v>0.12</v>
      </c>
    </row>
    <row r="20" spans="1:37" s="1282" customFormat="1" ht="18" customHeight="1">
      <c r="A20" s="908" t="s">
        <v>402</v>
      </c>
      <c r="B20" s="288" t="s">
        <v>725</v>
      </c>
      <c r="C20" s="21">
        <f ca="1">ROUND(C19*F20,0)</f>
        <v>0</v>
      </c>
      <c r="D20" s="308" t="s">
        <v>726</v>
      </c>
      <c r="E20" s="288" t="s">
        <v>709</v>
      </c>
      <c r="F20" s="307">
        <f>'数据-取费表'!B37</f>
        <v>0.02</v>
      </c>
      <c r="G20" s="1281"/>
      <c r="H20" s="908" t="s">
        <v>677</v>
      </c>
      <c r="I20" s="141" t="s">
        <v>727</v>
      </c>
      <c r="J20" s="22">
        <f ca="1">ROUND(M20*M21,0)</f>
        <v>0</v>
      </c>
      <c r="K20" s="309" t="s">
        <v>728</v>
      </c>
      <c r="L20" s="288" t="s">
        <v>729</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730</v>
      </c>
      <c r="C21" s="21" t="s">
        <v>0</v>
      </c>
      <c r="D21" s="308" t="s">
        <v>731</v>
      </c>
      <c r="E21" s="288" t="s">
        <v>732</v>
      </c>
      <c r="F21" s="307">
        <f>'数据-取费表'!B38</f>
        <v>0.02</v>
      </c>
      <c r="G21" s="1281"/>
      <c r="H21" s="311"/>
      <c r="I21" s="297"/>
      <c r="J21" s="26"/>
      <c r="K21" s="312"/>
      <c r="L21" s="288" t="s">
        <v>733</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680</v>
      </c>
      <c r="B22" s="288" t="s">
        <v>734</v>
      </c>
      <c r="C22" s="21"/>
      <c r="D22" s="117" t="str">
        <f>IF(F23&lt;=1,"单利计息。","复利计息。")&amp;"建造成本、管理费用、销售费用产生的利息。"</f>
        <v>复利计息。建造成本、管理费用、销售费用产生的利息。</v>
      </c>
      <c r="E22" s="1247"/>
      <c r="F22" s="23"/>
      <c r="G22" s="1270"/>
      <c r="H22" s="908" t="s">
        <v>402</v>
      </c>
      <c r="I22" s="288" t="s">
        <v>735</v>
      </c>
      <c r="J22" s="21">
        <f ca="1">ROUND(J14*M22,0)</f>
        <v>0</v>
      </c>
      <c r="K22" s="1234" t="s">
        <v>736</v>
      </c>
      <c r="L22" s="288" t="s">
        <v>709</v>
      </c>
      <c r="M22" s="313">
        <f ca="1">INDIRECT("'数据-取费表'!Ak"&amp;$G$1)</f>
        <v>0</v>
      </c>
    </row>
    <row r="23" spans="1:37" s="1282" customFormat="1" ht="18" customHeight="1">
      <c r="A23" s="908"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0">
        <f>'数据-取费表'!B20</f>
        <v>2</v>
      </c>
      <c r="G23" s="1281"/>
      <c r="H23" s="908" t="s">
        <v>437</v>
      </c>
      <c r="I23" s="288" t="s">
        <v>739</v>
      </c>
      <c r="J23" s="21">
        <f ca="1">ROUND(J13*M23,0)</f>
        <v>0</v>
      </c>
      <c r="K23" s="1234" t="s">
        <v>740</v>
      </c>
      <c r="L23" s="288" t="s">
        <v>741</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742</v>
      </c>
      <c r="B24" s="288" t="s">
        <v>743</v>
      </c>
      <c r="C24" s="21">
        <f ca="1">ROUND(IF('数据-取费表'!B22&lt;=1,F21*F24*F23/2,F21*(POWER((1+F24),F23/2)-1)),4)</f>
        <v>5.9999999999999995E-4</v>
      </c>
      <c r="D24" s="132" t="str">
        <f>IF(F23&lt;=1,"销售费用×利率×(建设周期÷2)","销售费用×((1+利率)^(建设周期÷2)-1)")</f>
        <v>销售费用×((1+利率)^(建设周期÷2)-1)</v>
      </c>
      <c r="E24" s="288" t="s">
        <v>744</v>
      </c>
      <c r="F24" s="315">
        <f ca="1">'数据-取费表'!B40</f>
        <v>3.1300000000000001E-2</v>
      </c>
      <c r="G24" s="1281"/>
      <c r="H24" s="1004" t="s">
        <v>681</v>
      </c>
      <c r="I24" s="1005" t="s">
        <v>725</v>
      </c>
      <c r="J24" s="1006">
        <f ca="1">ROUND(J5*M24,0)</f>
        <v>0</v>
      </c>
      <c r="K24" s="1007" t="s">
        <v>745</v>
      </c>
      <c r="L24" s="1005" t="s">
        <v>741</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746</v>
      </c>
      <c r="B25" s="288" t="s">
        <v>747</v>
      </c>
      <c r="C25" s="21"/>
      <c r="D25" s="117" t="s">
        <v>748</v>
      </c>
      <c r="E25" s="1247"/>
      <c r="F25" s="23"/>
      <c r="G25" s="1270"/>
      <c r="H25" s="994" t="s">
        <v>394</v>
      </c>
      <c r="I25" s="1009" t="s">
        <v>749</v>
      </c>
      <c r="J25" s="296">
        <f ca="1">J5-J16</f>
        <v>0</v>
      </c>
      <c r="K25" s="1010" t="s">
        <v>750</v>
      </c>
      <c r="L25" s="1011"/>
      <c r="M25" s="1012"/>
    </row>
    <row r="26" spans="1:37" ht="18" customHeight="1">
      <c r="A26" s="908" t="s">
        <v>397</v>
      </c>
      <c r="B26" s="288" t="s">
        <v>751</v>
      </c>
      <c r="C26" s="21">
        <f ca="1">ROUND((C19+C20)*F26,0)</f>
        <v>0</v>
      </c>
      <c r="D26" s="308" t="s">
        <v>752</v>
      </c>
      <c r="E26" s="299" t="s">
        <v>753</v>
      </c>
      <c r="F26" s="298">
        <f ca="1">INDIRECT("'数据-取费表'!q"&amp;$G$1)</f>
        <v>0</v>
      </c>
      <c r="G26" s="1270"/>
      <c r="H26" s="285" t="s">
        <v>395</v>
      </c>
      <c r="I26" s="286" t="s">
        <v>754</v>
      </c>
      <c r="J26" s="287">
        <f ca="1">IF(J5&lt;&gt;0,ROUND(J25*(1-((1+M28)/(1+M26))^M27)/(M26-M28),0),0)</f>
        <v>0</v>
      </c>
      <c r="K26" s="309" t="s">
        <v>755</v>
      </c>
      <c r="L26" s="288" t="s">
        <v>756</v>
      </c>
      <c r="M26" s="298">
        <f ca="1">INDIRECT("'数据-取费表'!I"&amp;$G$1)</f>
        <v>0</v>
      </c>
    </row>
    <row r="27" spans="1:37" ht="18" customHeight="1">
      <c r="A27" s="908" t="s">
        <v>399</v>
      </c>
      <c r="B27" s="288" t="s">
        <v>757</v>
      </c>
      <c r="C27" s="21">
        <f ca="1">ROUND(F21*F26,4)</f>
        <v>0</v>
      </c>
      <c r="D27" s="308" t="s">
        <v>758</v>
      </c>
      <c r="E27" s="305"/>
      <c r="F27" s="306"/>
      <c r="G27" s="1270"/>
      <c r="H27" s="290"/>
      <c r="I27" s="291"/>
      <c r="J27" s="292"/>
      <c r="K27" s="316" t="s">
        <v>759</v>
      </c>
      <c r="L27" s="288" t="s">
        <v>760</v>
      </c>
      <c r="M27" s="317">
        <f ca="1">INDIRECT("'数据-取费表'!ag"&amp;$G$1)</f>
        <v>0</v>
      </c>
    </row>
    <row r="28" spans="1:37" s="1282" customFormat="1" ht="18" customHeight="1">
      <c r="A28" s="908" t="s">
        <v>400</v>
      </c>
      <c r="B28" s="288" t="s">
        <v>761</v>
      </c>
      <c r="C28" s="21">
        <f>ROUND(F28/(1+'数据-取费表'!C42),4)</f>
        <v>5.33E-2</v>
      </c>
      <c r="D28" s="308" t="s">
        <v>762</v>
      </c>
      <c r="E28" s="288" t="s">
        <v>709</v>
      </c>
      <c r="F28" s="307">
        <f>'数据-取费表'!B41</f>
        <v>5.6000000000000001E-2</v>
      </c>
      <c r="G28" s="1281"/>
      <c r="H28" s="294"/>
      <c r="I28" s="295"/>
      <c r="J28" s="296"/>
      <c r="K28" s="312"/>
      <c r="L28" s="288" t="s">
        <v>763</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764</v>
      </c>
      <c r="C29" s="1006">
        <f ca="1">ROUND((C19+C20+C23+C26)/(1-F21-C24-C27-C28),0)</f>
        <v>0</v>
      </c>
      <c r="D29" s="1007"/>
      <c r="E29" s="1005"/>
      <c r="F29" s="1008"/>
      <c r="G29" s="1281"/>
      <c r="H29" s="318" t="s">
        <v>396</v>
      </c>
      <c r="I29" s="319" t="s">
        <v>765</v>
      </c>
      <c r="J29" s="320">
        <f ca="1">ROUND(J26/(1+F40)^F41,0)</f>
        <v>0</v>
      </c>
      <c r="K29" s="321" t="s">
        <v>766</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711</v>
      </c>
      <c r="C30" s="296">
        <f ca="1">ROUND(C31+C36+C37+C38,0)</f>
        <v>0</v>
      </c>
      <c r="D30" s="1002" t="s">
        <v>712</v>
      </c>
      <c r="E30" s="1003"/>
      <c r="F30" s="988"/>
      <c r="G30" s="1270"/>
      <c r="H30" s="2445"/>
      <c r="I30" s="1283"/>
      <c r="J30" s="1284"/>
      <c r="K30" s="115"/>
      <c r="L30" s="2446"/>
      <c r="M30" s="2447"/>
    </row>
    <row r="31" spans="1:37" ht="18" customHeight="1">
      <c r="A31" s="908" t="s">
        <v>398</v>
      </c>
      <c r="B31" s="288" t="s">
        <v>716</v>
      </c>
      <c r="C31" s="2117">
        <f ca="1">ROUND(IF(AND(项目基本情况!B11="自然人",项目基本情况!B10="北京市"),C6*F31/(1+'数据-取费表'!C42),C32+C33+C34),0)</f>
        <v>0</v>
      </c>
      <c r="D31" s="1235" t="s">
        <v>717</v>
      </c>
      <c r="E31" s="1234" t="s">
        <v>767</v>
      </c>
      <c r="F31" s="2116" t="str">
        <f>IF(项目基本情况!B11="企业","——",IF(M47="住宅",IF(F6*F7*F8/12/(1+'数据-取费表'!F30)&gt;100000,4%,2.5%),IF(F6*F7*F8/12/(1+'数据-取费表'!F30)&gt;100000,12%,7%)))</f>
        <v>——</v>
      </c>
      <c r="G31" s="1270"/>
      <c r="H31" s="2543" t="s">
        <v>2290</v>
      </c>
      <c r="I31" s="1283"/>
      <c r="J31" s="1284"/>
      <c r="K31" s="115"/>
      <c r="L31" s="2446"/>
      <c r="M31" s="2447"/>
    </row>
    <row r="32" spans="1:37" ht="18" customHeight="1">
      <c r="A32" s="908" t="s">
        <v>397</v>
      </c>
      <c r="B32" s="288" t="s">
        <v>720</v>
      </c>
      <c r="C32" s="21">
        <f ca="1">IF(项目基本情况!B11="自然人","——",ROUND(C6*F32/(1+'数据-取费表'!C42),0))</f>
        <v>0</v>
      </c>
      <c r="D32" s="1234" t="s">
        <v>721</v>
      </c>
      <c r="E32" s="288" t="s">
        <v>709</v>
      </c>
      <c r="F32" s="315">
        <f>'数据-取费表'!B41</f>
        <v>5.6000000000000001E-2</v>
      </c>
      <c r="G32" s="1270"/>
      <c r="H32" s="2445"/>
      <c r="I32" s="1283"/>
      <c r="J32" s="1284"/>
      <c r="K32" s="115"/>
      <c r="L32" s="2446"/>
      <c r="M32" s="2447"/>
    </row>
    <row r="33" spans="1:18" ht="18" customHeight="1">
      <c r="A33" s="908" t="s">
        <v>399</v>
      </c>
      <c r="B33" s="288" t="s">
        <v>724</v>
      </c>
      <c r="C33" s="21">
        <f ca="1">IF(项目基本情况!B11="自然人","——",IF(D33="按租金收入计税",ROUND(C6*F33/(1+'数据-取费表'!C42),0),IF(D33="按房产原值计税",ROUND(C29*F33*0.7,0),INDIRECT("'数据-取费表'!Aj"&amp;$G$1))))</f>
        <v>0</v>
      </c>
      <c r="D33" s="1256" t="s">
        <v>3318</v>
      </c>
      <c r="E33" s="288" t="s">
        <v>709</v>
      </c>
      <c r="F33" s="307">
        <f>IF(D33="按票据","——",IF(D33="按租金收入计税",'数据-取费表'!B51,'数据-取费表'!B50))</f>
        <v>0.12</v>
      </c>
      <c r="G33" s="1270"/>
      <c r="H33" s="2448"/>
      <c r="I33" s="1283"/>
      <c r="J33" s="1284"/>
      <c r="K33" s="2449"/>
      <c r="L33" s="2448"/>
      <c r="M33" s="2448"/>
    </row>
    <row r="34" spans="1:18" ht="18" customHeight="1">
      <c r="A34" s="985" t="s">
        <v>677</v>
      </c>
      <c r="B34" s="141" t="s">
        <v>727</v>
      </c>
      <c r="C34" s="22">
        <f ca="1">IF(项目基本情况!B11="自然人","——",ROUND(F34*F35,0))</f>
        <v>0</v>
      </c>
      <c r="D34" s="309" t="s">
        <v>728</v>
      </c>
      <c r="E34" s="288" t="s">
        <v>729</v>
      </c>
      <c r="F34" s="310">
        <f>'数据-取费表'!B52</f>
        <v>3</v>
      </c>
      <c r="G34" s="1270"/>
      <c r="H34" s="2445"/>
      <c r="I34" s="1283"/>
      <c r="J34" s="1284"/>
      <c r="K34" s="2450"/>
      <c r="L34" s="2451"/>
      <c r="M34" s="2451"/>
    </row>
    <row r="35" spans="1:18" ht="18" customHeight="1">
      <c r="A35" s="1018"/>
      <c r="B35" s="1016"/>
      <c r="C35" s="26"/>
      <c r="D35" s="312"/>
      <c r="E35" s="288" t="s">
        <v>733</v>
      </c>
      <c r="F35" s="289">
        <f ca="1">INDIRECT("'数据-取费表'!r"&amp;$G$1)</f>
        <v>0</v>
      </c>
      <c r="G35" s="1270"/>
      <c r="H35" s="2445"/>
      <c r="I35" s="1283"/>
      <c r="J35" s="1284"/>
      <c r="K35" s="2449"/>
      <c r="L35" s="2448"/>
      <c r="M35" s="2448"/>
    </row>
    <row r="36" spans="1:18" ht="18" customHeight="1">
      <c r="A36" s="1017" t="s">
        <v>402</v>
      </c>
      <c r="B36" s="288" t="s">
        <v>735</v>
      </c>
      <c r="C36" s="21">
        <f ca="1">ROUND(C29*F36,0)</f>
        <v>0</v>
      </c>
      <c r="D36" s="1234" t="s">
        <v>768</v>
      </c>
      <c r="E36" s="288" t="s">
        <v>709</v>
      </c>
      <c r="F36" s="313">
        <f ca="1">INDIRECT("'数据-取费表'!Ak"&amp;$G$1)</f>
        <v>0</v>
      </c>
      <c r="G36" s="1270"/>
      <c r="H36" s="2448"/>
      <c r="I36" s="1283"/>
      <c r="J36" s="1284"/>
      <c r="K36" s="2308"/>
      <c r="L36" s="2448"/>
      <c r="M36" s="2448"/>
    </row>
    <row r="37" spans="1:18" ht="18" customHeight="1">
      <c r="A37" s="908" t="s">
        <v>437</v>
      </c>
      <c r="B37" s="288" t="s">
        <v>739</v>
      </c>
      <c r="C37" s="21">
        <f ca="1">ROUND(C13*F37,0)</f>
        <v>0</v>
      </c>
      <c r="D37" s="1234" t="s">
        <v>740</v>
      </c>
      <c r="E37" s="288" t="s">
        <v>741</v>
      </c>
      <c r="F37" s="314">
        <f ca="1">INDIRECT("'数据-取费表'!Al"&amp;$G$1)</f>
        <v>0</v>
      </c>
      <c r="G37" s="1270"/>
      <c r="H37" s="2448"/>
      <c r="I37" s="1283"/>
      <c r="J37" s="1284"/>
      <c r="K37" s="2308"/>
      <c r="L37" s="2448"/>
      <c r="M37" s="2448"/>
    </row>
    <row r="38" spans="1:18" ht="18" customHeight="1" thickBot="1">
      <c r="A38" s="1004" t="s">
        <v>681</v>
      </c>
      <c r="B38" s="1005" t="s">
        <v>725</v>
      </c>
      <c r="C38" s="1006">
        <f ca="1">ROUND(C5*F38,0)</f>
        <v>0</v>
      </c>
      <c r="D38" s="1007" t="s">
        <v>745</v>
      </c>
      <c r="E38" s="1005" t="s">
        <v>741</v>
      </c>
      <c r="F38" s="1001">
        <f ca="1">INDIRECT("'数据-取费表'!Am"&amp;$G$1)</f>
        <v>0</v>
      </c>
      <c r="G38" s="1270"/>
      <c r="H38" s="2448"/>
      <c r="I38" s="1283"/>
      <c r="J38" s="1284"/>
      <c r="K38" s="2446"/>
      <c r="L38" s="2448"/>
      <c r="M38" s="2448"/>
    </row>
    <row r="39" spans="1:18" ht="24.6" customHeight="1" thickTop="1">
      <c r="A39" s="994" t="s">
        <v>394</v>
      </c>
      <c r="B39" s="1009" t="s">
        <v>769</v>
      </c>
      <c r="C39" s="296">
        <f ca="1">C5-C30</f>
        <v>0</v>
      </c>
      <c r="D39" s="1010" t="s">
        <v>770</v>
      </c>
      <c r="E39" s="1011"/>
      <c r="F39" s="1012"/>
      <c r="G39" s="1270"/>
      <c r="H39" s="2448"/>
      <c r="I39" s="1283"/>
      <c r="J39" s="1284"/>
      <c r="K39" s="2446"/>
      <c r="L39" s="2448"/>
      <c r="M39" s="2448"/>
    </row>
    <row r="40" spans="1:18" ht="18" customHeight="1">
      <c r="A40" s="285" t="s">
        <v>395</v>
      </c>
      <c r="B40" s="286" t="s">
        <v>771</v>
      </c>
      <c r="C40" s="287" t="e">
        <f ca="1">ROUND(C39*(1-((1+F42)/(1+F40))^F41)/(F40-F42),0)</f>
        <v>#DIV/0!</v>
      </c>
      <c r="D40" s="309" t="s">
        <v>755</v>
      </c>
      <c r="E40" s="288" t="s">
        <v>756</v>
      </c>
      <c r="F40" s="298">
        <f ca="1">INDIRECT("'数据-取费表'!I"&amp;$G$1)</f>
        <v>0</v>
      </c>
      <c r="G40" s="1270"/>
      <c r="H40" s="1344"/>
      <c r="I40" s="1283"/>
      <c r="J40" s="1284"/>
      <c r="K40" s="2446"/>
      <c r="L40" s="1344"/>
      <c r="M40" s="1344"/>
    </row>
    <row r="41" spans="1:18" ht="18" customHeight="1">
      <c r="A41" s="290"/>
      <c r="B41" s="291"/>
      <c r="C41" s="292"/>
      <c r="D41" s="316" t="s">
        <v>772</v>
      </c>
      <c r="E41" s="288" t="s">
        <v>760</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763</v>
      </c>
      <c r="F42" s="298">
        <f ca="1">INDIRECT("'数据-取费表'!v"&amp;$G$1)</f>
        <v>0</v>
      </c>
      <c r="G42" s="1270"/>
      <c r="H42" s="115"/>
      <c r="I42" s="1283"/>
      <c r="J42" s="1284"/>
      <c r="K42" s="2308"/>
      <c r="L42" s="115"/>
      <c r="M42" s="115"/>
    </row>
    <row r="43" spans="1:18" ht="18" customHeight="1" thickBot="1">
      <c r="A43" s="318" t="s">
        <v>396</v>
      </c>
      <c r="B43" s="319" t="s">
        <v>773</v>
      </c>
      <c r="C43" s="320" t="e">
        <f ca="1">ROUND(C40/F43,0)</f>
        <v>#DIV/0!</v>
      </c>
      <c r="D43" s="321" t="s">
        <v>774</v>
      </c>
      <c r="E43" s="322" t="s">
        <v>775</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3334</v>
      </c>
      <c r="B45" s="1285"/>
      <c r="C45" s="1354" t="e">
        <f ca="1">ROUND((C68-C40)/10000,4)</f>
        <v>#DIV/0!</v>
      </c>
      <c r="D45" s="3102" t="s">
        <v>3335</v>
      </c>
      <c r="E45" s="1285"/>
      <c r="F45" s="1285"/>
      <c r="O45" s="1288" t="s">
        <v>805</v>
      </c>
      <c r="P45" s="1344"/>
      <c r="Q45" s="1344"/>
      <c r="R45" s="1344"/>
    </row>
    <row r="46" spans="1:18" s="1270" customFormat="1" ht="13.5" thickBot="1">
      <c r="A46" s="1289" t="s">
        <v>806</v>
      </c>
      <c r="C46" s="1290" t="e">
        <f ca="1">ROUND(C45,0)</f>
        <v>#DIV/0!</v>
      </c>
      <c r="D46" s="1291" t="str">
        <f>C2</f>
        <v>万元</v>
      </c>
      <c r="I46" s="1292" t="s">
        <v>807</v>
      </c>
      <c r="J46" s="1293"/>
      <c r="K46" s="1294"/>
      <c r="L46" s="1295" t="e">
        <f ca="1">IF(M47="住宅",0,IF(L48&gt;J51,L60,J60))</f>
        <v>#DIV/0!</v>
      </c>
      <c r="O46" s="1296" t="s">
        <v>808</v>
      </c>
      <c r="P46" s="1297" t="s">
        <v>809</v>
      </c>
      <c r="Q46" s="1298" t="s">
        <v>810</v>
      </c>
      <c r="R46" s="1298" t="s">
        <v>811</v>
      </c>
    </row>
    <row r="47" spans="1:18" s="1270" customFormat="1" ht="13.5" thickBot="1">
      <c r="A47" s="872" t="s">
        <v>684</v>
      </c>
      <c r="B47" s="904" t="s">
        <v>685</v>
      </c>
      <c r="C47" s="904" t="s">
        <v>686</v>
      </c>
      <c r="D47" s="904" t="s">
        <v>687</v>
      </c>
      <c r="E47" s="974" t="s">
        <v>688</v>
      </c>
      <c r="F47" s="975"/>
      <c r="G47" s="671"/>
      <c r="I47" s="1299" t="s">
        <v>812</v>
      </c>
      <c r="J47" s="1300"/>
      <c r="K47" s="1301" t="s">
        <v>813</v>
      </c>
      <c r="L47" s="1302">
        <f ca="1">INDIRECT("'数据-取费表'!d"&amp;$G$1)</f>
        <v>0</v>
      </c>
      <c r="M47" s="1266" t="str">
        <f>IF(ISNUMBER(FIND("住宅",C1)),"住宅","非住宅")</f>
        <v>非住宅</v>
      </c>
      <c r="O47" s="1303" t="s">
        <v>403</v>
      </c>
      <c r="P47" s="1304" t="s">
        <v>814</v>
      </c>
      <c r="Q47" s="1305" t="e">
        <f ca="1">C40+J29</f>
        <v>#DIV/0!</v>
      </c>
      <c r="R47" s="1305" t="s">
        <v>815</v>
      </c>
    </row>
    <row r="48" spans="1:18" s="1270" customFormat="1" ht="28.5" thickBot="1">
      <c r="A48" s="1025" t="s">
        <v>438</v>
      </c>
      <c r="B48" s="286" t="s">
        <v>689</v>
      </c>
      <c r="C48" s="1246">
        <f ca="1">C49+C53+C55</f>
        <v>0</v>
      </c>
      <c r="D48" s="1027"/>
      <c r="E48" s="1028"/>
      <c r="F48" s="888"/>
      <c r="G48" s="671"/>
      <c r="H48" s="672"/>
      <c r="I48" s="1306" t="s">
        <v>816</v>
      </c>
      <c r="J48" s="1307"/>
      <c r="K48" s="1308" t="s">
        <v>817</v>
      </c>
      <c r="L48" s="1309">
        <f ca="1">INDIRECT("'数据-取费表'!f"&amp;$G$1)</f>
        <v>0</v>
      </c>
      <c r="O48" s="1303" t="s">
        <v>404</v>
      </c>
      <c r="P48" s="1304" t="s">
        <v>818</v>
      </c>
      <c r="Q48" s="1305" t="e">
        <f ca="1">J60</f>
        <v>#DIV/0!</v>
      </c>
      <c r="R48" s="1305" t="s">
        <v>819</v>
      </c>
    </row>
    <row r="49" spans="1:18" s="1270" customFormat="1" ht="13.5" thickBot="1">
      <c r="A49" s="901" t="s">
        <v>439</v>
      </c>
      <c r="B49" s="1257" t="s">
        <v>776</v>
      </c>
      <c r="C49" s="1029">
        <f ca="1">ROUND(F49*F51*F50*(1-F52),0)</f>
        <v>0</v>
      </c>
      <c r="D49" s="971" t="s">
        <v>692</v>
      </c>
      <c r="E49" s="1258" t="s">
        <v>777</v>
      </c>
      <c r="F49" s="976"/>
      <c r="H49" s="672"/>
      <c r="I49" s="1306" t="s">
        <v>820</v>
      </c>
      <c r="J49" s="1310"/>
      <c r="K49" s="1308" t="s">
        <v>821</v>
      </c>
      <c r="L49" s="1311"/>
      <c r="O49" s="1312" t="s">
        <v>405</v>
      </c>
      <c r="P49" s="1304" t="s">
        <v>822</v>
      </c>
      <c r="Q49" s="1305">
        <f ca="1">C29</f>
        <v>0</v>
      </c>
      <c r="R49" s="1305" t="s">
        <v>815</v>
      </c>
    </row>
    <row r="50" spans="1:18" s="1270" customFormat="1" ht="13.5" thickBot="1">
      <c r="A50" s="902"/>
      <c r="B50" s="905"/>
      <c r="C50" s="906"/>
      <c r="D50" s="879"/>
      <c r="E50" s="972" t="s">
        <v>694</v>
      </c>
      <c r="F50" s="973">
        <f ca="1">F7</f>
        <v>0</v>
      </c>
      <c r="H50" s="672"/>
      <c r="I50" s="1306" t="s">
        <v>823</v>
      </c>
      <c r="J50" s="1313">
        <f>SUMPRODUCT((I63:I65=J47)*(J62:L62=J48)*(J63:L65))</f>
        <v>0</v>
      </c>
      <c r="K50" s="1308" t="s">
        <v>824</v>
      </c>
      <c r="L50" s="1311"/>
      <c r="M50" s="1314"/>
      <c r="O50" s="1312" t="s">
        <v>406</v>
      </c>
      <c r="P50" s="1304" t="s">
        <v>825</v>
      </c>
      <c r="Q50" s="1315" t="e">
        <f ca="1">J58</f>
        <v>#DIV/0!</v>
      </c>
      <c r="R50" s="1305"/>
    </row>
    <row r="51" spans="1:18" s="1270" customFormat="1" ht="13.5" thickBot="1">
      <c r="A51" s="903"/>
      <c r="B51" s="905"/>
      <c r="C51" s="906"/>
      <c r="D51" s="879"/>
      <c r="E51" s="907" t="s">
        <v>695</v>
      </c>
      <c r="F51" s="289">
        <f ca="1">F8</f>
        <v>0</v>
      </c>
      <c r="I51" s="1316" t="s">
        <v>826</v>
      </c>
      <c r="J51" s="1309">
        <f>IF(J49="",J50,J49+J50-YEAR('数据-取费表'!B2))</f>
        <v>0</v>
      </c>
      <c r="K51" s="1317" t="s">
        <v>827</v>
      </c>
      <c r="L51" s="1318">
        <f ca="1">ROUND(-PV(INDIRECT("'数据-取费表'!h"&amp;$G$1),J51,(C39-C13*C76),0),0)</f>
        <v>0</v>
      </c>
      <c r="M51" s="1319"/>
      <c r="O51" s="1312" t="s">
        <v>407</v>
      </c>
      <c r="P51" s="1304" t="s">
        <v>828</v>
      </c>
      <c r="Q51" s="1315">
        <f>J52</f>
        <v>0</v>
      </c>
      <c r="R51" s="1305"/>
    </row>
    <row r="52" spans="1:18" s="1270" customFormat="1" ht="13.5" thickBot="1">
      <c r="A52" s="903"/>
      <c r="B52" s="905"/>
      <c r="C52" s="906"/>
      <c r="D52" s="879"/>
      <c r="E52" s="907" t="s">
        <v>696</v>
      </c>
      <c r="F52" s="970"/>
      <c r="I52" s="1320" t="s">
        <v>829</v>
      </c>
      <c r="J52" s="1321"/>
      <c r="K52" s="1320" t="s">
        <v>830</v>
      </c>
      <c r="L52" s="1321"/>
      <c r="O52" s="1312" t="s">
        <v>408</v>
      </c>
      <c r="P52" s="1304" t="s">
        <v>831</v>
      </c>
      <c r="Q52" s="1305">
        <f ca="1">J53</f>
        <v>0</v>
      </c>
      <c r="R52" s="1305" t="s">
        <v>832</v>
      </c>
    </row>
    <row r="53" spans="1:18" s="1270" customFormat="1" ht="30.75" customHeight="1" thickBot="1">
      <c r="A53" s="1026" t="s">
        <v>440</v>
      </c>
      <c r="B53" s="308" t="s">
        <v>697</v>
      </c>
      <c r="C53" s="302">
        <f ca="1">ROUND(IF(F53="押一",C49/12*F11,IF(F53="押二",C49/12*2*F11,IF(F53="押三",C49/12*3*F11,C54*F11))),0)</f>
        <v>0</v>
      </c>
      <c r="D53" s="144" t="s">
        <v>2114</v>
      </c>
      <c r="E53" s="299" t="s">
        <v>698</v>
      </c>
      <c r="F53" s="1031"/>
      <c r="I53" s="1322" t="s">
        <v>833</v>
      </c>
      <c r="J53" s="1983">
        <f ca="1">IF(M47="住宅",IF(D1="——",MAX(J51,L48),MAX(J51,L48-'数据-取费表'!B24)),IF(D1="——",MIN(J51,L48),MIN(J51,L48-'数据-取费表'!B24)))</f>
        <v>0</v>
      </c>
      <c r="K53" s="3483" t="s">
        <v>834</v>
      </c>
      <c r="L53" s="3484"/>
      <c r="O53" s="1303" t="s">
        <v>409</v>
      </c>
      <c r="P53" s="1304" t="s">
        <v>835</v>
      </c>
      <c r="Q53" s="1305" t="e">
        <f ca="1">Q47+Q48</f>
        <v>#DIV/0!</v>
      </c>
      <c r="R53" s="1305" t="s">
        <v>410</v>
      </c>
    </row>
    <row r="54" spans="1:18" s="1270" customFormat="1" ht="13.5" thickBot="1">
      <c r="A54" s="901"/>
      <c r="B54" s="1355" t="s">
        <v>888</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836</v>
      </c>
      <c r="P54" s="1267"/>
      <c r="Q54" s="1267"/>
      <c r="R54" s="1267"/>
    </row>
    <row r="55" spans="1:18" s="1270" customFormat="1" ht="13.5" thickBot="1">
      <c r="A55" s="998" t="s">
        <v>437</v>
      </c>
      <c r="B55" s="1255" t="s">
        <v>700</v>
      </c>
      <c r="C55" s="999"/>
      <c r="D55" s="144"/>
      <c r="E55" s="1260"/>
      <c r="F55" s="1323"/>
      <c r="I55" s="1326" t="s">
        <v>837</v>
      </c>
      <c r="J55" s="1327" t="e">
        <f ca="1">ROUND(IF(J47="钢混",J57/J50,1-(1-2%)*(J50-J57)/J50),3)</f>
        <v>#DIV/0!</v>
      </c>
      <c r="K55" s="1328" t="s">
        <v>838</v>
      </c>
      <c r="L55" s="1329"/>
      <c r="O55" s="1296" t="s">
        <v>808</v>
      </c>
      <c r="P55" s="1297" t="s">
        <v>809</v>
      </c>
      <c r="Q55" s="1298" t="s">
        <v>810</v>
      </c>
      <c r="R55" s="1298" t="s">
        <v>811</v>
      </c>
    </row>
    <row r="56" spans="1:18" s="1270" customFormat="1" ht="36" customHeight="1" thickTop="1" thickBot="1">
      <c r="A56" s="883">
        <v>2</v>
      </c>
      <c r="B56" s="884" t="s">
        <v>701</v>
      </c>
      <c r="C56" s="218">
        <f ca="1">C13</f>
        <v>0</v>
      </c>
      <c r="D56" s="1330"/>
      <c r="E56" s="1331"/>
      <c r="F56" s="1323"/>
      <c r="I56" s="1332" t="s">
        <v>839</v>
      </c>
      <c r="J56" s="1333"/>
      <c r="K56" s="1306" t="s">
        <v>840</v>
      </c>
      <c r="L56" s="1309">
        <f ca="1">IF(L48&lt;J51,"——",L48-J51)</f>
        <v>0</v>
      </c>
      <c r="O56" s="1303" t="s">
        <v>403</v>
      </c>
      <c r="P56" s="1304" t="s">
        <v>814</v>
      </c>
      <c r="Q56" s="1305" t="e">
        <f ca="1">C40+J29</f>
        <v>#DIV/0!</v>
      </c>
      <c r="R56" s="1305" t="s">
        <v>815</v>
      </c>
    </row>
    <row r="57" spans="1:18" s="1270" customFormat="1" ht="24.75" thickBot="1">
      <c r="A57" s="1334"/>
      <c r="B57" s="876" t="s">
        <v>764</v>
      </c>
      <c r="C57" s="224">
        <f ca="1">C29</f>
        <v>0</v>
      </c>
      <c r="D57" s="1335"/>
      <c r="E57" s="1336"/>
      <c r="F57" s="1337"/>
      <c r="I57" s="1338" t="s">
        <v>841</v>
      </c>
      <c r="J57" s="1339">
        <f ca="1">IF(OR(M47="住宅",J51&lt;L48,J56="是"),"——",J51-L48)</f>
        <v>0</v>
      </c>
      <c r="K57" s="1306" t="s">
        <v>889</v>
      </c>
      <c r="L57" s="1309">
        <f ca="1">IF(L48&lt;J51,"——",IF(L55="比较法",L49,IF(L55="基准地价",L50,L51)))</f>
        <v>0</v>
      </c>
      <c r="O57" s="1303" t="s">
        <v>404</v>
      </c>
      <c r="P57" s="1304" t="s">
        <v>890</v>
      </c>
      <c r="Q57" s="1305" t="e">
        <f ca="1">L60</f>
        <v>#DIV/0!</v>
      </c>
      <c r="R57" s="1305" t="s">
        <v>891</v>
      </c>
    </row>
    <row r="58" spans="1:18" s="1270" customFormat="1" ht="24.75" thickBot="1">
      <c r="A58" s="301" t="s">
        <v>393</v>
      </c>
      <c r="B58" s="884" t="s">
        <v>711</v>
      </c>
      <c r="C58" s="302">
        <f ca="1">ROUND(C59+C64+C65+C66,0)</f>
        <v>0</v>
      </c>
      <c r="D58" s="886" t="s">
        <v>712</v>
      </c>
      <c r="E58" s="887"/>
      <c r="F58" s="888"/>
      <c r="I58" s="1338" t="s">
        <v>845</v>
      </c>
      <c r="J58" s="1340" t="e">
        <f ca="1">IF(J55&lt;0.4,0.4,J55)</f>
        <v>#DIV/0!</v>
      </c>
      <c r="K58" s="1317" t="s">
        <v>892</v>
      </c>
      <c r="L58" s="1309" t="e">
        <f ca="1">ROUND(POWER(1+L52,L47-L48)*(POWER(1+L52,L48)-1)/(POWER(1+L52,L47)-1),4)</f>
        <v>#DIV/0!</v>
      </c>
      <c r="O58" s="1312" t="s">
        <v>405</v>
      </c>
      <c r="P58" s="1304" t="s">
        <v>847</v>
      </c>
      <c r="Q58" s="1305">
        <f>IF(L55="比较法",L49,IF(L55="基准地价",L50,0))</f>
        <v>0</v>
      </c>
      <c r="R58" s="1305" t="s">
        <v>815</v>
      </c>
    </row>
    <row r="59" spans="1:18" s="1270" customFormat="1" ht="24.75" thickBot="1">
      <c r="A59" s="908" t="s">
        <v>398</v>
      </c>
      <c r="B59" s="876" t="s">
        <v>716</v>
      </c>
      <c r="C59" s="2117">
        <f ca="1">ROUND(IF(AND(项目基本情况!B11="自然人",项目基本情况!B10="北京市"),C49*F59/(1+'数据-取费表'!C42),C60+C61+C62),0)</f>
        <v>0</v>
      </c>
      <c r="D59" s="889" t="s">
        <v>717</v>
      </c>
      <c r="E59" s="890" t="s">
        <v>718</v>
      </c>
      <c r="F59" s="2116" t="str">
        <f>IF(项目基本情况!B11="企业","——",IF('数据-取费表'!B10="住宅",IF(F49*F50*F51/12/(1+'数据-取费表'!F30)&gt;100000,4%,2.5%),IF(F49*F50*F51/12/(1+'数据-取费表'!F30)&gt;100000,12%,7%)))</f>
        <v>——</v>
      </c>
      <c r="I59" s="1338" t="s">
        <v>848</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849</v>
      </c>
      <c r="Q59" s="1315">
        <f>L52</f>
        <v>0</v>
      </c>
      <c r="R59" s="1305"/>
    </row>
    <row r="60" spans="1:18" s="1270" customFormat="1" ht="16.5" thickBot="1">
      <c r="A60" s="908" t="s">
        <v>397</v>
      </c>
      <c r="B60" s="876" t="s">
        <v>720</v>
      </c>
      <c r="C60" s="21">
        <f ca="1">IF(项目基本情况!B11="自然人","——",ROUND(C48*F60/(1+'数据-取费表'!C42),0))</f>
        <v>0</v>
      </c>
      <c r="D60" s="890" t="s">
        <v>721</v>
      </c>
      <c r="E60" s="876" t="s">
        <v>709</v>
      </c>
      <c r="F60" s="315">
        <f t="shared" ref="F60:F66" si="0">F32</f>
        <v>5.6000000000000001E-2</v>
      </c>
      <c r="I60" s="1341" t="s">
        <v>850</v>
      </c>
      <c r="J60" s="1342" t="e">
        <f ca="1">IF(OR(M47="住宅",J51&lt;L48,J56="是"),"0",ROUND(J59/(1+J52)^J53,0))</f>
        <v>#DIV/0!</v>
      </c>
      <c r="K60" s="1343" t="s">
        <v>851</v>
      </c>
      <c r="L60" s="1342" t="e">
        <f ca="1">IF(OR(M47="住宅",L48&lt;J51),0,ROUND(L57*(L58/L59-1),0))</f>
        <v>#DIV/0!</v>
      </c>
      <c r="O60" s="1312" t="s">
        <v>407</v>
      </c>
      <c r="P60" s="1304" t="s">
        <v>852</v>
      </c>
      <c r="Q60" s="1305" t="e">
        <f ca="1">L58</f>
        <v>#DIV/0!</v>
      </c>
      <c r="R60" s="1305" t="s">
        <v>853</v>
      </c>
    </row>
    <row r="61" spans="1:18" s="1270" customFormat="1" ht="13.5" thickBot="1">
      <c r="A61" s="908" t="s">
        <v>778</v>
      </c>
      <c r="B61" s="876" t="s">
        <v>779</v>
      </c>
      <c r="C61" s="21">
        <f ca="1">IF(项目基本情况!B11="自然人","——",IF(D61="按租金收入计税",ROUND(C49*F61/(1+'数据-取费表'!C42),0),IF(D61="按房产原值计税",ROUND(C57*F61*0.7,0),INDIRECT("'数据-取费表'!Aj"&amp;$G$1))))</f>
        <v>0</v>
      </c>
      <c r="D61" s="1256" t="s">
        <v>3318</v>
      </c>
      <c r="E61" s="876" t="s">
        <v>780</v>
      </c>
      <c r="F61" s="307">
        <f t="shared" si="0"/>
        <v>0.12</v>
      </c>
      <c r="I61" s="1344"/>
      <c r="J61" s="1344"/>
      <c r="K61" s="1344"/>
      <c r="L61" s="1344"/>
      <c r="O61" s="1312" t="s">
        <v>408</v>
      </c>
      <c r="P61" s="1304" t="str">
        <f>K59</f>
        <v>建筑物剩余耐用年限下的土地年期修正系数Kn</v>
      </c>
      <c r="Q61" s="1305" t="e">
        <f ca="1">L59</f>
        <v>#DIV/0!</v>
      </c>
      <c r="R61" s="1305" t="s">
        <v>854</v>
      </c>
    </row>
    <row r="62" spans="1:18" s="1270" customFormat="1" ht="13.5" thickBot="1">
      <c r="A62" s="908" t="s">
        <v>781</v>
      </c>
      <c r="B62" s="875" t="s">
        <v>782</v>
      </c>
      <c r="C62" s="22">
        <f ca="1">IF(项目基本情况!B11="自然人","——",ROUND(F62*F63,0))</f>
        <v>0</v>
      </c>
      <c r="D62" s="891" t="s">
        <v>783</v>
      </c>
      <c r="E62" s="876" t="s">
        <v>784</v>
      </c>
      <c r="F62" s="310">
        <f t="shared" si="0"/>
        <v>3</v>
      </c>
      <c r="I62" s="1345" t="s">
        <v>855</v>
      </c>
      <c r="J62" s="603" t="s">
        <v>856</v>
      </c>
      <c r="K62" s="603" t="s">
        <v>857</v>
      </c>
      <c r="L62" s="603" t="s">
        <v>858</v>
      </c>
      <c r="M62" s="1346" t="s">
        <v>859</v>
      </c>
      <c r="O62" s="1303" t="s">
        <v>409</v>
      </c>
      <c r="P62" s="1304" t="s">
        <v>860</v>
      </c>
      <c r="Q62" s="1305" t="e">
        <f ca="1">Q56+Q57</f>
        <v>#DIV/0!</v>
      </c>
      <c r="R62" s="1305" t="s">
        <v>410</v>
      </c>
    </row>
    <row r="63" spans="1:18" s="1270" customFormat="1" ht="13.5" thickBot="1">
      <c r="A63" s="311"/>
      <c r="B63" s="882"/>
      <c r="C63" s="26"/>
      <c r="D63" s="892"/>
      <c r="E63" s="876" t="s">
        <v>785</v>
      </c>
      <c r="F63" s="289">
        <f t="shared" ca="1" si="0"/>
        <v>0</v>
      </c>
      <c r="I63" s="1345" t="s">
        <v>861</v>
      </c>
      <c r="J63" s="603">
        <v>70</v>
      </c>
      <c r="K63" s="603">
        <v>50</v>
      </c>
      <c r="L63" s="603">
        <v>80</v>
      </c>
      <c r="M63" s="1347">
        <v>0.02</v>
      </c>
      <c r="O63" s="1288" t="s">
        <v>862</v>
      </c>
      <c r="P63" s="1267"/>
      <c r="Q63" s="1267"/>
      <c r="R63" s="1267"/>
    </row>
    <row r="64" spans="1:18" s="1270" customFormat="1" ht="13.5" thickBot="1">
      <c r="A64" s="908" t="s">
        <v>786</v>
      </c>
      <c r="B64" s="876" t="s">
        <v>787</v>
      </c>
      <c r="C64" s="21">
        <f ca="1">ROUND(C57*F64,0)</f>
        <v>0</v>
      </c>
      <c r="D64" s="890" t="s">
        <v>788</v>
      </c>
      <c r="E64" s="876" t="s">
        <v>780</v>
      </c>
      <c r="F64" s="313">
        <f t="shared" ca="1" si="0"/>
        <v>0</v>
      </c>
      <c r="I64" s="1345" t="s">
        <v>863</v>
      </c>
      <c r="J64" s="603">
        <v>50</v>
      </c>
      <c r="K64" s="603">
        <v>35</v>
      </c>
      <c r="L64" s="603">
        <v>60</v>
      </c>
      <c r="M64" s="1346">
        <v>0</v>
      </c>
      <c r="O64" s="1296" t="s">
        <v>808</v>
      </c>
      <c r="P64" s="1297" t="s">
        <v>809</v>
      </c>
      <c r="Q64" s="1298" t="s">
        <v>810</v>
      </c>
      <c r="R64" s="1298" t="s">
        <v>811</v>
      </c>
    </row>
    <row r="65" spans="1:18" s="1270" customFormat="1" ht="13.5" thickBot="1">
      <c r="A65" s="908" t="s">
        <v>789</v>
      </c>
      <c r="B65" s="876" t="s">
        <v>739</v>
      </c>
      <c r="C65" s="21">
        <f ca="1">ROUND(C56*F65,0)</f>
        <v>0</v>
      </c>
      <c r="D65" s="890" t="s">
        <v>740</v>
      </c>
      <c r="E65" s="876" t="s">
        <v>741</v>
      </c>
      <c r="F65" s="314">
        <f t="shared" ca="1" si="0"/>
        <v>0</v>
      </c>
      <c r="I65" s="1345" t="s">
        <v>864</v>
      </c>
      <c r="J65" s="603">
        <v>40</v>
      </c>
      <c r="K65" s="603">
        <v>30</v>
      </c>
      <c r="L65" s="603">
        <v>50</v>
      </c>
      <c r="M65" s="1347">
        <v>0.02</v>
      </c>
      <c r="O65" s="1303" t="s">
        <v>403</v>
      </c>
      <c r="P65" s="1304" t="s">
        <v>865</v>
      </c>
      <c r="Q65" s="1305" t="e">
        <f ca="1">C40+J29</f>
        <v>#DIV/0!</v>
      </c>
      <c r="R65" s="1305" t="s">
        <v>815</v>
      </c>
    </row>
    <row r="66" spans="1:18" s="1270" customFormat="1" ht="16.5" thickBot="1">
      <c r="A66" s="908" t="s">
        <v>790</v>
      </c>
      <c r="B66" s="876" t="s">
        <v>725</v>
      </c>
      <c r="C66" s="21">
        <f ca="1">ROUND(C48*F66,0)</f>
        <v>0</v>
      </c>
      <c r="D66" s="890" t="s">
        <v>791</v>
      </c>
      <c r="E66" s="876" t="s">
        <v>709</v>
      </c>
      <c r="F66" s="298">
        <f t="shared" ca="1" si="0"/>
        <v>0</v>
      </c>
      <c r="O66" s="1303" t="s">
        <v>404</v>
      </c>
      <c r="P66" s="1304" t="s">
        <v>843</v>
      </c>
      <c r="Q66" s="1305" t="e">
        <f ca="1">L60</f>
        <v>#DIV/0!</v>
      </c>
      <c r="R66" s="1305" t="s">
        <v>866</v>
      </c>
    </row>
    <row r="67" spans="1:18" s="1270" customFormat="1" ht="16.5" thickBot="1">
      <c r="A67" s="883" t="s">
        <v>394</v>
      </c>
      <c r="B67" s="893" t="s">
        <v>749</v>
      </c>
      <c r="C67" s="302">
        <f ca="1">C48-C58</f>
        <v>0</v>
      </c>
      <c r="D67" s="889" t="s">
        <v>750</v>
      </c>
      <c r="E67" s="894"/>
      <c r="F67" s="895"/>
      <c r="O67" s="1312" t="s">
        <v>405</v>
      </c>
      <c r="P67" s="1304" t="s">
        <v>847</v>
      </c>
      <c r="Q67" s="1348">
        <f ca="1">L51</f>
        <v>0</v>
      </c>
      <c r="R67" s="1305" t="s">
        <v>867</v>
      </c>
    </row>
    <row r="68" spans="1:18" s="1270" customFormat="1" ht="16.5" thickBot="1">
      <c r="A68" s="873" t="s">
        <v>395</v>
      </c>
      <c r="B68" s="874" t="s">
        <v>771</v>
      </c>
      <c r="C68" s="287" t="e">
        <f ca="1">ROUND(C67*(1-((1+F70)/(1+F68))^F69)/(F68-F70),0)</f>
        <v>#DIV/0!</v>
      </c>
      <c r="D68" s="891" t="s">
        <v>755</v>
      </c>
      <c r="E68" s="876" t="s">
        <v>756</v>
      </c>
      <c r="F68" s="298">
        <f ca="1">F40</f>
        <v>0</v>
      </c>
      <c r="O68" s="1312" t="s">
        <v>406</v>
      </c>
      <c r="P68" s="1349" t="s">
        <v>868</v>
      </c>
      <c r="Q68" s="1305">
        <f ca="1">ROUND(Q69-Q70*Q71,0)</f>
        <v>0</v>
      </c>
      <c r="R68" s="1305" t="s">
        <v>414</v>
      </c>
    </row>
    <row r="69" spans="1:18" s="1270" customFormat="1" ht="13.5" thickBot="1">
      <c r="A69" s="877"/>
      <c r="B69" s="878"/>
      <c r="C69" s="292"/>
      <c r="D69" s="896" t="s">
        <v>759</v>
      </c>
      <c r="E69" s="876" t="s">
        <v>760</v>
      </c>
      <c r="F69" s="317">
        <f ca="1">F41</f>
        <v>0</v>
      </c>
      <c r="O69" s="1312" t="s">
        <v>411</v>
      </c>
      <c r="P69" s="1349" t="s">
        <v>869</v>
      </c>
      <c r="Q69" s="1305">
        <f ca="1">C39</f>
        <v>0</v>
      </c>
      <c r="R69" s="1305" t="s">
        <v>815</v>
      </c>
    </row>
    <row r="70" spans="1:18" s="1270" customFormat="1" ht="13.5" thickBot="1">
      <c r="A70" s="880"/>
      <c r="B70" s="881"/>
      <c r="C70" s="296"/>
      <c r="D70" s="892"/>
      <c r="E70" s="876" t="s">
        <v>763</v>
      </c>
      <c r="F70" s="970"/>
      <c r="O70" s="1312" t="s">
        <v>412</v>
      </c>
      <c r="P70" s="1349" t="s">
        <v>870</v>
      </c>
      <c r="Q70" s="1305">
        <f ca="1">C13</f>
        <v>0</v>
      </c>
      <c r="R70" s="1305" t="s">
        <v>815</v>
      </c>
    </row>
    <row r="71" spans="1:18" s="1270" customFormat="1" ht="13.5" thickBot="1">
      <c r="A71" s="897" t="s">
        <v>396</v>
      </c>
      <c r="B71" s="898" t="s">
        <v>773</v>
      </c>
      <c r="C71" s="320" t="e">
        <f ca="1">ROUND(C68/F71,0)</f>
        <v>#DIV/0!</v>
      </c>
      <c r="D71" s="899" t="s">
        <v>774</v>
      </c>
      <c r="E71" s="900" t="s">
        <v>775</v>
      </c>
      <c r="F71" s="323">
        <f ca="1">F43</f>
        <v>0</v>
      </c>
      <c r="O71" s="1312" t="s">
        <v>413</v>
      </c>
      <c r="P71" s="1349" t="s">
        <v>871</v>
      </c>
      <c r="Q71" s="1315">
        <f ca="1">C76</f>
        <v>0</v>
      </c>
      <c r="R71" s="1305"/>
    </row>
    <row r="72" spans="1:18" s="1270" customFormat="1" ht="13.5" thickBot="1">
      <c r="B72" s="675"/>
      <c r="C72" s="675"/>
      <c r="O72" s="1312" t="s">
        <v>407</v>
      </c>
      <c r="P72" s="1304" t="s">
        <v>849</v>
      </c>
      <c r="Q72" s="1315">
        <f>L52</f>
        <v>0</v>
      </c>
      <c r="R72" s="1305"/>
    </row>
    <row r="73" spans="1:18" ht="16.5" thickBot="1">
      <c r="A73" s="1270"/>
      <c r="B73" s="675"/>
      <c r="C73" s="675"/>
      <c r="D73" s="1270"/>
      <c r="E73" s="1270"/>
      <c r="F73" s="1270"/>
      <c r="O73" s="1312" t="s">
        <v>408</v>
      </c>
      <c r="P73" s="1304" t="s">
        <v>852</v>
      </c>
      <c r="Q73" s="1305" t="e">
        <f ca="1">L58</f>
        <v>#DIV/0!</v>
      </c>
      <c r="R73" s="1305" t="s">
        <v>853</v>
      </c>
    </row>
    <row r="74" spans="1:18" ht="13.5" thickBot="1">
      <c r="A74" s="1270"/>
      <c r="B74" s="259" t="s">
        <v>872</v>
      </c>
      <c r="C74" s="1351"/>
      <c r="D74" s="1270"/>
      <c r="E74" s="1270"/>
      <c r="F74" s="1270"/>
      <c r="O74" s="1312" t="s">
        <v>415</v>
      </c>
      <c r="P74" s="1304" t="str">
        <f>K59</f>
        <v>建筑物剩余耐用年限下的土地年期修正系数Kn</v>
      </c>
      <c r="Q74" s="1305" t="e">
        <f ca="1">L59</f>
        <v>#DIV/0!</v>
      </c>
      <c r="R74" s="1305" t="s">
        <v>854</v>
      </c>
    </row>
    <row r="75" spans="1:18" ht="13.5" thickBot="1">
      <c r="A75" s="1270"/>
      <c r="B75" s="324" t="s">
        <v>792</v>
      </c>
      <c r="C75" s="325">
        <f ca="1">ROUND(C13*C76,0)</f>
        <v>0</v>
      </c>
      <c r="D75" s="1270"/>
      <c r="E75" s="1270"/>
      <c r="F75" s="1270"/>
      <c r="K75" s="1287"/>
      <c r="L75" s="1270"/>
      <c r="O75" s="1303" t="s">
        <v>409</v>
      </c>
      <c r="P75" s="1304" t="s">
        <v>835</v>
      </c>
      <c r="Q75" s="1305" t="e">
        <f ca="1">Q65+Q66</f>
        <v>#DIV/0!</v>
      </c>
      <c r="R75" s="1305" t="s">
        <v>410</v>
      </c>
    </row>
    <row r="76" spans="1:18">
      <c r="B76" s="326" t="s">
        <v>793</v>
      </c>
      <c r="C76" s="327">
        <f ca="1">INDIRECT("'数据-取费表'!j"&amp;$G$1)</f>
        <v>0</v>
      </c>
      <c r="I76" s="1270"/>
      <c r="J76" s="1270"/>
      <c r="K76" s="1287"/>
      <c r="L76" s="1270"/>
    </row>
    <row r="77" spans="1:18">
      <c r="B77" s="328" t="s">
        <v>794</v>
      </c>
      <c r="C77" s="329"/>
      <c r="I77" s="1270"/>
      <c r="J77" s="1270"/>
      <c r="K77" s="1287"/>
      <c r="L77" s="1270"/>
    </row>
    <row r="78" spans="1:18">
      <c r="B78" s="256" t="s">
        <v>795</v>
      </c>
      <c r="C78" s="330"/>
    </row>
    <row r="79" spans="1:18">
      <c r="B79" s="324" t="s">
        <v>796</v>
      </c>
      <c r="C79" s="260" t="e">
        <f ca="1">1-C80</f>
        <v>#DIV/0!</v>
      </c>
    </row>
    <row r="80" spans="1:18">
      <c r="B80" s="324"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9" priority="3">
      <formula>$F$10="自定义"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J11">
    <cfRule type="expression" dxfId="116" priority="2">
      <formula>$M$10="自定义"</formula>
    </cfRule>
  </conditionalFormatting>
  <conditionalFormatting sqref="K55 K60">
    <cfRule type="expression" dxfId="1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2419</v>
      </c>
      <c r="B1" s="2556"/>
      <c r="C1" s="2568"/>
      <c r="D1" s="2568"/>
      <c r="E1" s="2557"/>
      <c r="F1" s="2558"/>
      <c r="G1" s="2559"/>
      <c r="J1" s="2562" t="s">
        <v>2298</v>
      </c>
      <c r="K1" s="2563"/>
      <c r="L1" s="2563"/>
      <c r="M1" s="2563"/>
      <c r="N1" s="2563"/>
      <c r="O1" s="2563"/>
      <c r="P1" s="2563"/>
      <c r="Q1" s="2563"/>
      <c r="R1" s="2564"/>
      <c r="S1" s="2565"/>
      <c r="T1" s="2565"/>
      <c r="U1" s="2565"/>
    </row>
    <row r="2" spans="1:22" s="2577" customFormat="1" ht="13.15" customHeight="1">
      <c r="A2" s="1271" t="s">
        <v>2299</v>
      </c>
      <c r="B2" s="2567" t="e">
        <f>IF(D2="——",C40,C40+E2)</f>
        <v>#DIV/0!</v>
      </c>
      <c r="C2" s="2568" t="s">
        <v>2300</v>
      </c>
      <c r="D2" s="3110" t="s">
        <v>3341</v>
      </c>
      <c r="E2" s="3111"/>
      <c r="F2" s="2570"/>
      <c r="G2" s="2571"/>
      <c r="H2" s="2572"/>
      <c r="I2" s="2573"/>
      <c r="J2" s="3496" t="s">
        <v>2301</v>
      </c>
      <c r="K2" s="3497"/>
      <c r="L2" s="2574" t="s">
        <v>2302</v>
      </c>
      <c r="M2" s="2574" t="s">
        <v>2303</v>
      </c>
      <c r="N2" s="2574" t="s">
        <v>2304</v>
      </c>
      <c r="O2" s="2574" t="s">
        <v>2305</v>
      </c>
      <c r="P2" s="2574" t="s">
        <v>2306</v>
      </c>
      <c r="Q2" s="2575" t="s">
        <v>2307</v>
      </c>
      <c r="R2" s="2576" t="s">
        <v>2308</v>
      </c>
      <c r="S2" s="2565"/>
      <c r="T2" s="2565"/>
      <c r="U2" s="2565"/>
      <c r="V2" s="2573"/>
    </row>
    <row r="3" spans="1:22" s="2577" customFormat="1" ht="13.15" customHeight="1">
      <c r="A3" s="2578" t="s">
        <v>2309</v>
      </c>
      <c r="B3" s="2579" t="e">
        <f>ROUND(B2*10000/B4,0)</f>
        <v>#DIV/0!</v>
      </c>
      <c r="C3" s="2568" t="s">
        <v>2310</v>
      </c>
      <c r="D3" s="2568"/>
      <c r="E3" s="2569"/>
      <c r="F3" s="2570"/>
      <c r="G3" s="2571"/>
      <c r="H3" s="2572"/>
      <c r="I3" s="2573"/>
      <c r="J3" s="3498" t="s">
        <v>2311</v>
      </c>
      <c r="K3" s="3499"/>
      <c r="L3" s="2580"/>
      <c r="M3" s="2580"/>
      <c r="N3" s="2580"/>
      <c r="O3" s="2580"/>
      <c r="P3" s="2580"/>
      <c r="Q3" s="2581"/>
      <c r="R3" s="2582">
        <f>SUM(L3:Q3)</f>
        <v>0</v>
      </c>
      <c r="S3" s="2565"/>
      <c r="T3" s="2565"/>
      <c r="U3" s="2565"/>
      <c r="V3" s="2573"/>
    </row>
    <row r="4" spans="1:22" s="2577" customFormat="1" ht="13.15" customHeight="1">
      <c r="A4" s="2583" t="s">
        <v>2312</v>
      </c>
      <c r="B4" s="2584"/>
      <c r="C4" s="2568"/>
      <c r="D4" s="2568"/>
      <c r="E4" s="2569"/>
      <c r="F4" s="2570"/>
      <c r="G4" s="2571"/>
      <c r="H4" s="2572"/>
      <c r="I4" s="2573"/>
      <c r="J4" s="3498" t="s">
        <v>2313</v>
      </c>
      <c r="K4" s="3499"/>
      <c r="L4" s="2585"/>
      <c r="M4" s="2585"/>
      <c r="N4" s="2585"/>
      <c r="O4" s="2585"/>
      <c r="P4" s="2585"/>
      <c r="Q4" s="2586"/>
      <c r="R4" s="2587">
        <f>SUM(L4:Q4)</f>
        <v>0</v>
      </c>
      <c r="S4" s="2565"/>
      <c r="T4" s="2565"/>
      <c r="U4" s="2565"/>
      <c r="V4" s="2573"/>
    </row>
    <row r="5" spans="1:22" s="2577" customFormat="1" ht="13.15" customHeight="1" thickBot="1">
      <c r="A5" s="2588" t="s">
        <v>2314</v>
      </c>
      <c r="B5" s="2589"/>
      <c r="C5" s="2568"/>
      <c r="D5" s="2590"/>
      <c r="E5" s="2570"/>
      <c r="F5" s="2570"/>
      <c r="G5" s="2571"/>
      <c r="H5" s="2572"/>
      <c r="I5" s="2573"/>
      <c r="J5" s="2591" t="s">
        <v>2315</v>
      </c>
      <c r="K5" s="2592"/>
      <c r="L5" s="2592"/>
      <c r="M5" s="2593"/>
      <c r="N5" s="2593"/>
      <c r="O5" s="2593"/>
      <c r="P5" s="2593"/>
      <c r="Q5" s="2593"/>
      <c r="R5" s="2576">
        <f>SUM(R14,R19,R24,R25,R27,R28)</f>
        <v>0</v>
      </c>
      <c r="S5" s="2565"/>
      <c r="T5" s="2565" t="s">
        <v>2316</v>
      </c>
      <c r="U5" s="2565" t="e">
        <f>ROUND(R5*10000/365/R3,1)</f>
        <v>#DIV/0!</v>
      </c>
      <c r="V5" s="2573"/>
    </row>
    <row r="6" spans="1:22" s="2577" customFormat="1" ht="13.15" customHeight="1" thickBot="1">
      <c r="A6" s="3504" t="s">
        <v>2317</v>
      </c>
      <c r="B6" s="3505"/>
      <c r="C6" s="3506"/>
      <c r="D6" s="2594"/>
      <c r="E6" s="2595"/>
      <c r="F6" s="2596"/>
      <c r="G6" s="2597"/>
      <c r="H6" s="2572"/>
      <c r="I6" s="2573"/>
      <c r="J6" s="3490">
        <v>1</v>
      </c>
      <c r="K6" s="3491" t="s">
        <v>2318</v>
      </c>
      <c r="L6" s="2598" t="s">
        <v>2319</v>
      </c>
      <c r="M6" s="2599" t="s">
        <v>2320</v>
      </c>
      <c r="N6" s="2599" t="s">
        <v>2321</v>
      </c>
      <c r="O6" s="2599" t="s">
        <v>2322</v>
      </c>
      <c r="P6" s="2599" t="s">
        <v>2323</v>
      </c>
      <c r="Q6" s="2599" t="s">
        <v>2324</v>
      </c>
      <c r="R6" s="2582" t="s">
        <v>2325</v>
      </c>
      <c r="S6" s="2565"/>
      <c r="T6" s="2565" t="s">
        <v>2326</v>
      </c>
      <c r="U6" s="2565"/>
      <c r="V6" s="2573"/>
    </row>
    <row r="7" spans="1:22" s="2577" customFormat="1" ht="13.15" customHeight="1">
      <c r="A7" s="2600" t="s">
        <v>2327</v>
      </c>
      <c r="B7" s="2601"/>
      <c r="C7" s="2602"/>
      <c r="D7" s="2603">
        <f>SUM(D9,D10,D11,D17,0)</f>
        <v>0</v>
      </c>
      <c r="E7" s="2604" t="e">
        <f>E9+E10+E11+E17</f>
        <v>#DIV/0!</v>
      </c>
      <c r="F7" s="2605"/>
      <c r="G7" s="2606"/>
      <c r="H7" s="2572"/>
      <c r="I7" s="2573"/>
      <c r="J7" s="3490"/>
      <c r="K7" s="3492"/>
      <c r="L7" s="2607" t="s">
        <v>2328</v>
      </c>
      <c r="M7" s="2608"/>
      <c r="N7" s="2584"/>
      <c r="O7" s="2609"/>
      <c r="P7" s="2609"/>
      <c r="Q7" s="2610">
        <v>365</v>
      </c>
      <c r="R7" s="2611">
        <f>ROUND(M7*N7*O7*P7*Q7/10000,0)</f>
        <v>0</v>
      </c>
      <c r="S7" s="2565"/>
      <c r="T7" s="2565" t="s">
        <v>2329</v>
      </c>
      <c r="U7" s="2565"/>
      <c r="V7" s="2573"/>
    </row>
    <row r="8" spans="1:22" s="2577" customFormat="1" ht="13.15" customHeight="1">
      <c r="A8" s="2612" t="s">
        <v>2330</v>
      </c>
      <c r="B8" s="3507" t="s">
        <v>2331</v>
      </c>
      <c r="C8" s="3508"/>
      <c r="D8" s="2613" t="s">
        <v>2332</v>
      </c>
      <c r="E8" s="2614" t="s">
        <v>2333</v>
      </c>
      <c r="F8" s="2615" t="s">
        <v>2334</v>
      </c>
      <c r="G8" s="2616"/>
      <c r="H8" s="2572"/>
      <c r="I8" s="2573"/>
      <c r="J8" s="3490"/>
      <c r="K8" s="3492"/>
      <c r="L8" s="2607" t="s">
        <v>2335</v>
      </c>
      <c r="M8" s="2608"/>
      <c r="N8" s="2584"/>
      <c r="O8" s="2609"/>
      <c r="P8" s="2609"/>
      <c r="Q8" s="2610">
        <v>365</v>
      </c>
      <c r="R8" s="2611">
        <f t="shared" ref="R8:R13" si="0">ROUND(M8*N8*O8*P8*Q8/10000,0)</f>
        <v>0</v>
      </c>
      <c r="S8" s="2565"/>
      <c r="T8" s="2565" t="s">
        <v>2336</v>
      </c>
      <c r="U8" s="2565"/>
      <c r="V8" s="2573"/>
    </row>
    <row r="9" spans="1:22" s="2577" customFormat="1" ht="13.15" customHeight="1">
      <c r="A9" s="2612">
        <v>1</v>
      </c>
      <c r="B9" s="3507" t="s">
        <v>2337</v>
      </c>
      <c r="C9" s="3508"/>
      <c r="D9" s="2613">
        <f>ROUND(D6*E9,0)</f>
        <v>0</v>
      </c>
      <c r="E9" s="2617"/>
      <c r="F9" s="2618" t="s">
        <v>2338</v>
      </c>
      <c r="G9" s="2597"/>
      <c r="H9" s="2572"/>
      <c r="I9" s="2573"/>
      <c r="J9" s="3490"/>
      <c r="K9" s="3492"/>
      <c r="L9" s="2607" t="s">
        <v>2339</v>
      </c>
      <c r="M9" s="2608"/>
      <c r="N9" s="2584"/>
      <c r="O9" s="2609"/>
      <c r="P9" s="2609"/>
      <c r="Q9" s="2610">
        <v>365</v>
      </c>
      <c r="R9" s="2611">
        <f t="shared" si="0"/>
        <v>0</v>
      </c>
      <c r="S9" s="2565"/>
      <c r="T9" s="2565"/>
      <c r="U9" s="2565"/>
      <c r="V9" s="2573"/>
    </row>
    <row r="10" spans="1:22" s="2577" customFormat="1" ht="13.15" customHeight="1">
      <c r="A10" s="2612">
        <v>2</v>
      </c>
      <c r="B10" s="3507" t="s">
        <v>2340</v>
      </c>
      <c r="C10" s="3508"/>
      <c r="D10" s="2613">
        <f>ROUND(D6*E10,0)</f>
        <v>0</v>
      </c>
      <c r="E10" s="2617"/>
      <c r="F10" s="2618" t="s">
        <v>2341</v>
      </c>
      <c r="G10" s="2597"/>
      <c r="H10" s="2572"/>
      <c r="I10" s="2573"/>
      <c r="J10" s="3490"/>
      <c r="K10" s="3492"/>
      <c r="L10" s="2607" t="s">
        <v>2342</v>
      </c>
      <c r="M10" s="2608"/>
      <c r="N10" s="2584"/>
      <c r="O10" s="2609"/>
      <c r="P10" s="2609"/>
      <c r="Q10" s="2610">
        <v>365</v>
      </c>
      <c r="R10" s="2611">
        <f t="shared" si="0"/>
        <v>0</v>
      </c>
      <c r="S10" s="2565"/>
      <c r="T10" s="2565"/>
      <c r="U10" s="2565"/>
      <c r="V10" s="2573"/>
    </row>
    <row r="11" spans="1:22" s="2577" customFormat="1" ht="13.15" customHeight="1">
      <c r="A11" s="2612">
        <v>3</v>
      </c>
      <c r="B11" s="3507" t="s">
        <v>2343</v>
      </c>
      <c r="C11" s="3508"/>
      <c r="D11" s="2613">
        <f>D12+D14+D15+D16</f>
        <v>0</v>
      </c>
      <c r="E11" s="2619" t="e">
        <f>D11/D6</f>
        <v>#DIV/0!</v>
      </c>
      <c r="F11" s="2615"/>
      <c r="G11" s="2616"/>
      <c r="H11" s="2572"/>
      <c r="I11" s="2573"/>
      <c r="J11" s="3490"/>
      <c r="K11" s="3492"/>
      <c r="L11" s="2607" t="s">
        <v>2344</v>
      </c>
      <c r="M11" s="2608"/>
      <c r="N11" s="2584"/>
      <c r="O11" s="2609"/>
      <c r="P11" s="2609"/>
      <c r="Q11" s="2610">
        <v>365</v>
      </c>
      <c r="R11" s="2611">
        <f t="shared" si="0"/>
        <v>0</v>
      </c>
      <c r="S11" s="2565"/>
      <c r="T11" s="2565"/>
      <c r="U11" s="2565"/>
      <c r="V11" s="2573"/>
    </row>
    <row r="12" spans="1:22" s="2577" customFormat="1" ht="13.15" customHeight="1">
      <c r="A12" s="2620" t="s">
        <v>2345</v>
      </c>
      <c r="B12" s="3500" t="s">
        <v>2346</v>
      </c>
      <c r="C12" s="3501"/>
      <c r="D12" s="2621">
        <f>ROUND(D13*1.2%*(1-30%),0)</f>
        <v>0</v>
      </c>
      <c r="E12" s="2622">
        <v>1.2E-2</v>
      </c>
      <c r="F12" s="2615" t="s">
        <v>2347</v>
      </c>
      <c r="G12" s="2616"/>
      <c r="H12" s="2572"/>
      <c r="I12" s="2573"/>
      <c r="J12" s="3490"/>
      <c r="K12" s="3492"/>
      <c r="L12" s="2607" t="s">
        <v>2348</v>
      </c>
      <c r="M12" s="2608"/>
      <c r="N12" s="2584"/>
      <c r="O12" s="2609"/>
      <c r="P12" s="2609"/>
      <c r="Q12" s="2610">
        <v>365</v>
      </c>
      <c r="R12" s="2611">
        <f t="shared" si="0"/>
        <v>0</v>
      </c>
      <c r="S12" s="2565"/>
      <c r="T12" s="2565"/>
      <c r="U12" s="2565"/>
      <c r="V12" s="2573"/>
    </row>
    <row r="13" spans="1:22" s="2577" customFormat="1" ht="13.15" customHeight="1">
      <c r="A13" s="2620"/>
      <c r="B13" s="2623"/>
      <c r="C13" s="2624" t="s">
        <v>2349</v>
      </c>
      <c r="D13" s="2625"/>
      <c r="E13" s="2626"/>
      <c r="F13" s="2615"/>
      <c r="G13" s="2616"/>
      <c r="H13" s="2572"/>
      <c r="I13" s="2573"/>
      <c r="J13" s="3490"/>
      <c r="K13" s="3492"/>
      <c r="L13" s="2607" t="s">
        <v>2350</v>
      </c>
      <c r="M13" s="2608"/>
      <c r="N13" s="2584"/>
      <c r="O13" s="2609"/>
      <c r="P13" s="2609"/>
      <c r="Q13" s="2610">
        <v>365</v>
      </c>
      <c r="R13" s="2611">
        <f t="shared" si="0"/>
        <v>0</v>
      </c>
      <c r="S13" s="2565"/>
      <c r="T13" s="2565"/>
      <c r="U13" s="2565"/>
      <c r="V13" s="2573"/>
    </row>
    <row r="14" spans="1:22" s="2577" customFormat="1" ht="13.15" customHeight="1">
      <c r="A14" s="2620" t="s">
        <v>2351</v>
      </c>
      <c r="B14" s="3500" t="s">
        <v>2352</v>
      </c>
      <c r="C14" s="3501"/>
      <c r="D14" s="2621">
        <f>ROUND(E14*B5/10000,0)</f>
        <v>0</v>
      </c>
      <c r="E14" s="2610"/>
      <c r="F14" s="2615" t="s">
        <v>2353</v>
      </c>
      <c r="G14" s="2616"/>
      <c r="H14" s="2572"/>
      <c r="I14" s="2573"/>
      <c r="J14" s="3490"/>
      <c r="K14" s="3493"/>
      <c r="L14" s="2627" t="s">
        <v>2354</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2355</v>
      </c>
      <c r="B15" s="3500" t="s">
        <v>2356</v>
      </c>
      <c r="C15" s="3501"/>
      <c r="D15" s="2621">
        <f>ROUND(D6*E15,0)</f>
        <v>0</v>
      </c>
      <c r="E15" s="2622">
        <v>5.5E-2</v>
      </c>
      <c r="F15" s="2615" t="s">
        <v>2357</v>
      </c>
      <c r="G15" s="2597"/>
      <c r="H15" s="2572"/>
      <c r="I15" s="2573"/>
      <c r="J15" s="3490">
        <v>2</v>
      </c>
      <c r="K15" s="3491" t="s">
        <v>2358</v>
      </c>
      <c r="L15" s="2607" t="s">
        <v>2359</v>
      </c>
      <c r="M15" s="2608" t="s">
        <v>2360</v>
      </c>
      <c r="N15" s="2608" t="s">
        <v>2361</v>
      </c>
      <c r="O15" s="2609" t="s">
        <v>2362</v>
      </c>
      <c r="P15" s="2609" t="s">
        <v>2324</v>
      </c>
      <c r="Q15" s="2584" t="s">
        <v>2363</v>
      </c>
      <c r="R15" s="2631" t="s">
        <v>2325</v>
      </c>
      <c r="S15" s="2565"/>
      <c r="T15" s="2565"/>
      <c r="U15" s="2565"/>
      <c r="V15" s="2573"/>
    </row>
    <row r="16" spans="1:22" s="2577" customFormat="1" ht="13.15" customHeight="1">
      <c r="A16" s="2620" t="s">
        <v>2364</v>
      </c>
      <c r="B16" s="3500" t="s">
        <v>2365</v>
      </c>
      <c r="C16" s="3501"/>
      <c r="D16" s="2632">
        <f>D6*E16</f>
        <v>0</v>
      </c>
      <c r="E16" s="2633"/>
      <c r="F16" s="2618" t="s">
        <v>2366</v>
      </c>
      <c r="G16" s="2597"/>
      <c r="H16" s="2572"/>
      <c r="I16" s="2573"/>
      <c r="J16" s="3490"/>
      <c r="K16" s="3492"/>
      <c r="L16" s="2607" t="s">
        <v>2367</v>
      </c>
      <c r="M16" s="2608"/>
      <c r="N16" s="2608"/>
      <c r="O16" s="2609"/>
      <c r="P16" s="2610">
        <v>365</v>
      </c>
      <c r="Q16" s="2584"/>
      <c r="R16" s="2631">
        <f>ROUND(M16*N16*O16*P16/10000,0)</f>
        <v>0</v>
      </c>
      <c r="S16" s="2565"/>
      <c r="T16" s="2565"/>
      <c r="U16" s="2565"/>
      <c r="V16" s="2573"/>
    </row>
    <row r="17" spans="1:22" s="2577" customFormat="1" ht="13.15" customHeight="1" thickBot="1">
      <c r="A17" s="2634">
        <v>4</v>
      </c>
      <c r="B17" s="3502" t="s">
        <v>2368</v>
      </c>
      <c r="C17" s="3503"/>
      <c r="D17" s="2635">
        <f>ROUND(D6*E17,0)</f>
        <v>0</v>
      </c>
      <c r="E17" s="2636"/>
      <c r="F17" s="2637" t="s">
        <v>2369</v>
      </c>
      <c r="G17" s="2597"/>
      <c r="H17" s="2572"/>
      <c r="I17" s="2573"/>
      <c r="J17" s="3490"/>
      <c r="K17" s="3492"/>
      <c r="L17" s="2607" t="s">
        <v>2370</v>
      </c>
      <c r="M17" s="2608"/>
      <c r="N17" s="2608"/>
      <c r="O17" s="2609"/>
      <c r="P17" s="2610">
        <v>365</v>
      </c>
      <c r="Q17" s="2584"/>
      <c r="R17" s="2631">
        <f>ROUND(M17*N17*O17*P17/10000,0)</f>
        <v>0</v>
      </c>
      <c r="S17" s="2565"/>
      <c r="T17" s="2565"/>
      <c r="U17" s="2565"/>
      <c r="V17" s="2573"/>
    </row>
    <row r="18" spans="1:22" s="2577" customFormat="1" ht="13.15" customHeight="1" thickBot="1">
      <c r="A18" s="2600" t="s">
        <v>2371</v>
      </c>
      <c r="B18" s="2601"/>
      <c r="C18" s="2601"/>
      <c r="D18" s="2638">
        <f>ROUND(D6*E18,0)</f>
        <v>0</v>
      </c>
      <c r="E18" s="2639"/>
      <c r="F18" s="2640" t="s">
        <v>2372</v>
      </c>
      <c r="G18" s="2597"/>
      <c r="H18" s="2572"/>
      <c r="I18" s="2573"/>
      <c r="J18" s="3490"/>
      <c r="K18" s="3492"/>
      <c r="L18" s="2607" t="s">
        <v>2373</v>
      </c>
      <c r="M18" s="2608"/>
      <c r="N18" s="2608"/>
      <c r="O18" s="2609"/>
      <c r="P18" s="2610">
        <v>365</v>
      </c>
      <c r="Q18" s="2584"/>
      <c r="R18" s="2631">
        <f>ROUND(M18*N18*O18*P18/10000,0)</f>
        <v>0</v>
      </c>
      <c r="S18" s="2565"/>
      <c r="T18" s="2565"/>
      <c r="U18" s="2565"/>
      <c r="V18" s="2573"/>
    </row>
    <row r="19" spans="1:22" s="2577" customFormat="1" ht="13.15" customHeight="1" thickBot="1">
      <c r="A19" s="2641" t="s">
        <v>2374</v>
      </c>
      <c r="B19" s="2595"/>
      <c r="C19" s="2595"/>
      <c r="D19" s="2595"/>
      <c r="E19" s="2595"/>
      <c r="F19" s="2596"/>
      <c r="G19" s="2616"/>
      <c r="H19" s="2572"/>
      <c r="I19" s="2573"/>
      <c r="J19" s="3490"/>
      <c r="K19" s="3493"/>
      <c r="L19" s="2627" t="s">
        <v>2354</v>
      </c>
      <c r="M19" s="2628"/>
      <c r="N19" s="2628">
        <f>SUM(N16:N18)</f>
        <v>0</v>
      </c>
      <c r="O19" s="2629"/>
      <c r="P19" s="2642" t="s">
        <v>2418</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490">
        <v>3</v>
      </c>
      <c r="K20" s="3491" t="s">
        <v>2375</v>
      </c>
      <c r="L20" s="2607" t="s">
        <v>2376</v>
      </c>
      <c r="M20" s="2608" t="s">
        <v>2377</v>
      </c>
      <c r="N20" s="2645" t="s">
        <v>2378</v>
      </c>
      <c r="O20" s="2609" t="s">
        <v>2379</v>
      </c>
      <c r="P20" s="2610" t="s">
        <v>2380</v>
      </c>
      <c r="Q20" s="2584" t="s">
        <v>2381</v>
      </c>
      <c r="R20" s="2631" t="s">
        <v>2382</v>
      </c>
      <c r="S20" s="2565"/>
      <c r="T20" s="2565"/>
      <c r="U20" s="2565"/>
      <c r="V20" s="2573"/>
    </row>
    <row r="21" spans="1:22" s="2577" customFormat="1" ht="13.15" customHeight="1">
      <c r="A21" s="2600"/>
      <c r="B21" s="2601"/>
      <c r="C21" s="2646" t="s">
        <v>2383</v>
      </c>
      <c r="D21" s="2647" t="s">
        <v>2384</v>
      </c>
      <c r="E21" s="2648" t="s">
        <v>2385</v>
      </c>
      <c r="F21" s="2644"/>
      <c r="G21" s="2616"/>
      <c r="H21" s="2572"/>
      <c r="I21" s="2573"/>
      <c r="J21" s="3490"/>
      <c r="K21" s="3492"/>
      <c r="L21" s="2607" t="s">
        <v>2386</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2387</v>
      </c>
      <c r="D22" s="2651" t="s">
        <v>2388</v>
      </c>
      <c r="E22" s="2652" t="s">
        <v>2389</v>
      </c>
      <c r="F22" s="2644"/>
      <c r="G22" s="2565"/>
      <c r="H22" s="2572"/>
      <c r="I22" s="2573"/>
      <c r="J22" s="3490"/>
      <c r="K22" s="3492"/>
      <c r="L22" s="2607" t="s">
        <v>2390</v>
      </c>
      <c r="M22" s="2608"/>
      <c r="N22" s="2608"/>
      <c r="O22" s="2609"/>
      <c r="P22" s="2610">
        <v>365</v>
      </c>
      <c r="Q22" s="2584"/>
      <c r="R22" s="2649">
        <f>ROUND(M22*N22*O22*P22/10000,0)</f>
        <v>0</v>
      </c>
      <c r="S22" s="2565"/>
      <c r="T22" s="2565"/>
      <c r="U22" s="2565"/>
      <c r="V22" s="2573"/>
    </row>
    <row r="23" spans="1:22" s="2577" customFormat="1" ht="13.15" customHeight="1">
      <c r="A23" s="2653">
        <v>1</v>
      </c>
      <c r="B23" s="2654" t="s">
        <v>2391</v>
      </c>
      <c r="C23" s="2655">
        <f>D6</f>
        <v>0</v>
      </c>
      <c r="D23" s="2656">
        <f>C23*(1+D24)</f>
        <v>0</v>
      </c>
      <c r="E23" s="2657">
        <f>D23*(1+E24)</f>
        <v>0</v>
      </c>
      <c r="F23" s="2658"/>
      <c r="G23" s="2659"/>
      <c r="H23" s="2572"/>
      <c r="I23" s="2573"/>
      <c r="J23" s="3490"/>
      <c r="K23" s="3492"/>
      <c r="L23" s="2607" t="s">
        <v>2392</v>
      </c>
      <c r="M23" s="2608"/>
      <c r="N23" s="2608"/>
      <c r="O23" s="2609"/>
      <c r="P23" s="2610">
        <v>365</v>
      </c>
      <c r="Q23" s="2584"/>
      <c r="R23" s="2649">
        <f>ROUND(M23*N23*O23*P23/10000,0)</f>
        <v>0</v>
      </c>
      <c r="S23" s="2565"/>
      <c r="T23" s="2565"/>
      <c r="U23" s="2565"/>
      <c r="V23" s="2573"/>
    </row>
    <row r="24" spans="1:22" s="2577" customFormat="1" ht="13.15" customHeight="1">
      <c r="A24" s="2660"/>
      <c r="B24" s="2661" t="s">
        <v>2393</v>
      </c>
      <c r="C24" s="2662"/>
      <c r="D24" s="2663"/>
      <c r="E24" s="2664"/>
      <c r="F24" s="2665"/>
      <c r="G24" s="2659"/>
      <c r="H24" s="2572"/>
      <c r="I24" s="2573"/>
      <c r="J24" s="3490"/>
      <c r="K24" s="3493"/>
      <c r="L24" s="2627" t="s">
        <v>2354</v>
      </c>
      <c r="M24" s="2628">
        <f>SUM(M21:M23)</f>
        <v>0</v>
      </c>
      <c r="N24" s="2628"/>
      <c r="O24" s="2629"/>
      <c r="P24" s="2642" t="s">
        <v>2418</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2394</v>
      </c>
      <c r="L25" s="2668"/>
      <c r="M25" s="2668"/>
      <c r="N25" s="2668"/>
      <c r="O25" s="2668"/>
      <c r="P25" s="2669"/>
      <c r="Q25" s="2670">
        <v>0</v>
      </c>
      <c r="R25" s="2643">
        <f>ROUND(R14*Q25,0)</f>
        <v>0</v>
      </c>
      <c r="S25" s="2565"/>
      <c r="T25" s="2565"/>
      <c r="U25" s="2565"/>
      <c r="V25" s="2671"/>
    </row>
    <row r="26" spans="1:22" s="2672" customFormat="1" ht="13.15" customHeight="1">
      <c r="A26" s="2653">
        <v>2</v>
      </c>
      <c r="B26" s="2654" t="s">
        <v>2395</v>
      </c>
      <c r="C26" s="2655">
        <f>D7</f>
        <v>0</v>
      </c>
      <c r="D26" s="2656">
        <f>D23*D27</f>
        <v>0</v>
      </c>
      <c r="E26" s="2657">
        <f>E23*E27</f>
        <v>0</v>
      </c>
      <c r="F26" s="2658"/>
      <c r="G26" s="2659"/>
      <c r="H26" s="2572"/>
      <c r="I26" s="2573"/>
      <c r="J26" s="3494">
        <v>5</v>
      </c>
      <c r="K26" s="2673" t="s">
        <v>2396</v>
      </c>
      <c r="L26" s="2674"/>
      <c r="M26" s="2675"/>
      <c r="N26" s="2676" t="s">
        <v>2397</v>
      </c>
      <c r="O26" s="2676" t="s">
        <v>2398</v>
      </c>
      <c r="P26" s="2677" t="s">
        <v>2399</v>
      </c>
      <c r="Q26" s="2677" t="s">
        <v>2400</v>
      </c>
      <c r="R26" s="2582" t="s">
        <v>2325</v>
      </c>
      <c r="S26" s="2616"/>
      <c r="T26" s="2616"/>
      <c r="U26" s="2616"/>
      <c r="V26" s="2671"/>
    </row>
    <row r="27" spans="1:22" s="2577" customFormat="1" ht="13.15" customHeight="1">
      <c r="A27" s="2660"/>
      <c r="B27" s="2661" t="s">
        <v>2401</v>
      </c>
      <c r="C27" s="2678" t="e">
        <f>E7</f>
        <v>#DIV/0!</v>
      </c>
      <c r="D27" s="2663"/>
      <c r="E27" s="2664"/>
      <c r="F27" s="2665"/>
      <c r="G27" s="2659"/>
      <c r="H27" s="2679"/>
      <c r="I27" s="2671"/>
      <c r="J27" s="3495"/>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2402</v>
      </c>
      <c r="F28" s="2665"/>
      <c r="G28" s="2565"/>
      <c r="H28" s="2679"/>
      <c r="I28" s="2671"/>
      <c r="J28" s="2685">
        <v>6</v>
      </c>
      <c r="K28" s="2686" t="s">
        <v>2403</v>
      </c>
      <c r="L28" s="2687" t="s">
        <v>2404</v>
      </c>
      <c r="M28" s="2688"/>
      <c r="N28" s="2687" t="s">
        <v>2405</v>
      </c>
      <c r="O28" s="2689"/>
      <c r="P28" s="2687" t="s">
        <v>2406</v>
      </c>
      <c r="Q28" s="2690">
        <v>1.4999999999999999E-2</v>
      </c>
      <c r="R28" s="2691"/>
      <c r="S28" s="2565"/>
      <c r="T28" s="2565"/>
      <c r="U28" s="2565"/>
      <c r="V28" s="2671"/>
    </row>
    <row r="29" spans="1:22" s="2672" customFormat="1" ht="13.15" customHeight="1">
      <c r="A29" s="2653">
        <v>3</v>
      </c>
      <c r="B29" s="2654" t="s">
        <v>2407</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2401</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2408</v>
      </c>
      <c r="K31" s="2563"/>
      <c r="L31" s="2563"/>
      <c r="M31" s="2563"/>
      <c r="N31" s="2563"/>
      <c r="O31" s="2563"/>
      <c r="P31" s="2563"/>
      <c r="Q31" s="2563"/>
      <c r="R31" s="2564"/>
      <c r="S31" s="2565"/>
      <c r="T31" s="2565"/>
      <c r="U31" s="2565"/>
      <c r="V31" s="2671"/>
    </row>
    <row r="32" spans="1:22" s="2672" customFormat="1" ht="13.15" customHeight="1">
      <c r="A32" s="2653">
        <v>4</v>
      </c>
      <c r="B32" s="2654" t="s">
        <v>2409</v>
      </c>
      <c r="C32" s="2655">
        <f>C23-C26-C29</f>
        <v>0</v>
      </c>
      <c r="D32" s="2656">
        <f>D23-D26-D29</f>
        <v>0</v>
      </c>
      <c r="E32" s="2657">
        <f>E23-E26-E29</f>
        <v>0</v>
      </c>
      <c r="F32" s="2658"/>
      <c r="G32" s="2565"/>
      <c r="H32" s="2572"/>
      <c r="I32" s="2573"/>
      <c r="J32" s="3496" t="s">
        <v>2301</v>
      </c>
      <c r="K32" s="3497"/>
      <c r="L32" s="2574" t="s">
        <v>2302</v>
      </c>
      <c r="M32" s="2574" t="s">
        <v>2303</v>
      </c>
      <c r="N32" s="2574" t="s">
        <v>2304</v>
      </c>
      <c r="O32" s="2574" t="s">
        <v>2305</v>
      </c>
      <c r="P32" s="2574" t="s">
        <v>2306</v>
      </c>
      <c r="Q32" s="2575" t="s">
        <v>2307</v>
      </c>
      <c r="R32" s="2694" t="s">
        <v>2308</v>
      </c>
      <c r="S32" s="2565"/>
      <c r="T32" s="2565"/>
      <c r="U32" s="2565"/>
      <c r="V32" s="2671"/>
    </row>
    <row r="33" spans="1:23" s="2577" customFormat="1" ht="13.15" customHeight="1">
      <c r="A33" s="2653"/>
      <c r="B33" s="2654"/>
      <c r="C33" s="2655"/>
      <c r="D33" s="2695"/>
      <c r="E33" s="2696"/>
      <c r="F33" s="2658"/>
      <c r="G33" s="2565"/>
      <c r="H33" s="2679"/>
      <c r="I33" s="2671"/>
      <c r="J33" s="3498" t="s">
        <v>2311</v>
      </c>
      <c r="K33" s="3499"/>
      <c r="L33" s="2580"/>
      <c r="M33" s="2580"/>
      <c r="N33" s="2580"/>
      <c r="O33" s="2580"/>
      <c r="P33" s="2580"/>
      <c r="Q33" s="2581"/>
      <c r="R33" s="2697">
        <f>SUM(L33:Q33)</f>
        <v>0</v>
      </c>
      <c r="S33" s="2565"/>
      <c r="T33" s="2565"/>
      <c r="U33" s="2565"/>
      <c r="V33" s="2573"/>
    </row>
    <row r="34" spans="1:23" s="2577" customFormat="1" ht="13.15" customHeight="1">
      <c r="A34" s="2653">
        <v>5</v>
      </c>
      <c r="B34" s="2654" t="s">
        <v>2410</v>
      </c>
      <c r="C34" s="2698"/>
      <c r="D34" s="2699"/>
      <c r="E34" s="2700"/>
      <c r="F34" s="2658"/>
      <c r="G34" s="2565"/>
      <c r="H34" s="2679"/>
      <c r="I34" s="2671"/>
      <c r="J34" s="3498" t="s">
        <v>2313</v>
      </c>
      <c r="K34" s="3499"/>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2411</v>
      </c>
      <c r="C35" s="2702"/>
      <c r="D35" s="2703"/>
      <c r="E35" s="2704"/>
      <c r="F35" s="2658"/>
      <c r="G35" s="2705"/>
      <c r="H35" s="2572"/>
      <c r="I35" s="2671"/>
      <c r="J35" s="2591" t="s">
        <v>2315</v>
      </c>
      <c r="K35" s="2592"/>
      <c r="L35" s="2592"/>
      <c r="M35" s="2593"/>
      <c r="N35" s="2593"/>
      <c r="O35" s="2593"/>
      <c r="P35" s="2593"/>
      <c r="Q35" s="2593"/>
      <c r="R35" s="2706">
        <f>R40+R41+R43</f>
        <v>0</v>
      </c>
      <c r="S35" s="2565"/>
      <c r="T35" s="2565" t="s">
        <v>2316</v>
      </c>
      <c r="U35" s="2565"/>
      <c r="V35" s="2573"/>
    </row>
    <row r="36" spans="1:23" s="2577" customFormat="1" ht="13.15" customHeight="1" thickBot="1">
      <c r="A36" s="2653">
        <v>7</v>
      </c>
      <c r="B36" s="2707" t="s">
        <v>2412</v>
      </c>
      <c r="C36" s="2708"/>
      <c r="D36" s="2709"/>
      <c r="E36" s="2710"/>
      <c r="F36" s="2711">
        <f>C36+D36+E36</f>
        <v>0</v>
      </c>
      <c r="G36" s="2565"/>
      <c r="H36" s="2572"/>
      <c r="I36" s="2573"/>
      <c r="J36" s="3490">
        <v>1</v>
      </c>
      <c r="K36" s="3491" t="s">
        <v>2413</v>
      </c>
      <c r="L36" s="2598"/>
      <c r="M36" s="2599"/>
      <c r="N36" s="2599"/>
      <c r="O36" s="2599"/>
      <c r="P36" s="2599"/>
      <c r="Q36" s="2599"/>
      <c r="R36" s="2582" t="s">
        <v>2325</v>
      </c>
      <c r="S36" s="2565"/>
      <c r="T36" s="2565" t="s">
        <v>2326</v>
      </c>
      <c r="U36" s="2565"/>
      <c r="V36" s="2573"/>
    </row>
    <row r="37" spans="1:23" s="2577" customFormat="1" ht="13.15" customHeight="1">
      <c r="A37" s="2653"/>
      <c r="B37" s="2654"/>
      <c r="C37" s="2654"/>
      <c r="D37" s="2654"/>
      <c r="E37" s="2654"/>
      <c r="F37" s="2658"/>
      <c r="G37" s="2565"/>
      <c r="H37" s="2572"/>
      <c r="I37" s="2573"/>
      <c r="J37" s="3490"/>
      <c r="K37" s="3492"/>
      <c r="L37" s="2607"/>
      <c r="M37" s="2608"/>
      <c r="N37" s="2584"/>
      <c r="O37" s="2609"/>
      <c r="P37" s="2609"/>
      <c r="Q37" s="2610"/>
      <c r="R37" s="2611"/>
      <c r="S37" s="2565"/>
      <c r="T37" s="2565" t="s">
        <v>2329</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490"/>
      <c r="K38" s="3492"/>
      <c r="L38" s="2607"/>
      <c r="M38" s="2608"/>
      <c r="N38" s="2584"/>
      <c r="O38" s="2609"/>
      <c r="P38" s="2609"/>
      <c r="Q38" s="2610"/>
      <c r="R38" s="2611"/>
      <c r="S38" s="2565"/>
      <c r="T38" s="2565" t="s">
        <v>2336</v>
      </c>
      <c r="U38" s="2565"/>
      <c r="V38" s="2573"/>
    </row>
    <row r="39" spans="1:23" s="2577" customFormat="1" ht="13.15" customHeight="1">
      <c r="A39" s="2653">
        <v>9</v>
      </c>
      <c r="B39" s="2654" t="s">
        <v>2414</v>
      </c>
      <c r="C39" s="2621" t="e">
        <f>C38</f>
        <v>#DIV/0!</v>
      </c>
      <c r="D39" s="2654">
        <f>D38/(1+D34)^C36</f>
        <v>0</v>
      </c>
      <c r="E39" s="2654">
        <f>E38/(1+E34)^(C36+D36)</f>
        <v>0</v>
      </c>
      <c r="F39" s="2658"/>
      <c r="G39" s="2573"/>
      <c r="H39" s="2572"/>
      <c r="I39" s="2573"/>
      <c r="J39" s="3490"/>
      <c r="K39" s="3492"/>
      <c r="L39" s="2607"/>
      <c r="M39" s="2608"/>
      <c r="N39" s="2584"/>
      <c r="O39" s="2609"/>
      <c r="P39" s="2609"/>
      <c r="Q39" s="2610"/>
      <c r="R39" s="2611"/>
      <c r="S39" s="2565"/>
      <c r="T39" s="2565"/>
      <c r="U39" s="2565"/>
      <c r="V39" s="2573"/>
    </row>
    <row r="40" spans="1:23" s="2577" customFormat="1" ht="13.15" customHeight="1">
      <c r="A40" s="2712">
        <v>10</v>
      </c>
      <c r="B40" s="2654" t="s">
        <v>2415</v>
      </c>
      <c r="C40" s="2713" t="e">
        <f>C39+D39+E39</f>
        <v>#DIV/0!</v>
      </c>
      <c r="D40" s="2714"/>
      <c r="E40" s="2714"/>
      <c r="F40" s="2715"/>
      <c r="G40" s="2565"/>
      <c r="H40" s="2572"/>
      <c r="I40" s="2573"/>
      <c r="J40" s="3490"/>
      <c r="K40" s="3493"/>
      <c r="L40" s="2627" t="s">
        <v>2354</v>
      </c>
      <c r="M40" s="2628"/>
      <c r="N40" s="2628"/>
      <c r="O40" s="2629"/>
      <c r="P40" s="2629"/>
      <c r="Q40" s="2630"/>
      <c r="R40" s="2576">
        <f>SUM(R37:R39)</f>
        <v>0</v>
      </c>
      <c r="S40" s="2565"/>
      <c r="T40" s="2565"/>
      <c r="U40" s="2565"/>
      <c r="V40" s="2573"/>
    </row>
    <row r="41" spans="1:23" s="2577" customFormat="1" ht="13.15" customHeight="1" thickBot="1">
      <c r="A41" s="2716">
        <v>11</v>
      </c>
      <c r="B41" s="2717" t="s">
        <v>2416</v>
      </c>
      <c r="C41" s="2717" t="e">
        <f>ROUND(C40*10000/B4,0)</f>
        <v>#DIV/0!</v>
      </c>
      <c r="D41" s="2718"/>
      <c r="E41" s="2718"/>
      <c r="F41" s="2719"/>
      <c r="G41" s="2572"/>
      <c r="H41" s="2572"/>
      <c r="I41" s="2573"/>
      <c r="J41" s="2666">
        <v>2</v>
      </c>
      <c r="K41" s="2667" t="s">
        <v>2394</v>
      </c>
      <c r="L41" s="2668"/>
      <c r="M41" s="2668"/>
      <c r="N41" s="2668"/>
      <c r="O41" s="2668"/>
      <c r="P41" s="2669"/>
      <c r="Q41" s="2670"/>
      <c r="R41" s="2643">
        <f>ROUND(R40*Q41,0)</f>
        <v>0</v>
      </c>
      <c r="S41" s="2565"/>
      <c r="T41" s="2565"/>
      <c r="U41" s="2616"/>
      <c r="V41" s="2573"/>
    </row>
    <row r="42" spans="1:23" s="2577" customFormat="1" ht="13.15" customHeight="1">
      <c r="G42" s="2572"/>
      <c r="H42" s="2572"/>
      <c r="I42" s="2573"/>
      <c r="J42" s="3494">
        <v>3</v>
      </c>
      <c r="K42" s="2673" t="s">
        <v>2396</v>
      </c>
      <c r="L42" s="2674"/>
      <c r="M42" s="2675"/>
      <c r="N42" s="2676" t="s">
        <v>2397</v>
      </c>
      <c r="O42" s="2676" t="s">
        <v>2398</v>
      </c>
      <c r="P42" s="2677" t="s">
        <v>2399</v>
      </c>
      <c r="Q42" s="2677" t="s">
        <v>2400</v>
      </c>
      <c r="R42" s="2582" t="s">
        <v>2325</v>
      </c>
      <c r="S42" s="2616"/>
      <c r="T42" s="2616"/>
      <c r="U42" s="2565"/>
      <c r="V42" s="2573"/>
    </row>
    <row r="43" spans="1:23" ht="13.15" customHeight="1">
      <c r="A43" s="2577"/>
      <c r="B43" s="2577"/>
      <c r="C43" s="2577"/>
      <c r="D43" s="2577"/>
      <c r="E43" s="2577"/>
      <c r="F43" s="2577"/>
      <c r="I43" s="2560"/>
      <c r="J43" s="3495"/>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2403</v>
      </c>
      <c r="L44" s="2722" t="s">
        <v>2404</v>
      </c>
      <c r="M44" s="2688"/>
      <c r="N44" s="2722" t="s">
        <v>2405</v>
      </c>
      <c r="O44" s="2688"/>
      <c r="P44" s="2722" t="s">
        <v>2406</v>
      </c>
      <c r="Q44" s="2690">
        <v>1.4999999999999999E-2</v>
      </c>
      <c r="R44" s="26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1658</v>
      </c>
      <c r="C1" s="1133" t="s">
        <v>1659</v>
      </c>
      <c r="D1" s="1120"/>
      <c r="E1" s="3097"/>
      <c r="F1" s="1712"/>
      <c r="G1" s="1130" t="s">
        <v>1660</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682</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1661</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683</v>
      </c>
      <c r="B3" s="336">
        <f>IF(C2="——",C49,ROUND(B2*10000/D3,0))</f>
        <v>0</v>
      </c>
      <c r="C3" s="337" t="s">
        <v>1662</v>
      </c>
      <c r="D3" s="336">
        <f>IF(D1="",'数据-汇总表'!E3,SUMIF('数据-汇总表'!$C19:$C33,D1,'数据-汇总表'!$E19:$E33))</f>
        <v>45214.01</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1663</v>
      </c>
      <c r="B4" s="339"/>
      <c r="C4" s="3527" t="s">
        <v>1664</v>
      </c>
      <c r="D4" s="3528"/>
      <c r="E4" s="3529" t="s">
        <v>1665</v>
      </c>
      <c r="F4" s="3530"/>
      <c r="G4" s="3527" t="s">
        <v>1666</v>
      </c>
      <c r="H4" s="3528"/>
      <c r="I4" s="3527" t="s">
        <v>1667</v>
      </c>
      <c r="J4" s="3528"/>
      <c r="K4" s="1721" t="s">
        <v>1668</v>
      </c>
      <c r="L4" s="2461"/>
      <c r="M4" s="2462"/>
      <c r="N4" s="2462"/>
      <c r="O4" s="2462"/>
      <c r="P4" s="3531" t="s">
        <v>1669</v>
      </c>
      <c r="Q4" s="3532"/>
      <c r="R4" s="3537" t="s">
        <v>1665</v>
      </c>
      <c r="S4" s="3538"/>
      <c r="T4" s="3537" t="s">
        <v>1666</v>
      </c>
      <c r="U4" s="3538"/>
      <c r="V4" s="3513" t="s">
        <v>1667</v>
      </c>
      <c r="W4" s="3513"/>
      <c r="X4" s="1243"/>
      <c r="Y4" s="3537" t="s">
        <v>1669</v>
      </c>
      <c r="Z4" s="3538"/>
      <c r="AA4" s="3524" t="s">
        <v>1665</v>
      </c>
      <c r="AB4" s="3524" t="s">
        <v>1666</v>
      </c>
      <c r="AC4" s="3524" t="s">
        <v>1667</v>
      </c>
    </row>
    <row r="5" spans="1:29" ht="15">
      <c r="A5" s="341"/>
      <c r="B5" s="342"/>
      <c r="C5" s="3545" t="s">
        <v>1670</v>
      </c>
      <c r="D5" s="3546"/>
      <c r="E5" s="3552" t="s">
        <v>1671</v>
      </c>
      <c r="F5" s="3553"/>
      <c r="G5" s="3545" t="s">
        <v>1672</v>
      </c>
      <c r="H5" s="3546"/>
      <c r="I5" s="3545" t="s">
        <v>1673</v>
      </c>
      <c r="J5" s="3546"/>
      <c r="K5" s="1722"/>
      <c r="L5" s="2461"/>
      <c r="M5" s="2462"/>
      <c r="N5" s="2462"/>
      <c r="O5" s="2462"/>
      <c r="P5" s="3533"/>
      <c r="Q5" s="3534"/>
      <c r="R5" s="3539"/>
      <c r="S5" s="3540"/>
      <c r="T5" s="3539"/>
      <c r="U5" s="3540"/>
      <c r="V5" s="3513"/>
      <c r="W5" s="3513"/>
      <c r="X5" s="1243"/>
      <c r="Y5" s="3539"/>
      <c r="Z5" s="3540"/>
      <c r="AA5" s="3525"/>
      <c r="AB5" s="3525"/>
      <c r="AC5" s="3525"/>
    </row>
    <row r="6" spans="1:29" ht="15.75" thickBot="1">
      <c r="A6" s="343"/>
      <c r="B6" s="344"/>
      <c r="C6" s="3543" t="s">
        <v>1674</v>
      </c>
      <c r="D6" s="3544"/>
      <c r="E6" s="3550" t="s">
        <v>1674</v>
      </c>
      <c r="F6" s="3551"/>
      <c r="G6" s="3543" t="s">
        <v>1674</v>
      </c>
      <c r="H6" s="3544"/>
      <c r="I6" s="3543" t="s">
        <v>1674</v>
      </c>
      <c r="J6" s="3544"/>
      <c r="K6" s="1722" t="s">
        <v>1675</v>
      </c>
      <c r="L6" s="2461"/>
      <c r="M6" s="2462"/>
      <c r="N6" s="2462"/>
      <c r="O6" s="2462"/>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547" t="s">
        <v>1677</v>
      </c>
      <c r="Q7" s="3549"/>
      <c r="R7" s="654" t="s">
        <v>20</v>
      </c>
      <c r="S7" s="655">
        <f t="shared" ref="S7:S15" si="0">F7</f>
        <v>0</v>
      </c>
      <c r="T7" s="654" t="s">
        <v>20</v>
      </c>
      <c r="U7" s="655">
        <f t="shared" ref="U7:U15" si="1">H7</f>
        <v>0</v>
      </c>
      <c r="V7" s="654" t="s">
        <v>20</v>
      </c>
      <c r="W7" s="655">
        <f t="shared" ref="W7:W15" si="2">J7</f>
        <v>0</v>
      </c>
      <c r="X7" s="656"/>
      <c r="Y7" s="3547" t="s">
        <v>1677</v>
      </c>
      <c r="Z7" s="3548"/>
      <c r="AA7" s="50" t="e">
        <f>D7/F7</f>
        <v>#DIV/0!</v>
      </c>
      <c r="AB7" s="50" t="e">
        <f>D7/H7</f>
        <v>#DIV/0!</v>
      </c>
      <c r="AC7" s="50" t="e">
        <f>D7/J7</f>
        <v>#DIV/0!</v>
      </c>
    </row>
    <row r="8" spans="1:29" s="101" customFormat="1" ht="15.75" thickBot="1">
      <c r="A8" s="345" t="s">
        <v>1678</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547" t="s">
        <v>1680</v>
      </c>
      <c r="Q8" s="3548"/>
      <c r="R8" s="654" t="s">
        <v>20</v>
      </c>
      <c r="S8" s="655">
        <f t="shared" si="0"/>
        <v>100</v>
      </c>
      <c r="T8" s="654" t="s">
        <v>20</v>
      </c>
      <c r="U8" s="655">
        <f t="shared" si="1"/>
        <v>100</v>
      </c>
      <c r="V8" s="654" t="s">
        <v>20</v>
      </c>
      <c r="W8" s="655">
        <f t="shared" si="2"/>
        <v>100</v>
      </c>
      <c r="X8" s="656"/>
      <c r="Y8" s="3547" t="s">
        <v>1680</v>
      </c>
      <c r="Z8" s="3548"/>
      <c r="AA8" s="50">
        <f t="shared" ref="AA8:AA19" si="3">D8/F8</f>
        <v>1</v>
      </c>
      <c r="AB8" s="50">
        <f t="shared" ref="AB8:AB19" si="4">D8/H8</f>
        <v>1</v>
      </c>
      <c r="AC8" s="50">
        <f t="shared" ref="AC8:AC19" si="5">D8/J8</f>
        <v>1</v>
      </c>
    </row>
    <row r="9" spans="1:29" s="101" customFormat="1">
      <c r="A9" s="352" t="s">
        <v>1681</v>
      </c>
      <c r="B9" s="60" t="s">
        <v>1682</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523"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50">
        <f t="shared" si="5"/>
        <v>1</v>
      </c>
    </row>
    <row r="10" spans="1:29" s="359" customFormat="1" ht="27">
      <c r="A10" s="356"/>
      <c r="B10" s="357" t="s">
        <v>1685</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523"/>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523"/>
      <c r="Q11" s="523" t="str">
        <f t="shared" si="6"/>
        <v>容积率</v>
      </c>
      <c r="R11" s="654" t="s">
        <v>18</v>
      </c>
      <c r="S11" s="655" t="e">
        <f t="shared" si="0"/>
        <v>#N/A</v>
      </c>
      <c r="T11" s="654" t="s">
        <v>18</v>
      </c>
      <c r="U11" s="655" t="e">
        <f t="shared" si="1"/>
        <v>#N/A</v>
      </c>
      <c r="V11" s="654" t="s">
        <v>18</v>
      </c>
      <c r="W11" s="655" t="e">
        <f t="shared" si="2"/>
        <v>#N/A</v>
      </c>
      <c r="X11" s="656"/>
      <c r="Y11" s="3368"/>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523"/>
      <c r="Q12" s="523">
        <f t="shared" si="6"/>
        <v>111</v>
      </c>
      <c r="R12" s="654" t="s">
        <v>18</v>
      </c>
      <c r="S12" s="655">
        <f t="shared" si="0"/>
        <v>100</v>
      </c>
      <c r="T12" s="654" t="s">
        <v>18</v>
      </c>
      <c r="U12" s="655">
        <f t="shared" si="1"/>
        <v>100</v>
      </c>
      <c r="V12" s="654" t="s">
        <v>18</v>
      </c>
      <c r="W12" s="655">
        <f t="shared" si="2"/>
        <v>100</v>
      </c>
      <c r="X12" s="656"/>
      <c r="Y12" s="336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523"/>
      <c r="Q13" s="523">
        <f t="shared" si="6"/>
        <v>111</v>
      </c>
      <c r="R13" s="654" t="s">
        <v>18</v>
      </c>
      <c r="S13" s="655">
        <f t="shared" si="0"/>
        <v>100</v>
      </c>
      <c r="T13" s="654" t="s">
        <v>18</v>
      </c>
      <c r="U13" s="655">
        <f t="shared" si="1"/>
        <v>100</v>
      </c>
      <c r="V13" s="654" t="s">
        <v>18</v>
      </c>
      <c r="W13" s="655">
        <f t="shared" si="2"/>
        <v>100</v>
      </c>
      <c r="X13" s="656"/>
      <c r="Y13" s="3368"/>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523"/>
      <c r="Q14" s="523">
        <f t="shared" si="6"/>
        <v>111</v>
      </c>
      <c r="R14" s="654" t="s">
        <v>18</v>
      </c>
      <c r="S14" s="655">
        <f t="shared" si="0"/>
        <v>100</v>
      </c>
      <c r="T14" s="654" t="s">
        <v>18</v>
      </c>
      <c r="U14" s="655">
        <f t="shared" si="1"/>
        <v>100</v>
      </c>
      <c r="V14" s="654" t="s">
        <v>18</v>
      </c>
      <c r="W14" s="655">
        <f t="shared" si="2"/>
        <v>100</v>
      </c>
      <c r="X14" s="656"/>
      <c r="Y14" s="3368"/>
      <c r="Z14" s="50">
        <f t="shared" si="7"/>
        <v>111</v>
      </c>
      <c r="AA14" s="50">
        <f t="shared" si="3"/>
        <v>1</v>
      </c>
      <c r="AB14" s="50">
        <f t="shared" si="4"/>
        <v>1</v>
      </c>
      <c r="AC14" s="50">
        <f t="shared" si="5"/>
        <v>1</v>
      </c>
    </row>
    <row r="15" spans="1:29" ht="15">
      <c r="A15" s="372" t="s">
        <v>1687</v>
      </c>
      <c r="B15" s="58" t="s">
        <v>1254</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521" t="s">
        <v>1688</v>
      </c>
      <c r="Q15" s="1241" t="str">
        <f t="shared" si="6"/>
        <v>居住社区成熟度</v>
      </c>
      <c r="R15" s="657" t="s">
        <v>18</v>
      </c>
      <c r="S15" s="658">
        <f t="shared" si="0"/>
        <v>100</v>
      </c>
      <c r="T15" s="657" t="s">
        <v>18</v>
      </c>
      <c r="U15" s="658">
        <f t="shared" si="1"/>
        <v>100</v>
      </c>
      <c r="V15" s="657" t="s">
        <v>18</v>
      </c>
      <c r="W15" s="658">
        <f t="shared" si="2"/>
        <v>100</v>
      </c>
      <c r="X15" s="1243"/>
      <c r="Y15" s="3514" t="s">
        <v>1688</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522"/>
      <c r="Q16" s="1241"/>
      <c r="R16" s="657"/>
      <c r="S16" s="658"/>
      <c r="T16" s="657"/>
      <c r="U16" s="658"/>
      <c r="V16" s="657"/>
      <c r="W16" s="658"/>
      <c r="X16" s="1243"/>
      <c r="Y16" s="3515"/>
      <c r="Z16" s="1242"/>
      <c r="AA16" s="1242">
        <v>1</v>
      </c>
      <c r="AB16" s="1242">
        <v>1</v>
      </c>
      <c r="AC16" s="1242">
        <v>1</v>
      </c>
    </row>
    <row r="17" spans="1:29" ht="15">
      <c r="A17" s="360"/>
      <c r="B17" s="383" t="s">
        <v>1256</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522"/>
      <c r="Q17" s="1241" t="str">
        <f>B17</f>
        <v>交通便捷度</v>
      </c>
      <c r="R17" s="657" t="s">
        <v>18</v>
      </c>
      <c r="S17" s="658">
        <f>F17</f>
        <v>100</v>
      </c>
      <c r="T17" s="657" t="s">
        <v>18</v>
      </c>
      <c r="U17" s="658">
        <f>H17</f>
        <v>100</v>
      </c>
      <c r="V17" s="657" t="s">
        <v>18</v>
      </c>
      <c r="W17" s="658">
        <f>J17</f>
        <v>100</v>
      </c>
      <c r="X17" s="1243"/>
      <c r="Y17" s="3515"/>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522"/>
      <c r="Q18" s="1241"/>
      <c r="R18" s="657"/>
      <c r="S18" s="658"/>
      <c r="T18" s="657"/>
      <c r="U18" s="658"/>
      <c r="V18" s="657"/>
      <c r="W18" s="658"/>
      <c r="X18" s="1243"/>
      <c r="Y18" s="3515"/>
      <c r="Z18" s="1242"/>
      <c r="AA18" s="1242">
        <v>1</v>
      </c>
      <c r="AB18" s="1242">
        <v>1</v>
      </c>
      <c r="AC18" s="1242">
        <v>1</v>
      </c>
    </row>
    <row r="19" spans="1:29" ht="15">
      <c r="A19" s="360"/>
      <c r="B19" s="383" t="s">
        <v>1255</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522"/>
      <c r="Q19" s="1241" t="str">
        <f>B19</f>
        <v>公共配套设施</v>
      </c>
      <c r="R19" s="657" t="s">
        <v>18</v>
      </c>
      <c r="S19" s="658">
        <f>F19</f>
        <v>100</v>
      </c>
      <c r="T19" s="657" t="s">
        <v>18</v>
      </c>
      <c r="U19" s="658">
        <f>H19</f>
        <v>100</v>
      </c>
      <c r="V19" s="657" t="s">
        <v>18</v>
      </c>
      <c r="W19" s="658">
        <f>J19</f>
        <v>100</v>
      </c>
      <c r="X19" s="1243"/>
      <c r="Y19" s="3515"/>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522"/>
      <c r="Q20" s="1241"/>
      <c r="R20" s="657"/>
      <c r="S20" s="658"/>
      <c r="T20" s="657"/>
      <c r="U20" s="658"/>
      <c r="V20" s="657"/>
      <c r="W20" s="658"/>
      <c r="X20" s="1243"/>
      <c r="Y20" s="3515"/>
      <c r="Z20" s="1242"/>
      <c r="AA20" s="1242">
        <v>1</v>
      </c>
      <c r="AB20" s="1242">
        <v>1</v>
      </c>
      <c r="AC20" s="1242">
        <v>1</v>
      </c>
    </row>
    <row r="21" spans="1:29" ht="15">
      <c r="A21" s="360"/>
      <c r="B21" s="579" t="s">
        <v>1257</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522"/>
      <c r="Q21" s="1241" t="str">
        <f>B21</f>
        <v>基础设施水平</v>
      </c>
      <c r="R21" s="657" t="s">
        <v>14</v>
      </c>
      <c r="S21" s="658">
        <f>F21</f>
        <v>100</v>
      </c>
      <c r="T21" s="657" t="s">
        <v>14</v>
      </c>
      <c r="U21" s="658">
        <f>H21</f>
        <v>100</v>
      </c>
      <c r="V21" s="657" t="s">
        <v>14</v>
      </c>
      <c r="W21" s="658">
        <f>J21</f>
        <v>100</v>
      </c>
      <c r="X21" s="1243"/>
      <c r="Y21" s="351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522"/>
      <c r="Q22" s="1241"/>
      <c r="R22" s="657"/>
      <c r="S22" s="658"/>
      <c r="T22" s="657"/>
      <c r="U22" s="658"/>
      <c r="V22" s="657"/>
      <c r="W22" s="658"/>
      <c r="X22" s="1243"/>
      <c r="Y22" s="3515"/>
      <c r="Z22" s="1242"/>
      <c r="AA22" s="1242">
        <v>1</v>
      </c>
      <c r="AB22" s="1242">
        <v>1</v>
      </c>
      <c r="AC22" s="1242">
        <v>1</v>
      </c>
    </row>
    <row r="23" spans="1:29" ht="15">
      <c r="A23" s="360"/>
      <c r="B23" s="383" t="s">
        <v>1258</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522"/>
      <c r="Q23" s="1241" t="str">
        <f>B23</f>
        <v>自然及人文环境</v>
      </c>
      <c r="R23" s="657" t="s">
        <v>18</v>
      </c>
      <c r="S23" s="658">
        <f>F23</f>
        <v>100</v>
      </c>
      <c r="T23" s="657" t="s">
        <v>18</v>
      </c>
      <c r="U23" s="658">
        <f>H23</f>
        <v>100</v>
      </c>
      <c r="V23" s="657" t="s">
        <v>18</v>
      </c>
      <c r="W23" s="658">
        <f>J23</f>
        <v>100</v>
      </c>
      <c r="X23" s="1243"/>
      <c r="Y23" s="3515"/>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522"/>
      <c r="Q24" s="1241"/>
      <c r="R24" s="657"/>
      <c r="S24" s="658"/>
      <c r="T24" s="657"/>
      <c r="U24" s="658"/>
      <c r="V24" s="657"/>
      <c r="W24" s="658"/>
      <c r="X24" s="1243"/>
      <c r="Y24" s="3515"/>
      <c r="Z24" s="1242"/>
      <c r="AA24" s="1242">
        <v>1</v>
      </c>
      <c r="AB24" s="1242">
        <v>1</v>
      </c>
      <c r="AC24" s="1242">
        <v>1</v>
      </c>
    </row>
    <row r="25" spans="1:29" ht="15">
      <c r="A25" s="360"/>
      <c r="B25" s="357" t="s">
        <v>1689</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522"/>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515"/>
      <c r="Z25" s="1242" t="str">
        <f>Q25</f>
        <v>楼层-1</v>
      </c>
      <c r="AA25" s="1242">
        <f t="shared" ref="AA25:AA46" si="15">D25/F25</f>
        <v>1</v>
      </c>
      <c r="AB25" s="1242">
        <f t="shared" ref="AB25:AB46" si="16">D25/H25</f>
        <v>1</v>
      </c>
      <c r="AC25" s="1242">
        <f t="shared" ref="AC25:AC46" si="17">D25/J25</f>
        <v>1</v>
      </c>
    </row>
    <row r="26" spans="1:29" ht="15">
      <c r="A26" s="360"/>
      <c r="B26" s="357" t="s">
        <v>1690</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522"/>
      <c r="Q26" s="1241" t="str">
        <f t="shared" si="11"/>
        <v>朝向</v>
      </c>
      <c r="R26" s="657" t="s">
        <v>18</v>
      </c>
      <c r="S26" s="658">
        <f t="shared" si="12"/>
        <v>100</v>
      </c>
      <c r="T26" s="657" t="s">
        <v>18</v>
      </c>
      <c r="U26" s="658">
        <f t="shared" si="13"/>
        <v>100</v>
      </c>
      <c r="V26" s="657" t="s">
        <v>18</v>
      </c>
      <c r="W26" s="658">
        <f t="shared" si="14"/>
        <v>100</v>
      </c>
      <c r="X26" s="1243"/>
      <c r="Y26" s="3515"/>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522"/>
      <c r="Q27" s="523">
        <f t="shared" si="11"/>
        <v>111</v>
      </c>
      <c r="R27" s="654" t="s">
        <v>18</v>
      </c>
      <c r="S27" s="655">
        <f t="shared" si="12"/>
        <v>100</v>
      </c>
      <c r="T27" s="654" t="s">
        <v>18</v>
      </c>
      <c r="U27" s="655">
        <f t="shared" si="13"/>
        <v>100</v>
      </c>
      <c r="V27" s="654" t="s">
        <v>18</v>
      </c>
      <c r="W27" s="655">
        <f t="shared" si="14"/>
        <v>100</v>
      </c>
      <c r="X27" s="656"/>
      <c r="Y27" s="3515"/>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522"/>
      <c r="Q28" s="1241">
        <f t="shared" si="11"/>
        <v>111</v>
      </c>
      <c r="R28" s="657" t="s">
        <v>18</v>
      </c>
      <c r="S28" s="658">
        <f t="shared" si="12"/>
        <v>100</v>
      </c>
      <c r="T28" s="657" t="s">
        <v>18</v>
      </c>
      <c r="U28" s="658">
        <f t="shared" si="13"/>
        <v>100</v>
      </c>
      <c r="V28" s="657" t="s">
        <v>18</v>
      </c>
      <c r="W28" s="658">
        <f t="shared" si="14"/>
        <v>100</v>
      </c>
      <c r="X28" s="1243"/>
      <c r="Y28" s="3515"/>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522"/>
      <c r="Q29" s="1241">
        <f t="shared" si="11"/>
        <v>111</v>
      </c>
      <c r="R29" s="657" t="s">
        <v>18</v>
      </c>
      <c r="S29" s="658">
        <f t="shared" si="12"/>
        <v>100</v>
      </c>
      <c r="T29" s="657" t="s">
        <v>18</v>
      </c>
      <c r="U29" s="658">
        <f t="shared" si="13"/>
        <v>100</v>
      </c>
      <c r="V29" s="657" t="s">
        <v>18</v>
      </c>
      <c r="W29" s="658">
        <f t="shared" si="14"/>
        <v>100</v>
      </c>
      <c r="X29" s="1243"/>
      <c r="Y29" s="3515"/>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522"/>
      <c r="Q30" s="1241">
        <f t="shared" si="11"/>
        <v>111</v>
      </c>
      <c r="R30" s="657" t="s">
        <v>18</v>
      </c>
      <c r="S30" s="658">
        <f t="shared" si="12"/>
        <v>100</v>
      </c>
      <c r="T30" s="657" t="s">
        <v>18</v>
      </c>
      <c r="U30" s="658">
        <f t="shared" si="13"/>
        <v>100</v>
      </c>
      <c r="V30" s="657" t="s">
        <v>18</v>
      </c>
      <c r="W30" s="658">
        <f t="shared" si="14"/>
        <v>100</v>
      </c>
      <c r="X30" s="1243"/>
      <c r="Y30" s="3515"/>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522"/>
      <c r="Q31" s="1241">
        <f t="shared" si="11"/>
        <v>111</v>
      </c>
      <c r="R31" s="657" t="s">
        <v>18</v>
      </c>
      <c r="S31" s="658">
        <f t="shared" si="12"/>
        <v>100</v>
      </c>
      <c r="T31" s="657" t="s">
        <v>18</v>
      </c>
      <c r="U31" s="658">
        <f t="shared" si="13"/>
        <v>100</v>
      </c>
      <c r="V31" s="657" t="s">
        <v>18</v>
      </c>
      <c r="W31" s="658">
        <f t="shared" si="14"/>
        <v>100</v>
      </c>
      <c r="X31" s="1243"/>
      <c r="Y31" s="3515"/>
      <c r="Z31" s="1242">
        <f t="shared" si="18"/>
        <v>111</v>
      </c>
      <c r="AA31" s="1242">
        <f t="shared" si="15"/>
        <v>1</v>
      </c>
      <c r="AB31" s="1242">
        <f t="shared" si="16"/>
        <v>1</v>
      </c>
      <c r="AC31" s="1242">
        <f t="shared" si="17"/>
        <v>1</v>
      </c>
    </row>
    <row r="32" spans="1:29" ht="15">
      <c r="A32" s="372" t="s">
        <v>1691</v>
      </c>
      <c r="B32" s="60" t="s">
        <v>1692</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516" t="s">
        <v>1693</v>
      </c>
      <c r="Q32" s="1241" t="str">
        <f t="shared" si="11"/>
        <v>建筑类型</v>
      </c>
      <c r="R32" s="657" t="s">
        <v>18</v>
      </c>
      <c r="S32" s="658">
        <f t="shared" si="12"/>
        <v>100</v>
      </c>
      <c r="T32" s="657" t="s">
        <v>18</v>
      </c>
      <c r="U32" s="658">
        <f t="shared" si="13"/>
        <v>100</v>
      </c>
      <c r="V32" s="657" t="s">
        <v>18</v>
      </c>
      <c r="W32" s="658">
        <f t="shared" si="14"/>
        <v>100</v>
      </c>
      <c r="X32" s="1243"/>
      <c r="Y32" s="3519" t="s">
        <v>1693</v>
      </c>
      <c r="Z32" s="1242" t="str">
        <f t="shared" si="18"/>
        <v>建筑类型</v>
      </c>
      <c r="AA32" s="1242">
        <f t="shared" si="15"/>
        <v>1</v>
      </c>
      <c r="AB32" s="1242">
        <f t="shared" si="16"/>
        <v>1</v>
      </c>
      <c r="AC32" s="1242">
        <f t="shared" si="17"/>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517"/>
      <c r="Q33" s="524" t="str">
        <f t="shared" si="11"/>
        <v>项目建筑规模</v>
      </c>
      <c r="R33" s="659" t="s">
        <v>18</v>
      </c>
      <c r="S33" s="660" t="e">
        <f t="shared" si="12"/>
        <v>#N/A</v>
      </c>
      <c r="T33" s="659" t="s">
        <v>18</v>
      </c>
      <c r="U33" s="660" t="e">
        <f t="shared" si="13"/>
        <v>#N/A</v>
      </c>
      <c r="V33" s="659" t="s">
        <v>18</v>
      </c>
      <c r="W33" s="660" t="e">
        <f t="shared" si="14"/>
        <v>#N/A</v>
      </c>
      <c r="X33" s="661"/>
      <c r="Y33" s="3519"/>
      <c r="Z33" s="662" t="str">
        <f t="shared" si="18"/>
        <v>项目建筑规模</v>
      </c>
      <c r="AA33" s="1242" t="e">
        <f t="shared" si="15"/>
        <v>#N/A</v>
      </c>
      <c r="AB33" s="1242" t="e">
        <f t="shared" si="16"/>
        <v>#N/A</v>
      </c>
      <c r="AC33" s="1242" t="e">
        <f t="shared" si="17"/>
        <v>#N/A</v>
      </c>
    </row>
    <row r="34" spans="1:29" ht="15">
      <c r="A34" s="402"/>
      <c r="B34" s="357" t="s">
        <v>1695</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517"/>
      <c r="Q34" s="1241" t="str">
        <f t="shared" si="11"/>
        <v>建筑结构</v>
      </c>
      <c r="R34" s="657" t="s">
        <v>18</v>
      </c>
      <c r="S34" s="658">
        <f t="shared" si="12"/>
        <v>100</v>
      </c>
      <c r="T34" s="657" t="s">
        <v>18</v>
      </c>
      <c r="U34" s="658">
        <f t="shared" si="13"/>
        <v>100</v>
      </c>
      <c r="V34" s="657" t="s">
        <v>18</v>
      </c>
      <c r="W34" s="658">
        <f t="shared" si="14"/>
        <v>100</v>
      </c>
      <c r="X34" s="1243"/>
      <c r="Y34" s="3519"/>
      <c r="Z34" s="1242" t="str">
        <f t="shared" si="18"/>
        <v>建筑结构</v>
      </c>
      <c r="AA34" s="1242">
        <f t="shared" si="15"/>
        <v>1</v>
      </c>
      <c r="AB34" s="1242">
        <f t="shared" si="16"/>
        <v>1</v>
      </c>
      <c r="AC34" s="1242">
        <f t="shared" si="17"/>
        <v>1</v>
      </c>
    </row>
    <row r="35" spans="1:29" ht="15">
      <c r="A35" s="402"/>
      <c r="B35" s="357" t="s">
        <v>1696</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517"/>
      <c r="Q35" s="1241" t="str">
        <f t="shared" si="11"/>
        <v>建筑品质</v>
      </c>
      <c r="R35" s="657" t="s">
        <v>18</v>
      </c>
      <c r="S35" s="658">
        <f t="shared" si="12"/>
        <v>100</v>
      </c>
      <c r="T35" s="657" t="s">
        <v>18</v>
      </c>
      <c r="U35" s="658">
        <f t="shared" si="13"/>
        <v>100</v>
      </c>
      <c r="V35" s="657" t="s">
        <v>18</v>
      </c>
      <c r="W35" s="658">
        <f t="shared" si="14"/>
        <v>100</v>
      </c>
      <c r="X35" s="1243"/>
      <c r="Y35" s="3519"/>
      <c r="Z35" s="1242" t="str">
        <f t="shared" si="18"/>
        <v>建筑品质</v>
      </c>
      <c r="AA35" s="1242">
        <f t="shared" si="15"/>
        <v>1</v>
      </c>
      <c r="AB35" s="1242">
        <f t="shared" si="16"/>
        <v>1</v>
      </c>
      <c r="AC35" s="1242">
        <f t="shared" si="17"/>
        <v>1</v>
      </c>
    </row>
    <row r="36" spans="1:29" ht="15">
      <c r="A36" s="402"/>
      <c r="B36" s="357" t="s">
        <v>1697</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517"/>
      <c r="Q36" s="1241" t="str">
        <f t="shared" si="11"/>
        <v>公共部分装修</v>
      </c>
      <c r="R36" s="657" t="s">
        <v>18</v>
      </c>
      <c r="S36" s="658">
        <f t="shared" si="12"/>
        <v>100</v>
      </c>
      <c r="T36" s="657" t="s">
        <v>18</v>
      </c>
      <c r="U36" s="658">
        <f t="shared" si="13"/>
        <v>100</v>
      </c>
      <c r="V36" s="657" t="s">
        <v>18</v>
      </c>
      <c r="W36" s="658">
        <f t="shared" si="14"/>
        <v>100</v>
      </c>
      <c r="X36" s="1243"/>
      <c r="Y36" s="3519"/>
      <c r="Z36" s="1242" t="str">
        <f t="shared" si="18"/>
        <v>公共部分装修</v>
      </c>
      <c r="AA36" s="1242">
        <f t="shared" si="15"/>
        <v>1</v>
      </c>
      <c r="AB36" s="1242">
        <f t="shared" si="16"/>
        <v>1</v>
      </c>
      <c r="AC36" s="1242">
        <f t="shared" si="17"/>
        <v>1</v>
      </c>
    </row>
    <row r="37" spans="1:29" s="101" customFormat="1" ht="15">
      <c r="A37" s="403"/>
      <c r="B37" s="357" t="s">
        <v>1698</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517"/>
      <c r="Q37" s="523" t="str">
        <f t="shared" si="11"/>
        <v>成新度</v>
      </c>
      <c r="R37" s="654" t="s">
        <v>18</v>
      </c>
      <c r="S37" s="655" t="e">
        <f t="shared" si="12"/>
        <v>#N/A</v>
      </c>
      <c r="T37" s="654" t="s">
        <v>18</v>
      </c>
      <c r="U37" s="655" t="e">
        <f t="shared" si="13"/>
        <v>#N/A</v>
      </c>
      <c r="V37" s="654" t="s">
        <v>18</v>
      </c>
      <c r="W37" s="655" t="e">
        <f t="shared" si="14"/>
        <v>#N/A</v>
      </c>
      <c r="X37" s="656"/>
      <c r="Y37" s="3519"/>
      <c r="Z37" s="50" t="str">
        <f t="shared" si="18"/>
        <v>成新度</v>
      </c>
      <c r="AA37" s="50" t="e">
        <f t="shared" si="15"/>
        <v>#N/A</v>
      </c>
      <c r="AB37" s="50" t="e">
        <f t="shared" si="16"/>
        <v>#N/A</v>
      </c>
      <c r="AC37" s="50" t="e">
        <f t="shared" si="17"/>
        <v>#N/A</v>
      </c>
    </row>
    <row r="38" spans="1:29" ht="15">
      <c r="A38" s="402"/>
      <c r="B38" s="357" t="s">
        <v>1699</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517" t="s">
        <v>1693</v>
      </c>
      <c r="Q38" s="1241" t="str">
        <f t="shared" si="11"/>
        <v>物业管理</v>
      </c>
      <c r="R38" s="657" t="s">
        <v>18</v>
      </c>
      <c r="S38" s="658">
        <f t="shared" si="12"/>
        <v>100</v>
      </c>
      <c r="T38" s="657" t="s">
        <v>18</v>
      </c>
      <c r="U38" s="658">
        <f t="shared" si="13"/>
        <v>100</v>
      </c>
      <c r="V38" s="657" t="s">
        <v>18</v>
      </c>
      <c r="W38" s="658">
        <f t="shared" si="14"/>
        <v>100</v>
      </c>
      <c r="X38" s="1243"/>
      <c r="Y38" s="3519" t="s">
        <v>1693</v>
      </c>
      <c r="Z38" s="1242" t="str">
        <f t="shared" si="18"/>
        <v>物业管理</v>
      </c>
      <c r="AA38" s="1242">
        <f t="shared" si="15"/>
        <v>1</v>
      </c>
      <c r="AB38" s="1242">
        <f t="shared" si="16"/>
        <v>1</v>
      </c>
      <c r="AC38" s="1242">
        <f t="shared" si="17"/>
        <v>1</v>
      </c>
    </row>
    <row r="39" spans="1:29" ht="15">
      <c r="A39" s="402"/>
      <c r="B39" s="357" t="s">
        <v>1700</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517"/>
      <c r="Q39" s="1241" t="str">
        <f t="shared" si="11"/>
        <v>市政基础设施</v>
      </c>
      <c r="R39" s="657" t="s">
        <v>18</v>
      </c>
      <c r="S39" s="658">
        <f t="shared" si="12"/>
        <v>100</v>
      </c>
      <c r="T39" s="657" t="s">
        <v>18</v>
      </c>
      <c r="U39" s="658">
        <f t="shared" si="13"/>
        <v>100</v>
      </c>
      <c r="V39" s="657" t="s">
        <v>18</v>
      </c>
      <c r="W39" s="658">
        <f t="shared" si="14"/>
        <v>100</v>
      </c>
      <c r="X39" s="1243"/>
      <c r="Y39" s="3519"/>
      <c r="Z39" s="1242" t="str">
        <f t="shared" si="18"/>
        <v>市政基础设施</v>
      </c>
      <c r="AA39" s="1242">
        <f t="shared" si="15"/>
        <v>1</v>
      </c>
      <c r="AB39" s="1242">
        <f t="shared" si="16"/>
        <v>1</v>
      </c>
      <c r="AC39" s="1242">
        <f t="shared" si="17"/>
        <v>1</v>
      </c>
    </row>
    <row r="40" spans="1:29" ht="15">
      <c r="A40" s="402"/>
      <c r="B40" s="357" t="s">
        <v>1701</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517"/>
      <c r="Q40" s="1241" t="str">
        <f t="shared" si="11"/>
        <v>房型</v>
      </c>
      <c r="R40" s="657" t="s">
        <v>18</v>
      </c>
      <c r="S40" s="658">
        <f t="shared" si="12"/>
        <v>100</v>
      </c>
      <c r="T40" s="657" t="s">
        <v>18</v>
      </c>
      <c r="U40" s="658">
        <f t="shared" si="13"/>
        <v>100</v>
      </c>
      <c r="V40" s="657" t="s">
        <v>18</v>
      </c>
      <c r="W40" s="658">
        <f t="shared" si="14"/>
        <v>100</v>
      </c>
      <c r="X40" s="1243"/>
      <c r="Y40" s="3519"/>
      <c r="Z40" s="1242" t="str">
        <f t="shared" si="18"/>
        <v>房型</v>
      </c>
      <c r="AA40" s="1242">
        <f t="shared" si="15"/>
        <v>1</v>
      </c>
      <c r="AB40" s="1242">
        <f t="shared" si="16"/>
        <v>1</v>
      </c>
      <c r="AC40" s="1242">
        <f t="shared" si="17"/>
        <v>1</v>
      </c>
    </row>
    <row r="41" spans="1:29" s="401" customFormat="1" ht="28.5">
      <c r="A41" s="399"/>
      <c r="B41" s="357" t="s">
        <v>1702</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517"/>
      <c r="Q41" s="524" t="str">
        <f t="shared" si="11"/>
        <v>单套/主力户型建筑面积</v>
      </c>
      <c r="R41" s="659" t="s">
        <v>18</v>
      </c>
      <c r="S41" s="660">
        <f t="shared" si="12"/>
        <v>100</v>
      </c>
      <c r="T41" s="659" t="s">
        <v>18</v>
      </c>
      <c r="U41" s="660">
        <f t="shared" si="13"/>
        <v>100</v>
      </c>
      <c r="V41" s="659" t="s">
        <v>18</v>
      </c>
      <c r="W41" s="660">
        <f t="shared" si="14"/>
        <v>100</v>
      </c>
      <c r="X41" s="661"/>
      <c r="Y41" s="3519"/>
      <c r="Z41" s="662" t="str">
        <f t="shared" si="18"/>
        <v>单套/主力户型建筑面积</v>
      </c>
      <c r="AA41" s="1242">
        <f t="shared" si="15"/>
        <v>1</v>
      </c>
      <c r="AB41" s="1242">
        <f t="shared" si="16"/>
        <v>1</v>
      </c>
      <c r="AC41" s="1242">
        <f t="shared" si="17"/>
        <v>1</v>
      </c>
    </row>
    <row r="42" spans="1:29" ht="15">
      <c r="A42" s="402"/>
      <c r="B42" s="357" t="s">
        <v>1703</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517"/>
      <c r="Q42" s="1241" t="str">
        <f t="shared" si="11"/>
        <v>内部装修</v>
      </c>
      <c r="R42" s="657" t="s">
        <v>18</v>
      </c>
      <c r="S42" s="658">
        <f t="shared" si="12"/>
        <v>100</v>
      </c>
      <c r="T42" s="657" t="s">
        <v>18</v>
      </c>
      <c r="U42" s="658">
        <f t="shared" si="13"/>
        <v>100</v>
      </c>
      <c r="V42" s="657" t="s">
        <v>18</v>
      </c>
      <c r="W42" s="658">
        <f t="shared" si="14"/>
        <v>100</v>
      </c>
      <c r="X42" s="1243"/>
      <c r="Y42" s="3519"/>
      <c r="Z42" s="1242" t="str">
        <f t="shared" si="18"/>
        <v>内部装修</v>
      </c>
      <c r="AA42" s="1242">
        <f t="shared" si="15"/>
        <v>1</v>
      </c>
      <c r="AB42" s="1242">
        <f t="shared" si="16"/>
        <v>1</v>
      </c>
      <c r="AC42" s="1242">
        <f t="shared" si="17"/>
        <v>1</v>
      </c>
    </row>
    <row r="43" spans="1:29" ht="15">
      <c r="A43" s="402"/>
      <c r="B43" s="357" t="s">
        <v>1704</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517"/>
      <c r="Q43" s="1241" t="str">
        <f t="shared" si="11"/>
        <v>内部装修维护情况</v>
      </c>
      <c r="R43" s="657" t="s">
        <v>18</v>
      </c>
      <c r="S43" s="658">
        <f t="shared" si="12"/>
        <v>100</v>
      </c>
      <c r="T43" s="657" t="s">
        <v>18</v>
      </c>
      <c r="U43" s="658">
        <f t="shared" si="13"/>
        <v>100</v>
      </c>
      <c r="V43" s="657" t="s">
        <v>18</v>
      </c>
      <c r="W43" s="658">
        <f t="shared" si="14"/>
        <v>100</v>
      </c>
      <c r="X43" s="1243"/>
      <c r="Y43" s="3519"/>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517"/>
      <c r="Q44" s="523">
        <f t="shared" si="11"/>
        <v>111</v>
      </c>
      <c r="R44" s="654" t="s">
        <v>18</v>
      </c>
      <c r="S44" s="655">
        <f t="shared" si="12"/>
        <v>100</v>
      </c>
      <c r="T44" s="654" t="s">
        <v>18</v>
      </c>
      <c r="U44" s="655">
        <f t="shared" si="13"/>
        <v>100</v>
      </c>
      <c r="V44" s="654" t="s">
        <v>18</v>
      </c>
      <c r="W44" s="655">
        <f t="shared" si="14"/>
        <v>100</v>
      </c>
      <c r="X44" s="656"/>
      <c r="Y44" s="3519"/>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517"/>
      <c r="Q45" s="1241">
        <f t="shared" si="11"/>
        <v>111</v>
      </c>
      <c r="R45" s="657" t="s">
        <v>18</v>
      </c>
      <c r="S45" s="658">
        <f t="shared" si="12"/>
        <v>100</v>
      </c>
      <c r="T45" s="657" t="s">
        <v>18</v>
      </c>
      <c r="U45" s="658">
        <f t="shared" si="13"/>
        <v>100</v>
      </c>
      <c r="V45" s="657" t="s">
        <v>18</v>
      </c>
      <c r="W45" s="658">
        <f t="shared" si="14"/>
        <v>100</v>
      </c>
      <c r="X45" s="1243"/>
      <c r="Y45" s="3519"/>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518"/>
      <c r="Q46" s="1241">
        <f t="shared" si="11"/>
        <v>111</v>
      </c>
      <c r="R46" s="657" t="s">
        <v>17</v>
      </c>
      <c r="S46" s="658">
        <f t="shared" si="12"/>
        <v>100</v>
      </c>
      <c r="T46" s="657" t="s">
        <v>17</v>
      </c>
      <c r="U46" s="658">
        <f t="shared" si="13"/>
        <v>100</v>
      </c>
      <c r="V46" s="657" t="s">
        <v>17</v>
      </c>
      <c r="W46" s="658">
        <f t="shared" si="14"/>
        <v>100</v>
      </c>
      <c r="X46" s="1243"/>
      <c r="Y46" s="3520"/>
      <c r="Z46" s="1242">
        <f t="shared" si="18"/>
        <v>111</v>
      </c>
      <c r="AA46" s="1242">
        <f t="shared" si="15"/>
        <v>1</v>
      </c>
      <c r="AB46" s="1242">
        <f t="shared" si="16"/>
        <v>1</v>
      </c>
      <c r="AC46" s="1242">
        <f t="shared" si="17"/>
        <v>1</v>
      </c>
    </row>
    <row r="47" spans="1:29" ht="15">
      <c r="A47" s="409" t="s">
        <v>1705</v>
      </c>
      <c r="B47" s="410"/>
      <c r="C47" s="1059" t="s">
        <v>16</v>
      </c>
      <c r="D47" s="411"/>
      <c r="E47" s="412"/>
      <c r="F47" s="413"/>
      <c r="G47" s="414"/>
      <c r="H47" s="415"/>
      <c r="I47" s="412"/>
      <c r="J47" s="415"/>
      <c r="K47" s="1744"/>
      <c r="L47" s="2469"/>
      <c r="M47" s="2462"/>
      <c r="N47" s="2462"/>
      <c r="O47" s="2462"/>
      <c r="P47" s="3512" t="str">
        <f>A47</f>
        <v>成交单价（元/平方米）</v>
      </c>
      <c r="Q47" s="3512"/>
      <c r="R47" s="3513">
        <f>E47</f>
        <v>0</v>
      </c>
      <c r="S47" s="3513"/>
      <c r="T47" s="3513">
        <f>G47</f>
        <v>0</v>
      </c>
      <c r="U47" s="3513"/>
      <c r="V47" s="3513">
        <f>I47</f>
        <v>0</v>
      </c>
      <c r="W47" s="3513"/>
      <c r="X47" s="378"/>
      <c r="Y47" s="663"/>
      <c r="Z47" s="378"/>
      <c r="AA47" s="378"/>
      <c r="AB47" s="378"/>
      <c r="AC47" s="378"/>
    </row>
    <row r="48" spans="1:29" ht="15.75" thickBot="1">
      <c r="A48" s="416" t="s">
        <v>1706</v>
      </c>
      <c r="B48" s="417"/>
      <c r="C48" s="1060" t="e">
        <f>R49</f>
        <v>#DIV/0!</v>
      </c>
      <c r="D48" s="2118" t="s">
        <v>2133</v>
      </c>
      <c r="E48" s="1061" t="e">
        <f>R48</f>
        <v>#DIV/0!</v>
      </c>
      <c r="F48" s="2119"/>
      <c r="G48" s="1060" t="e">
        <f>T48</f>
        <v>#DIV/0!</v>
      </c>
      <c r="H48" s="2119"/>
      <c r="I48" s="1061" t="e">
        <f>V48</f>
        <v>#DIV/0!</v>
      </c>
      <c r="J48" s="2119"/>
      <c r="K48" s="2120">
        <f>F48+H48+J48</f>
        <v>0</v>
      </c>
      <c r="L48" s="2469"/>
      <c r="M48" s="2462"/>
      <c r="N48" s="2462"/>
      <c r="O48" s="2462"/>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378"/>
      <c r="Y48" s="378"/>
      <c r="Z48" s="378"/>
      <c r="AA48" s="378"/>
      <c r="AB48" s="378"/>
      <c r="AC48" s="378"/>
    </row>
    <row r="49" spans="1:29" ht="15.75" thickBot="1">
      <c r="A49" s="420" t="s">
        <v>1707</v>
      </c>
      <c r="B49" s="421"/>
      <c r="C49" s="1062" t="e">
        <f>R49</f>
        <v>#DIV/0!</v>
      </c>
      <c r="D49" s="344"/>
      <c r="E49" s="344"/>
      <c r="F49" s="344"/>
      <c r="G49" s="344"/>
      <c r="H49" s="344"/>
      <c r="I49" s="344"/>
      <c r="J49" s="344"/>
      <c r="K49" s="1745"/>
      <c r="L49" s="2469"/>
      <c r="M49" s="2462"/>
      <c r="N49" s="2462"/>
      <c r="O49" s="2462"/>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1708</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1709</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1710</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1711</v>
      </c>
      <c r="B57" s="378"/>
      <c r="C57" s="649"/>
      <c r="D57" s="649"/>
      <c r="E57" s="649"/>
      <c r="F57" s="650"/>
      <c r="G57" s="650"/>
      <c r="H57" s="649"/>
      <c r="I57" s="649"/>
      <c r="J57" s="649"/>
      <c r="K57" s="867"/>
      <c r="L57" s="868"/>
      <c r="M57" s="866"/>
      <c r="N57" s="866"/>
      <c r="O57" s="866"/>
      <c r="P57" s="1748"/>
      <c r="Q57" s="432"/>
    </row>
    <row r="58" spans="1:29" s="435" customFormat="1" ht="15">
      <c r="A58" s="433" t="s">
        <v>1712</v>
      </c>
      <c r="B58" s="434"/>
      <c r="C58" s="1083" t="str">
        <f>YEAR(C7)&amp;"-"&amp;MONTH(C7)</f>
        <v>2025-10</v>
      </c>
      <c r="D58" s="1082">
        <f>EDATE(C58,-1)</f>
        <v>45901</v>
      </c>
      <c r="E58" s="1082">
        <f>EDATE(D58,-1)</f>
        <v>45870</v>
      </c>
      <c r="F58" s="1082">
        <f t="shared" ref="F58:O58" si="19">EDATE(E58,-1)</f>
        <v>45839</v>
      </c>
      <c r="G58" s="1082">
        <f t="shared" si="19"/>
        <v>45809</v>
      </c>
      <c r="H58" s="1082">
        <f t="shared" si="19"/>
        <v>45778</v>
      </c>
      <c r="I58" s="1082">
        <f t="shared" si="19"/>
        <v>45748</v>
      </c>
      <c r="J58" s="1082">
        <f t="shared" si="19"/>
        <v>45717</v>
      </c>
      <c r="K58" s="1082">
        <f t="shared" si="19"/>
        <v>45689</v>
      </c>
      <c r="L58" s="1082">
        <f t="shared" si="19"/>
        <v>45658</v>
      </c>
      <c r="M58" s="1082">
        <f t="shared" si="19"/>
        <v>45627</v>
      </c>
      <c r="N58" s="1082">
        <f t="shared" si="19"/>
        <v>45597</v>
      </c>
      <c r="O58" s="1082">
        <f t="shared" si="19"/>
        <v>45566</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1713</v>
      </c>
      <c r="B60" s="443"/>
      <c r="C60" s="444"/>
      <c r="D60" s="445"/>
      <c r="E60" s="445"/>
      <c r="F60" s="445"/>
      <c r="G60" s="445"/>
      <c r="H60" s="445"/>
      <c r="I60" s="445"/>
      <c r="J60" s="445"/>
      <c r="K60" s="445"/>
      <c r="L60" s="445"/>
      <c r="M60" s="446"/>
      <c r="N60" s="445"/>
      <c r="O60" s="446"/>
      <c r="P60" s="1750"/>
      <c r="Q60" s="432"/>
    </row>
    <row r="61" spans="1:29" s="101" customFormat="1" ht="15">
      <c r="A61" s="448" t="s">
        <v>1714</v>
      </c>
      <c r="B61" s="437"/>
      <c r="C61" s="449" t="s">
        <v>1715</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1716</v>
      </c>
      <c r="B63" s="453" t="s">
        <v>1682</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1685</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1686</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1687</v>
      </c>
      <c r="B76" s="453" t="s">
        <v>1717</v>
      </c>
      <c r="C76" s="497" t="s">
        <v>1718</v>
      </c>
      <c r="D76" s="497" t="s">
        <v>1719</v>
      </c>
      <c r="E76" s="497" t="s">
        <v>1720</v>
      </c>
      <c r="F76" s="497" t="s">
        <v>1721</v>
      </c>
      <c r="G76" s="497" t="s">
        <v>1722</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1723</v>
      </c>
      <c r="C78" s="502" t="s">
        <v>1718</v>
      </c>
      <c r="D78" s="502" t="s">
        <v>1719</v>
      </c>
      <c r="E78" s="502" t="s">
        <v>1720</v>
      </c>
      <c r="F78" s="502" t="s">
        <v>1721</v>
      </c>
      <c r="G78" s="502" t="s">
        <v>1722</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1724</v>
      </c>
      <c r="C80" s="502" t="s">
        <v>1718</v>
      </c>
      <c r="D80" s="502" t="s">
        <v>1719</v>
      </c>
      <c r="E80" s="502" t="s">
        <v>1720</v>
      </c>
      <c r="F80" s="502" t="s">
        <v>1721</v>
      </c>
      <c r="G80" s="502" t="s">
        <v>1722</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1257</v>
      </c>
      <c r="C82" s="463" t="s">
        <v>1725</v>
      </c>
      <c r="D82" s="463" t="s">
        <v>1726</v>
      </c>
      <c r="E82" s="463" t="s">
        <v>1727</v>
      </c>
      <c r="F82" s="463" t="s">
        <v>1728</v>
      </c>
      <c r="G82" s="463" t="s">
        <v>1729</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1730</v>
      </c>
      <c r="C84" s="502" t="s">
        <v>1718</v>
      </c>
      <c r="D84" s="502" t="s">
        <v>1719</v>
      </c>
      <c r="E84" s="502" t="s">
        <v>1720</v>
      </c>
      <c r="F84" s="502" t="s">
        <v>1721</v>
      </c>
      <c r="G84" s="502" t="s">
        <v>1722</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1731</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1732</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1691</v>
      </c>
      <c r="B100" s="453" t="s">
        <v>1733</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1734</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1735</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1736</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1737</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1738</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1739</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1740</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1702</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1741</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1742</v>
      </c>
      <c r="C124" s="502" t="s">
        <v>1718</v>
      </c>
      <c r="D124" s="502" t="s">
        <v>1719</v>
      </c>
      <c r="E124" s="502" t="s">
        <v>1720</v>
      </c>
      <c r="F124" s="502" t="s">
        <v>1721</v>
      </c>
      <c r="G124" s="502" t="s">
        <v>1722</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1743</v>
      </c>
    </row>
    <row r="137" spans="1:17" ht="15">
      <c r="B137" s="1759" t="s">
        <v>1744</v>
      </c>
      <c r="C137" s="1760"/>
      <c r="D137" s="1760"/>
      <c r="E137" s="1760"/>
      <c r="F137" s="1760"/>
      <c r="G137" s="1761"/>
      <c r="H137" s="1762"/>
      <c r="I137" s="1763" t="s">
        <v>1745</v>
      </c>
      <c r="J137" s="1760"/>
      <c r="K137" s="1764"/>
    </row>
    <row r="138" spans="1:17" ht="15">
      <c r="B138" s="1765"/>
      <c r="C138" s="123" t="s">
        <v>1746</v>
      </c>
      <c r="D138" s="123" t="s">
        <v>1747</v>
      </c>
      <c r="E138" s="1766" t="s">
        <v>1748</v>
      </c>
      <c r="F138" s="1767" t="s">
        <v>1749</v>
      </c>
      <c r="G138" s="123" t="s">
        <v>1747</v>
      </c>
      <c r="H138" s="124" t="s">
        <v>1748</v>
      </c>
      <c r="I138" s="1768"/>
      <c r="J138" s="123" t="s">
        <v>1750</v>
      </c>
      <c r="K138" s="124" t="s">
        <v>1751</v>
      </c>
    </row>
    <row r="139" spans="1:17" ht="15">
      <c r="B139" s="794">
        <v>6</v>
      </c>
      <c r="C139" s="795">
        <v>96</v>
      </c>
      <c r="D139" s="1769" t="s">
        <v>1752</v>
      </c>
      <c r="E139" s="796">
        <v>100</v>
      </c>
      <c r="F139" s="797">
        <v>102.5</v>
      </c>
      <c r="G139" s="1769" t="s">
        <v>1752</v>
      </c>
      <c r="H139" s="798">
        <v>105</v>
      </c>
      <c r="I139" s="1770" t="s">
        <v>1753</v>
      </c>
      <c r="J139" s="795">
        <v>20</v>
      </c>
      <c r="K139" s="799">
        <f>C145/(J139-2)</f>
        <v>4.0555555555555553E-3</v>
      </c>
    </row>
    <row r="140" spans="1:17" ht="15">
      <c r="B140" s="800">
        <v>5</v>
      </c>
      <c r="C140" s="801">
        <v>100</v>
      </c>
      <c r="D140" s="801"/>
      <c r="E140" s="802"/>
      <c r="F140" s="803">
        <v>102</v>
      </c>
      <c r="G140" s="801"/>
      <c r="H140" s="804"/>
      <c r="I140" s="1771" t="s">
        <v>1754</v>
      </c>
      <c r="J140" s="257">
        <f>ROUNDUP((J139-1)/2,0)</f>
        <v>10</v>
      </c>
      <c r="K140" s="805">
        <v>100</v>
      </c>
    </row>
    <row r="141" spans="1:17" ht="15">
      <c r="B141" s="800">
        <v>4</v>
      </c>
      <c r="C141" s="801">
        <v>102</v>
      </c>
      <c r="D141" s="801"/>
      <c r="E141" s="802"/>
      <c r="F141" s="803">
        <v>101.5</v>
      </c>
      <c r="G141" s="801"/>
      <c r="H141" s="804"/>
      <c r="I141" s="1771" t="s">
        <v>1755</v>
      </c>
      <c r="J141" s="257">
        <v>1</v>
      </c>
      <c r="K141" s="806">
        <f>ROUND(100+(J141-J140)*K139*100,1)</f>
        <v>96.4</v>
      </c>
    </row>
    <row r="142" spans="1:17" ht="15">
      <c r="B142" s="800">
        <v>3</v>
      </c>
      <c r="C142" s="801">
        <v>103</v>
      </c>
      <c r="D142" s="801"/>
      <c r="E142" s="802"/>
      <c r="F142" s="803">
        <v>101</v>
      </c>
      <c r="G142" s="801"/>
      <c r="H142" s="804"/>
      <c r="I142" s="1771" t="s">
        <v>1756</v>
      </c>
      <c r="J142" s="257">
        <f>J139</f>
        <v>20</v>
      </c>
      <c r="K142" s="807">
        <v>95</v>
      </c>
    </row>
    <row r="143" spans="1:17" ht="15">
      <c r="B143" s="800">
        <v>2</v>
      </c>
      <c r="C143" s="801">
        <v>100</v>
      </c>
      <c r="D143" s="801"/>
      <c r="E143" s="802"/>
      <c r="F143" s="803">
        <v>100.5</v>
      </c>
      <c r="G143" s="801"/>
      <c r="H143" s="804"/>
      <c r="I143" s="1771" t="s">
        <v>1757</v>
      </c>
      <c r="J143" s="801">
        <v>15</v>
      </c>
      <c r="K143" s="806">
        <f>ROUND(100+(J143-J140)*K139*100,1)</f>
        <v>102</v>
      </c>
    </row>
    <row r="144" spans="1:17" ht="15">
      <c r="B144" s="800">
        <v>1</v>
      </c>
      <c r="C144" s="801">
        <v>98</v>
      </c>
      <c r="D144" s="1772" t="s">
        <v>1758</v>
      </c>
      <c r="E144" s="802">
        <v>102</v>
      </c>
      <c r="F144" s="808">
        <v>100</v>
      </c>
      <c r="G144" s="1772" t="s">
        <v>1758</v>
      </c>
      <c r="H144" s="804">
        <v>105</v>
      </c>
      <c r="I144" s="1771" t="s">
        <v>1757</v>
      </c>
      <c r="J144" s="801">
        <v>18</v>
      </c>
      <c r="K144" s="806">
        <f>ROUND(100+(J144-J140)*K139*100,1)</f>
        <v>103.2</v>
      </c>
    </row>
    <row r="145" spans="2:11" ht="15.75" thickBot="1">
      <c r="B145" s="1773" t="s">
        <v>1759</v>
      </c>
      <c r="C145" s="809">
        <f>ROUND(MAX(C139:C144)/MIN(C139:C144)-1,3)</f>
        <v>7.2999999999999995E-2</v>
      </c>
      <c r="D145" s="810"/>
      <c r="E145" s="810"/>
      <c r="F145" s="1774" t="s">
        <v>1760</v>
      </c>
      <c r="G145" s="1775"/>
      <c r="H145" s="1776"/>
      <c r="I145" s="1777" t="s">
        <v>1757</v>
      </c>
      <c r="J145" s="811">
        <v>8</v>
      </c>
      <c r="K145" s="812">
        <f>ROUND(100+(J145-J140)*K139*100,1)</f>
        <v>99.2</v>
      </c>
    </row>
    <row r="147" spans="2:11">
      <c r="B147" s="1758" t="s">
        <v>1761</v>
      </c>
    </row>
    <row r="148" spans="2:11">
      <c r="B148" s="175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1763</v>
      </c>
      <c r="C1" s="1133" t="s">
        <v>1659</v>
      </c>
      <c r="D1" s="1120"/>
      <c r="E1" s="3097"/>
      <c r="F1" s="1712"/>
      <c r="G1" s="1130" t="s">
        <v>1764</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1459</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1461</v>
      </c>
      <c r="B3" s="529">
        <f>IF(C2="——",C49,ROUND(B2*10000/D3,0))</f>
        <v>0</v>
      </c>
      <c r="C3" s="337" t="s">
        <v>1765</v>
      </c>
      <c r="D3" s="336">
        <f>IF(D1="",'数据-汇总表'!E3,SUMIF('数据-汇总表'!$C19:$C33,D1,'数据-汇总表'!$E19:$E33))</f>
        <v>45214.01</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31" t="s">
        <v>1772</v>
      </c>
      <c r="Q4" s="3532"/>
      <c r="R4" s="3537" t="s">
        <v>1768</v>
      </c>
      <c r="S4" s="3538"/>
      <c r="T4" s="3537" t="s">
        <v>1769</v>
      </c>
      <c r="U4" s="3538"/>
      <c r="V4" s="3513" t="s">
        <v>1770</v>
      </c>
      <c r="W4" s="3513"/>
      <c r="X4" s="1243"/>
      <c r="Y4" s="3537" t="s">
        <v>1772</v>
      </c>
      <c r="Z4" s="3538"/>
      <c r="AA4" s="3524" t="s">
        <v>1768</v>
      </c>
      <c r="AB4" s="3513" t="s">
        <v>1769</v>
      </c>
      <c r="AC4" s="3524" t="s">
        <v>1770</v>
      </c>
    </row>
    <row r="5" spans="1:29" ht="15">
      <c r="A5" s="341"/>
      <c r="B5" s="342"/>
      <c r="C5" s="3545" t="s">
        <v>1670</v>
      </c>
      <c r="D5" s="3546"/>
      <c r="E5" s="3552" t="s">
        <v>1671</v>
      </c>
      <c r="F5" s="3553"/>
      <c r="G5" s="3545" t="s">
        <v>1672</v>
      </c>
      <c r="H5" s="3546"/>
      <c r="I5" s="3545" t="s">
        <v>1673</v>
      </c>
      <c r="J5" s="3546"/>
      <c r="K5" s="530"/>
      <c r="L5" s="2461"/>
      <c r="M5" s="2462"/>
      <c r="N5" s="2462"/>
      <c r="O5" s="2462"/>
      <c r="P5" s="3533"/>
      <c r="Q5" s="3534"/>
      <c r="R5" s="3539"/>
      <c r="S5" s="3540"/>
      <c r="T5" s="3539"/>
      <c r="U5" s="3540"/>
      <c r="V5" s="3513"/>
      <c r="W5" s="3513"/>
      <c r="X5" s="1243"/>
      <c r="Y5" s="3539"/>
      <c r="Z5" s="3540"/>
      <c r="AA5" s="3525"/>
      <c r="AB5" s="3513"/>
      <c r="AC5" s="3525"/>
    </row>
    <row r="6" spans="1:29" ht="15.75" thickBot="1">
      <c r="A6" s="343"/>
      <c r="B6" s="344"/>
      <c r="C6" s="3543" t="s">
        <v>1674</v>
      </c>
      <c r="D6" s="3544"/>
      <c r="E6" s="3550" t="s">
        <v>1674</v>
      </c>
      <c r="F6" s="3551"/>
      <c r="G6" s="3543" t="s">
        <v>1674</v>
      </c>
      <c r="H6" s="3544"/>
      <c r="I6" s="3543" t="s">
        <v>1674</v>
      </c>
      <c r="J6" s="3544"/>
      <c r="K6" s="530" t="s">
        <v>1675</v>
      </c>
      <c r="L6" s="2461"/>
      <c r="M6" s="2462"/>
      <c r="N6" s="2462"/>
      <c r="O6" s="2462"/>
      <c r="P6" s="3535"/>
      <c r="Q6" s="3536"/>
      <c r="R6" s="3539"/>
      <c r="S6" s="3540"/>
      <c r="T6" s="3541"/>
      <c r="U6" s="3542"/>
      <c r="V6" s="3513"/>
      <c r="W6" s="3513"/>
      <c r="X6" s="1243"/>
      <c r="Y6" s="3541"/>
      <c r="Z6" s="3542"/>
      <c r="AA6" s="3526"/>
      <c r="AB6" s="3513"/>
      <c r="AC6" s="3526"/>
    </row>
    <row r="7" spans="1:29" s="101" customFormat="1" ht="15.75" thickBot="1">
      <c r="A7" s="345" t="s">
        <v>1676</v>
      </c>
      <c r="B7" s="346"/>
      <c r="C7" s="347">
        <f>'数据-取费表'!B2</f>
        <v>45952</v>
      </c>
      <c r="D7" s="348">
        <v>100</v>
      </c>
      <c r="E7" s="349"/>
      <c r="F7" s="350">
        <f>SUMIF(58:58,YEAR(E7)&amp;"-"&amp;MONTH(E7),59:59)</f>
        <v>0</v>
      </c>
      <c r="G7" s="349"/>
      <c r="H7" s="348">
        <f>SUMIF(58:58,YEAR(G7)&amp;"-"&amp;MONTH(G7),59:59)</f>
        <v>0</v>
      </c>
      <c r="I7" s="349"/>
      <c r="J7" s="348">
        <f>SUMIF(58:58,YEAR(I7)&amp;"-"&amp;MONTH(I7),59:59)</f>
        <v>0</v>
      </c>
      <c r="K7" s="38"/>
      <c r="L7" s="2463"/>
      <c r="M7" s="2416"/>
      <c r="N7" s="2416"/>
      <c r="O7" s="2416"/>
      <c r="P7" s="3547" t="s">
        <v>1677</v>
      </c>
      <c r="Q7" s="3549"/>
      <c r="R7" s="654" t="s">
        <v>14</v>
      </c>
      <c r="S7" s="655">
        <f t="shared" ref="S7:S15" si="0">F7</f>
        <v>0</v>
      </c>
      <c r="T7" s="654" t="s">
        <v>14</v>
      </c>
      <c r="U7" s="655">
        <f t="shared" ref="U7:U15" si="1">H7</f>
        <v>0</v>
      </c>
      <c r="V7" s="654" t="s">
        <v>14</v>
      </c>
      <c r="W7" s="655">
        <f t="shared" ref="W7:W15" si="2">J7</f>
        <v>0</v>
      </c>
      <c r="X7" s="656"/>
      <c r="Y7" s="3547" t="s">
        <v>1677</v>
      </c>
      <c r="Z7" s="3548"/>
      <c r="AA7" s="50" t="e">
        <f>D7/F7</f>
        <v>#DIV/0!</v>
      </c>
      <c r="AB7" s="50" t="e">
        <f>D7/H7</f>
        <v>#DIV/0!</v>
      </c>
      <c r="AC7" s="50" t="e">
        <f>D7/J7</f>
        <v>#DIV/0!</v>
      </c>
    </row>
    <row r="8" spans="1:29" s="101" customFormat="1" ht="15.75" thickBot="1">
      <c r="A8" s="345" t="s">
        <v>1678</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547" t="s">
        <v>1680</v>
      </c>
      <c r="Q8" s="3548"/>
      <c r="R8" s="654" t="s">
        <v>14</v>
      </c>
      <c r="S8" s="655">
        <f t="shared" si="0"/>
        <v>100</v>
      </c>
      <c r="T8" s="654" t="s">
        <v>14</v>
      </c>
      <c r="U8" s="655">
        <f t="shared" si="1"/>
        <v>100</v>
      </c>
      <c r="V8" s="654" t="s">
        <v>14</v>
      </c>
      <c r="W8" s="655">
        <f t="shared" si="2"/>
        <v>100</v>
      </c>
      <c r="X8" s="656"/>
      <c r="Y8" s="3547" t="s">
        <v>1680</v>
      </c>
      <c r="Z8" s="3548"/>
      <c r="AA8" s="50">
        <f t="shared" ref="AA8:AA46" si="3">D8/F8</f>
        <v>1</v>
      </c>
      <c r="AB8" s="50">
        <f t="shared" ref="AB8:AB46" si="4">D8/H8</f>
        <v>1</v>
      </c>
      <c r="AC8" s="50">
        <f t="shared" ref="AC8:AC46" si="5">D8/J8</f>
        <v>1</v>
      </c>
    </row>
    <row r="9" spans="1:29" s="101" customFormat="1">
      <c r="A9" s="352" t="s">
        <v>1681</v>
      </c>
      <c r="B9" s="60" t="s">
        <v>1682</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523"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50">
        <f t="shared" si="5"/>
        <v>1</v>
      </c>
    </row>
    <row r="10" spans="1:29" s="359" customFormat="1" ht="27">
      <c r="A10" s="356"/>
      <c r="B10" s="357" t="s">
        <v>1685</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523"/>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523"/>
      <c r="Q11" s="523" t="str">
        <f t="shared" si="6"/>
        <v>容积率</v>
      </c>
      <c r="R11" s="654" t="s">
        <v>14</v>
      </c>
      <c r="S11" s="655" t="e">
        <f t="shared" si="0"/>
        <v>#N/A</v>
      </c>
      <c r="T11" s="654" t="s">
        <v>14</v>
      </c>
      <c r="U11" s="655" t="e">
        <f t="shared" si="1"/>
        <v>#N/A</v>
      </c>
      <c r="V11" s="654" t="s">
        <v>14</v>
      </c>
      <c r="W11" s="655" t="e">
        <f t="shared" si="2"/>
        <v>#N/A</v>
      </c>
      <c r="X11" s="656"/>
      <c r="Y11" s="3368"/>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523"/>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523"/>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523"/>
      <c r="Q14" s="523">
        <f t="shared" si="6"/>
        <v>111</v>
      </c>
      <c r="R14" s="654" t="s">
        <v>14</v>
      </c>
      <c r="S14" s="655">
        <f t="shared" si="0"/>
        <v>100</v>
      </c>
      <c r="T14" s="654" t="s">
        <v>14</v>
      </c>
      <c r="U14" s="655">
        <f t="shared" si="1"/>
        <v>100</v>
      </c>
      <c r="V14" s="654" t="s">
        <v>14</v>
      </c>
      <c r="W14" s="655">
        <f t="shared" si="2"/>
        <v>100</v>
      </c>
      <c r="X14" s="656"/>
      <c r="Y14" s="3368"/>
      <c r="Z14" s="50">
        <f t="shared" si="7"/>
        <v>111</v>
      </c>
      <c r="AA14" s="50">
        <f t="shared" si="3"/>
        <v>1</v>
      </c>
      <c r="AB14" s="50">
        <f t="shared" si="4"/>
        <v>1</v>
      </c>
      <c r="AC14" s="50">
        <f t="shared" si="5"/>
        <v>1</v>
      </c>
    </row>
    <row r="15" spans="1:29" ht="15">
      <c r="A15" s="372" t="s">
        <v>1687</v>
      </c>
      <c r="B15" s="58" t="s">
        <v>1774</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521" t="s">
        <v>1688</v>
      </c>
      <c r="Q15" s="1241" t="str">
        <f t="shared" si="6"/>
        <v>商业繁华度</v>
      </c>
      <c r="R15" s="657" t="s">
        <v>14</v>
      </c>
      <c r="S15" s="658">
        <f t="shared" si="0"/>
        <v>100</v>
      </c>
      <c r="T15" s="657" t="s">
        <v>14</v>
      </c>
      <c r="U15" s="658">
        <f t="shared" si="1"/>
        <v>100</v>
      </c>
      <c r="V15" s="657" t="s">
        <v>14</v>
      </c>
      <c r="W15" s="658">
        <f t="shared" si="2"/>
        <v>100</v>
      </c>
      <c r="X15" s="1243"/>
      <c r="Y15" s="3514" t="s">
        <v>1688</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522"/>
      <c r="Q16" s="1241"/>
      <c r="R16" s="657"/>
      <c r="S16" s="658"/>
      <c r="T16" s="657"/>
      <c r="U16" s="658"/>
      <c r="V16" s="657"/>
      <c r="W16" s="658"/>
      <c r="X16" s="1243"/>
      <c r="Y16" s="3515"/>
      <c r="Z16" s="1242"/>
      <c r="AA16" s="1242">
        <v>1</v>
      </c>
      <c r="AB16" s="1242">
        <v>1</v>
      </c>
      <c r="AC16" s="1242">
        <v>1</v>
      </c>
    </row>
    <row r="17" spans="1:29" ht="15">
      <c r="A17" s="360"/>
      <c r="B17" s="383" t="s">
        <v>1256</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522"/>
      <c r="Q17" s="1241" t="str">
        <f>B17</f>
        <v>交通便捷度</v>
      </c>
      <c r="R17" s="657" t="s">
        <v>14</v>
      </c>
      <c r="S17" s="658">
        <f>F17</f>
        <v>100</v>
      </c>
      <c r="T17" s="657" t="s">
        <v>14</v>
      </c>
      <c r="U17" s="658">
        <f>H17</f>
        <v>100</v>
      </c>
      <c r="V17" s="657" t="s">
        <v>14</v>
      </c>
      <c r="W17" s="658">
        <f>J17</f>
        <v>100</v>
      </c>
      <c r="X17" s="1243"/>
      <c r="Y17" s="3515"/>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522"/>
      <c r="Q18" s="1241"/>
      <c r="R18" s="657"/>
      <c r="S18" s="658"/>
      <c r="T18" s="657"/>
      <c r="U18" s="658"/>
      <c r="V18" s="657"/>
      <c r="W18" s="658"/>
      <c r="X18" s="1243"/>
      <c r="Y18" s="3515"/>
      <c r="Z18" s="1242"/>
      <c r="AA18" s="1242">
        <v>1</v>
      </c>
      <c r="AB18" s="1242">
        <v>1</v>
      </c>
      <c r="AC18" s="1242">
        <v>1</v>
      </c>
    </row>
    <row r="19" spans="1:29" ht="15">
      <c r="A19" s="360"/>
      <c r="B19" s="383" t="s">
        <v>1775</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522"/>
      <c r="Q19" s="1241" t="str">
        <f>B19</f>
        <v>公共配套设施</v>
      </c>
      <c r="R19" s="657" t="s">
        <v>14</v>
      </c>
      <c r="S19" s="658">
        <f>F19</f>
        <v>100</v>
      </c>
      <c r="T19" s="657" t="s">
        <v>14</v>
      </c>
      <c r="U19" s="658">
        <f>H19</f>
        <v>100</v>
      </c>
      <c r="V19" s="657" t="s">
        <v>14</v>
      </c>
      <c r="W19" s="658">
        <f>J19</f>
        <v>100</v>
      </c>
      <c r="X19" s="1243"/>
      <c r="Y19" s="3515"/>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522"/>
      <c r="Q20" s="1241"/>
      <c r="R20" s="657"/>
      <c r="S20" s="658"/>
      <c r="T20" s="657"/>
      <c r="U20" s="658"/>
      <c r="V20" s="657"/>
      <c r="W20" s="658"/>
      <c r="X20" s="1243"/>
      <c r="Y20" s="3515"/>
      <c r="Z20" s="1242"/>
      <c r="AA20" s="1242">
        <v>1</v>
      </c>
      <c r="AB20" s="1242">
        <v>1</v>
      </c>
      <c r="AC20" s="1242">
        <v>1</v>
      </c>
    </row>
    <row r="21" spans="1:29" ht="15">
      <c r="A21" s="360"/>
      <c r="B21" s="579" t="s">
        <v>1776</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522"/>
      <c r="Q21" s="1241" t="str">
        <f>B21</f>
        <v>基础设施水平</v>
      </c>
      <c r="R21" s="657" t="s">
        <v>14</v>
      </c>
      <c r="S21" s="658">
        <f>F21</f>
        <v>100</v>
      </c>
      <c r="T21" s="657" t="s">
        <v>14</v>
      </c>
      <c r="U21" s="658">
        <f>H21</f>
        <v>100</v>
      </c>
      <c r="V21" s="657" t="s">
        <v>14</v>
      </c>
      <c r="W21" s="658">
        <f>J21</f>
        <v>100</v>
      </c>
      <c r="X21" s="1243"/>
      <c r="Y21" s="351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522"/>
      <c r="Q22" s="1241"/>
      <c r="R22" s="657"/>
      <c r="S22" s="658"/>
      <c r="T22" s="657"/>
      <c r="U22" s="658"/>
      <c r="V22" s="657"/>
      <c r="W22" s="658"/>
      <c r="X22" s="1243"/>
      <c r="Y22" s="3515"/>
      <c r="Z22" s="1242"/>
      <c r="AA22" s="1242">
        <v>1</v>
      </c>
      <c r="AB22" s="1242">
        <v>1</v>
      </c>
      <c r="AC22" s="1242">
        <v>1</v>
      </c>
    </row>
    <row r="23" spans="1:29" ht="15">
      <c r="A23" s="360"/>
      <c r="B23" s="383" t="s">
        <v>1258</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522"/>
      <c r="Q23" s="1241" t="str">
        <f>B23</f>
        <v>自然及人文环境</v>
      </c>
      <c r="R23" s="657" t="s">
        <v>14</v>
      </c>
      <c r="S23" s="658">
        <f>F23</f>
        <v>100</v>
      </c>
      <c r="T23" s="657" t="s">
        <v>14</v>
      </c>
      <c r="U23" s="658">
        <f>H23</f>
        <v>100</v>
      </c>
      <c r="V23" s="657" t="s">
        <v>14</v>
      </c>
      <c r="W23" s="658">
        <f>J23</f>
        <v>100</v>
      </c>
      <c r="X23" s="1243"/>
      <c r="Y23" s="3515"/>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522"/>
      <c r="Q24" s="1241"/>
      <c r="R24" s="657"/>
      <c r="S24" s="658"/>
      <c r="T24" s="657"/>
      <c r="U24" s="658"/>
      <c r="V24" s="657"/>
      <c r="W24" s="658"/>
      <c r="X24" s="1243"/>
      <c r="Y24" s="3515"/>
      <c r="Z24" s="1242"/>
      <c r="AA24" s="1242">
        <v>1</v>
      </c>
      <c r="AB24" s="1242">
        <v>1</v>
      </c>
      <c r="AC24" s="1242">
        <v>1</v>
      </c>
    </row>
    <row r="25" spans="1:29" ht="15">
      <c r="A25" s="360"/>
      <c r="B25" s="357" t="s">
        <v>1777</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522"/>
      <c r="Q25" s="1241" t="str">
        <f t="shared" ref="Q25:Q46" si="11">B25</f>
        <v>临街状况</v>
      </c>
      <c r="R25" s="657" t="s">
        <v>14</v>
      </c>
      <c r="S25" s="658">
        <f>F25</f>
        <v>100</v>
      </c>
      <c r="T25" s="657" t="s">
        <v>14</v>
      </c>
      <c r="U25" s="658">
        <f>H25</f>
        <v>100</v>
      </c>
      <c r="V25" s="657" t="s">
        <v>14</v>
      </c>
      <c r="W25" s="658">
        <f>J25</f>
        <v>100</v>
      </c>
      <c r="X25" s="1243"/>
      <c r="Y25" s="3515"/>
      <c r="Z25" s="1242" t="str">
        <f>Q25</f>
        <v>临街状况</v>
      </c>
      <c r="AA25" s="1242">
        <f t="shared" si="3"/>
        <v>1</v>
      </c>
      <c r="AB25" s="1242">
        <f t="shared" si="4"/>
        <v>1</v>
      </c>
      <c r="AC25" s="1242">
        <f t="shared" si="5"/>
        <v>1</v>
      </c>
    </row>
    <row r="26" spans="1:29" ht="15">
      <c r="A26" s="360"/>
      <c r="B26" s="1044" t="s">
        <v>1778</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522"/>
      <c r="Q26" s="1241" t="str">
        <f t="shared" si="11"/>
        <v>平面位置/可视性</v>
      </c>
      <c r="R26" s="657" t="s">
        <v>14</v>
      </c>
      <c r="S26" s="658">
        <f>F26</f>
        <v>100</v>
      </c>
      <c r="T26" s="657" t="s">
        <v>14</v>
      </c>
      <c r="U26" s="658">
        <f>H26</f>
        <v>100</v>
      </c>
      <c r="V26" s="657" t="s">
        <v>14</v>
      </c>
      <c r="W26" s="658">
        <f>J26</f>
        <v>100</v>
      </c>
      <c r="X26" s="1243"/>
      <c r="Y26" s="3515"/>
      <c r="Z26" s="1242" t="str">
        <f>Q26</f>
        <v>平面位置/可视性</v>
      </c>
      <c r="AA26" s="1242">
        <f t="shared" si="3"/>
        <v>1</v>
      </c>
      <c r="AB26" s="1242">
        <f t="shared" si="4"/>
        <v>1</v>
      </c>
      <c r="AC26" s="1242">
        <f t="shared" si="5"/>
        <v>1</v>
      </c>
    </row>
    <row r="27" spans="1:29" s="101" customFormat="1" ht="15">
      <c r="A27" s="363"/>
      <c r="B27" s="383" t="s">
        <v>1779</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522"/>
      <c r="Q27" s="523" t="str">
        <f t="shared" si="11"/>
        <v>人流量</v>
      </c>
      <c r="R27" s="654" t="s">
        <v>14</v>
      </c>
      <c r="S27" s="655">
        <f>F27</f>
        <v>100</v>
      </c>
      <c r="T27" s="654" t="s">
        <v>14</v>
      </c>
      <c r="U27" s="655">
        <f>H27</f>
        <v>100</v>
      </c>
      <c r="V27" s="654" t="s">
        <v>14</v>
      </c>
      <c r="W27" s="655">
        <f>J27</f>
        <v>100</v>
      </c>
      <c r="X27" s="656"/>
      <c r="Y27" s="3515"/>
      <c r="Z27" s="50" t="str">
        <f>Q27</f>
        <v>人流量</v>
      </c>
      <c r="AA27" s="1242">
        <f>D27/F27</f>
        <v>1</v>
      </c>
      <c r="AB27" s="1242">
        <f>D27/H27</f>
        <v>1</v>
      </c>
      <c r="AC27" s="1242">
        <f>D27/J27</f>
        <v>1</v>
      </c>
    </row>
    <row r="28" spans="1:29" ht="15">
      <c r="A28" s="360"/>
      <c r="B28" s="357" t="s">
        <v>1780</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522"/>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515"/>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522"/>
      <c r="Q29" s="1241">
        <f t="shared" si="11"/>
        <v>111</v>
      </c>
      <c r="R29" s="657" t="s">
        <v>14</v>
      </c>
      <c r="S29" s="658">
        <f t="shared" si="12"/>
        <v>100</v>
      </c>
      <c r="T29" s="657" t="s">
        <v>14</v>
      </c>
      <c r="U29" s="658">
        <f t="shared" si="13"/>
        <v>100</v>
      </c>
      <c r="V29" s="657" t="s">
        <v>14</v>
      </c>
      <c r="W29" s="658">
        <f t="shared" si="14"/>
        <v>100</v>
      </c>
      <c r="X29" s="1243"/>
      <c r="Y29" s="3515"/>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522"/>
      <c r="Q30" s="1241">
        <f t="shared" si="11"/>
        <v>111</v>
      </c>
      <c r="R30" s="657" t="s">
        <v>14</v>
      </c>
      <c r="S30" s="658">
        <f t="shared" si="12"/>
        <v>100</v>
      </c>
      <c r="T30" s="657" t="s">
        <v>14</v>
      </c>
      <c r="U30" s="658">
        <f t="shared" si="13"/>
        <v>100</v>
      </c>
      <c r="V30" s="657" t="s">
        <v>14</v>
      </c>
      <c r="W30" s="658">
        <f t="shared" si="14"/>
        <v>100</v>
      </c>
      <c r="X30" s="1243"/>
      <c r="Y30" s="3515"/>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522"/>
      <c r="Q31" s="1241">
        <f t="shared" si="11"/>
        <v>111</v>
      </c>
      <c r="R31" s="657" t="s">
        <v>14</v>
      </c>
      <c r="S31" s="658">
        <f t="shared" si="12"/>
        <v>100</v>
      </c>
      <c r="T31" s="657" t="s">
        <v>14</v>
      </c>
      <c r="U31" s="658">
        <f t="shared" si="13"/>
        <v>100</v>
      </c>
      <c r="V31" s="657" t="s">
        <v>14</v>
      </c>
      <c r="W31" s="658">
        <f t="shared" si="14"/>
        <v>100</v>
      </c>
      <c r="X31" s="1243"/>
      <c r="Y31" s="3515"/>
      <c r="Z31" s="1242">
        <f t="shared" si="15"/>
        <v>111</v>
      </c>
      <c r="AA31" s="1242">
        <f t="shared" si="3"/>
        <v>1</v>
      </c>
      <c r="AB31" s="1242">
        <f t="shared" si="4"/>
        <v>1</v>
      </c>
      <c r="AC31" s="1242">
        <f t="shared" si="5"/>
        <v>1</v>
      </c>
    </row>
    <row r="32" spans="1:29" ht="15">
      <c r="A32" s="372" t="s">
        <v>1691</v>
      </c>
      <c r="B32" s="60" t="s">
        <v>1781</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516" t="s">
        <v>1693</v>
      </c>
      <c r="Q32" s="1241" t="str">
        <f t="shared" si="11"/>
        <v>商业类型</v>
      </c>
      <c r="R32" s="657" t="s">
        <v>14</v>
      </c>
      <c r="S32" s="658">
        <f t="shared" si="12"/>
        <v>100</v>
      </c>
      <c r="T32" s="657" t="s">
        <v>14</v>
      </c>
      <c r="U32" s="658">
        <f t="shared" si="13"/>
        <v>100</v>
      </c>
      <c r="V32" s="657" t="s">
        <v>14</v>
      </c>
      <c r="W32" s="658">
        <f t="shared" si="14"/>
        <v>100</v>
      </c>
      <c r="X32" s="1243"/>
      <c r="Y32" s="3519" t="s">
        <v>1693</v>
      </c>
      <c r="Z32" s="1242" t="str">
        <f t="shared" si="15"/>
        <v>商业类型</v>
      </c>
      <c r="AA32" s="1242">
        <f t="shared" si="3"/>
        <v>1</v>
      </c>
      <c r="AB32" s="1242">
        <f t="shared" si="4"/>
        <v>1</v>
      </c>
      <c r="AC32" s="1242">
        <f t="shared" si="5"/>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517"/>
      <c r="Q33" s="524" t="str">
        <f t="shared" si="11"/>
        <v>项目建筑规模</v>
      </c>
      <c r="R33" s="659" t="s">
        <v>14</v>
      </c>
      <c r="S33" s="660" t="e">
        <f t="shared" si="12"/>
        <v>#N/A</v>
      </c>
      <c r="T33" s="659" t="s">
        <v>14</v>
      </c>
      <c r="U33" s="660" t="e">
        <f t="shared" si="13"/>
        <v>#N/A</v>
      </c>
      <c r="V33" s="659" t="s">
        <v>14</v>
      </c>
      <c r="W33" s="660" t="e">
        <f t="shared" si="14"/>
        <v>#N/A</v>
      </c>
      <c r="X33" s="661"/>
      <c r="Y33" s="3519"/>
      <c r="Z33" s="662" t="str">
        <f t="shared" si="15"/>
        <v>项目建筑规模</v>
      </c>
      <c r="AA33" s="1242" t="e">
        <f t="shared" si="3"/>
        <v>#N/A</v>
      </c>
      <c r="AB33" s="1242" t="e">
        <f t="shared" si="4"/>
        <v>#N/A</v>
      </c>
      <c r="AC33" s="1242" t="e">
        <f t="shared" si="5"/>
        <v>#N/A</v>
      </c>
    </row>
    <row r="34" spans="1:29" ht="15">
      <c r="A34" s="402"/>
      <c r="B34" s="357" t="s">
        <v>1695</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517"/>
      <c r="Q34" s="1241" t="str">
        <f t="shared" si="11"/>
        <v>建筑结构</v>
      </c>
      <c r="R34" s="657" t="s">
        <v>14</v>
      </c>
      <c r="S34" s="658">
        <f t="shared" si="12"/>
        <v>100</v>
      </c>
      <c r="T34" s="657" t="s">
        <v>14</v>
      </c>
      <c r="U34" s="658">
        <f t="shared" si="13"/>
        <v>100</v>
      </c>
      <c r="V34" s="657" t="s">
        <v>14</v>
      </c>
      <c r="W34" s="658">
        <f t="shared" si="14"/>
        <v>100</v>
      </c>
      <c r="X34" s="1243"/>
      <c r="Y34" s="3519"/>
      <c r="Z34" s="1242" t="str">
        <f t="shared" si="15"/>
        <v>建筑结构</v>
      </c>
      <c r="AA34" s="1242">
        <f t="shared" si="3"/>
        <v>1</v>
      </c>
      <c r="AB34" s="1242">
        <f t="shared" si="4"/>
        <v>1</v>
      </c>
      <c r="AC34" s="1242">
        <f t="shared" si="5"/>
        <v>1</v>
      </c>
    </row>
    <row r="35" spans="1:29" ht="15">
      <c r="A35" s="402"/>
      <c r="B35" s="357" t="s">
        <v>1782</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517"/>
      <c r="Q35" s="1241" t="str">
        <f t="shared" si="11"/>
        <v>公共部分装修</v>
      </c>
      <c r="R35" s="657" t="s">
        <v>14</v>
      </c>
      <c r="S35" s="658">
        <f t="shared" si="12"/>
        <v>100</v>
      </c>
      <c r="T35" s="657" t="s">
        <v>14</v>
      </c>
      <c r="U35" s="658">
        <f t="shared" si="13"/>
        <v>100</v>
      </c>
      <c r="V35" s="657" t="s">
        <v>14</v>
      </c>
      <c r="W35" s="658">
        <f t="shared" si="14"/>
        <v>100</v>
      </c>
      <c r="X35" s="1243"/>
      <c r="Y35" s="3519"/>
      <c r="Z35" s="1242" t="str">
        <f t="shared" si="15"/>
        <v>公共部分装修</v>
      </c>
      <c r="AA35" s="1242">
        <f t="shared" si="3"/>
        <v>1</v>
      </c>
      <c r="AB35" s="1242">
        <f t="shared" si="4"/>
        <v>1</v>
      </c>
      <c r="AC35" s="1242">
        <f t="shared" si="5"/>
        <v>1</v>
      </c>
    </row>
    <row r="36" spans="1:29" ht="15">
      <c r="A36" s="402"/>
      <c r="B36" s="357" t="s">
        <v>1783</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517"/>
      <c r="Q36" s="1241" t="str">
        <f t="shared" si="11"/>
        <v>成新度</v>
      </c>
      <c r="R36" s="657" t="s">
        <v>14</v>
      </c>
      <c r="S36" s="658" t="e">
        <f t="shared" si="12"/>
        <v>#N/A</v>
      </c>
      <c r="T36" s="657" t="s">
        <v>14</v>
      </c>
      <c r="U36" s="658" t="e">
        <f t="shared" si="13"/>
        <v>#N/A</v>
      </c>
      <c r="V36" s="657" t="s">
        <v>14</v>
      </c>
      <c r="W36" s="658" t="e">
        <f t="shared" si="14"/>
        <v>#N/A</v>
      </c>
      <c r="X36" s="1243"/>
      <c r="Y36" s="3519"/>
      <c r="Z36" s="1242" t="str">
        <f t="shared" si="15"/>
        <v>成新度</v>
      </c>
      <c r="AA36" s="1242" t="e">
        <f t="shared" si="3"/>
        <v>#N/A</v>
      </c>
      <c r="AB36" s="1242" t="e">
        <f t="shared" si="4"/>
        <v>#N/A</v>
      </c>
      <c r="AC36" s="1242" t="e">
        <f t="shared" si="5"/>
        <v>#N/A</v>
      </c>
    </row>
    <row r="37" spans="1:29" s="101" customFormat="1" ht="15">
      <c r="A37" s="403"/>
      <c r="B37" s="357" t="s">
        <v>1784</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517"/>
      <c r="Q37" s="523" t="str">
        <f t="shared" si="11"/>
        <v>市政基础设施</v>
      </c>
      <c r="R37" s="654" t="s">
        <v>14</v>
      </c>
      <c r="S37" s="655">
        <f t="shared" si="12"/>
        <v>100</v>
      </c>
      <c r="T37" s="654" t="s">
        <v>14</v>
      </c>
      <c r="U37" s="655">
        <f t="shared" si="13"/>
        <v>100</v>
      </c>
      <c r="V37" s="654" t="s">
        <v>14</v>
      </c>
      <c r="W37" s="655">
        <f t="shared" si="14"/>
        <v>100</v>
      </c>
      <c r="X37" s="656"/>
      <c r="Y37" s="3519"/>
      <c r="Z37" s="50" t="str">
        <f t="shared" si="15"/>
        <v>市政基础设施</v>
      </c>
      <c r="AA37" s="50">
        <f t="shared" si="3"/>
        <v>1</v>
      </c>
      <c r="AB37" s="50">
        <f t="shared" si="4"/>
        <v>1</v>
      </c>
      <c r="AC37" s="50">
        <f t="shared" si="5"/>
        <v>1</v>
      </c>
    </row>
    <row r="38" spans="1:29" ht="15">
      <c r="A38" s="402"/>
      <c r="B38" s="357" t="s">
        <v>1785</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517" t="s">
        <v>1693</v>
      </c>
      <c r="Q38" s="1241" t="str">
        <f t="shared" si="11"/>
        <v>业态</v>
      </c>
      <c r="R38" s="657" t="s">
        <v>14</v>
      </c>
      <c r="S38" s="658">
        <f t="shared" si="12"/>
        <v>100</v>
      </c>
      <c r="T38" s="657" t="s">
        <v>14</v>
      </c>
      <c r="U38" s="658">
        <f t="shared" si="13"/>
        <v>100</v>
      </c>
      <c r="V38" s="657" t="s">
        <v>14</v>
      </c>
      <c r="W38" s="658">
        <f t="shared" si="14"/>
        <v>100</v>
      </c>
      <c r="X38" s="1243"/>
      <c r="Y38" s="3519" t="s">
        <v>1693</v>
      </c>
      <c r="Z38" s="1242" t="str">
        <f t="shared" si="15"/>
        <v>业态</v>
      </c>
      <c r="AA38" s="1242">
        <f t="shared" si="3"/>
        <v>1</v>
      </c>
      <c r="AB38" s="1242">
        <f t="shared" si="4"/>
        <v>1</v>
      </c>
      <c r="AC38" s="1242">
        <f t="shared" si="5"/>
        <v>1</v>
      </c>
    </row>
    <row r="39" spans="1:29" ht="15">
      <c r="A39" s="402"/>
      <c r="B39" s="357" t="s">
        <v>1786</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517"/>
      <c r="Q39" s="1241" t="str">
        <f t="shared" si="11"/>
        <v>层高</v>
      </c>
      <c r="R39" s="657" t="s">
        <v>14</v>
      </c>
      <c r="S39" s="658">
        <f t="shared" si="12"/>
        <v>100</v>
      </c>
      <c r="T39" s="657" t="s">
        <v>14</v>
      </c>
      <c r="U39" s="658">
        <f t="shared" si="13"/>
        <v>100</v>
      </c>
      <c r="V39" s="657" t="s">
        <v>14</v>
      </c>
      <c r="W39" s="658">
        <f t="shared" si="14"/>
        <v>100</v>
      </c>
      <c r="X39" s="1243"/>
      <c r="Y39" s="3519"/>
      <c r="Z39" s="1242" t="str">
        <f t="shared" si="15"/>
        <v>层高</v>
      </c>
      <c r="AA39" s="1242">
        <f t="shared" si="3"/>
        <v>1</v>
      </c>
      <c r="AB39" s="1242">
        <f t="shared" si="4"/>
        <v>1</v>
      </c>
      <c r="AC39" s="1242">
        <f t="shared" si="5"/>
        <v>1</v>
      </c>
    </row>
    <row r="40" spans="1:29" ht="15">
      <c r="A40" s="402"/>
      <c r="B40" s="357" t="s">
        <v>1787</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517"/>
      <c r="Q40" s="1241" t="str">
        <f t="shared" si="11"/>
        <v>单套建筑面积</v>
      </c>
      <c r="R40" s="657" t="s">
        <v>14</v>
      </c>
      <c r="S40" s="658">
        <f t="shared" si="12"/>
        <v>100</v>
      </c>
      <c r="T40" s="657" t="s">
        <v>14</v>
      </c>
      <c r="U40" s="658">
        <f t="shared" si="13"/>
        <v>100</v>
      </c>
      <c r="V40" s="657" t="s">
        <v>14</v>
      </c>
      <c r="W40" s="658">
        <f t="shared" si="14"/>
        <v>100</v>
      </c>
      <c r="X40" s="1243"/>
      <c r="Y40" s="3519"/>
      <c r="Z40" s="1242" t="str">
        <f t="shared" si="15"/>
        <v>单套建筑面积</v>
      </c>
      <c r="AA40" s="1242">
        <f t="shared" si="3"/>
        <v>1</v>
      </c>
      <c r="AB40" s="1242">
        <f t="shared" si="4"/>
        <v>1</v>
      </c>
      <c r="AC40" s="1242">
        <f t="shared" si="5"/>
        <v>1</v>
      </c>
    </row>
    <row r="41" spans="1:29" s="401" customFormat="1" ht="15">
      <c r="A41" s="399"/>
      <c r="B41" s="393" t="s">
        <v>1788</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517"/>
      <c r="Q41" s="524" t="str">
        <f t="shared" si="11"/>
        <v>进深比</v>
      </c>
      <c r="R41" s="659" t="s">
        <v>14</v>
      </c>
      <c r="S41" s="660">
        <f t="shared" si="12"/>
        <v>100</v>
      </c>
      <c r="T41" s="659" t="s">
        <v>14</v>
      </c>
      <c r="U41" s="660">
        <f t="shared" si="13"/>
        <v>100</v>
      </c>
      <c r="V41" s="659" t="s">
        <v>14</v>
      </c>
      <c r="W41" s="660">
        <f t="shared" si="14"/>
        <v>100</v>
      </c>
      <c r="X41" s="661"/>
      <c r="Y41" s="3519"/>
      <c r="Z41" s="662" t="str">
        <f t="shared" si="15"/>
        <v>进深比</v>
      </c>
      <c r="AA41" s="1242">
        <f t="shared" si="3"/>
        <v>1</v>
      </c>
      <c r="AB41" s="1242">
        <f t="shared" si="4"/>
        <v>1</v>
      </c>
      <c r="AC41" s="1242">
        <f t="shared" si="5"/>
        <v>1</v>
      </c>
    </row>
    <row r="42" spans="1:29" ht="15">
      <c r="A42" s="402"/>
      <c r="B42" s="357" t="s">
        <v>1789</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517"/>
      <c r="Q42" s="1241" t="str">
        <f t="shared" si="11"/>
        <v>内部装修</v>
      </c>
      <c r="R42" s="657" t="s">
        <v>14</v>
      </c>
      <c r="S42" s="658">
        <f t="shared" si="12"/>
        <v>100</v>
      </c>
      <c r="T42" s="657" t="s">
        <v>14</v>
      </c>
      <c r="U42" s="658">
        <f t="shared" si="13"/>
        <v>100</v>
      </c>
      <c r="V42" s="657" t="s">
        <v>14</v>
      </c>
      <c r="W42" s="658">
        <f t="shared" si="14"/>
        <v>100</v>
      </c>
      <c r="X42" s="1243"/>
      <c r="Y42" s="3519"/>
      <c r="Z42" s="1242" t="str">
        <f t="shared" si="15"/>
        <v>内部装修</v>
      </c>
      <c r="AA42" s="1242">
        <f t="shared" si="3"/>
        <v>1</v>
      </c>
      <c r="AB42" s="1242">
        <f t="shared" si="4"/>
        <v>1</v>
      </c>
      <c r="AC42" s="1242">
        <f t="shared" si="5"/>
        <v>1</v>
      </c>
    </row>
    <row r="43" spans="1:29" ht="15">
      <c r="A43" s="402"/>
      <c r="B43" s="357" t="s">
        <v>1704</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517"/>
      <c r="Q43" s="1241" t="str">
        <f t="shared" si="11"/>
        <v>内部装修维护情况</v>
      </c>
      <c r="R43" s="657" t="s">
        <v>14</v>
      </c>
      <c r="S43" s="658">
        <f t="shared" si="12"/>
        <v>100</v>
      </c>
      <c r="T43" s="657" t="s">
        <v>14</v>
      </c>
      <c r="U43" s="658">
        <f t="shared" si="13"/>
        <v>100</v>
      </c>
      <c r="V43" s="657" t="s">
        <v>14</v>
      </c>
      <c r="W43" s="658">
        <f t="shared" si="14"/>
        <v>100</v>
      </c>
      <c r="X43" s="1243"/>
      <c r="Y43" s="3519"/>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517"/>
      <c r="Q44" s="523">
        <f t="shared" si="11"/>
        <v>111</v>
      </c>
      <c r="R44" s="654" t="s">
        <v>14</v>
      </c>
      <c r="S44" s="655">
        <f t="shared" si="12"/>
        <v>100</v>
      </c>
      <c r="T44" s="654" t="s">
        <v>14</v>
      </c>
      <c r="U44" s="655">
        <f t="shared" si="13"/>
        <v>100</v>
      </c>
      <c r="V44" s="654" t="s">
        <v>14</v>
      </c>
      <c r="W44" s="655">
        <f t="shared" si="14"/>
        <v>100</v>
      </c>
      <c r="X44" s="656"/>
      <c r="Y44" s="3519"/>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517"/>
      <c r="Q45" s="1241">
        <f t="shared" si="11"/>
        <v>111</v>
      </c>
      <c r="R45" s="657" t="s">
        <v>14</v>
      </c>
      <c r="S45" s="658">
        <f t="shared" si="12"/>
        <v>100</v>
      </c>
      <c r="T45" s="657" t="s">
        <v>14</v>
      </c>
      <c r="U45" s="658">
        <f t="shared" si="13"/>
        <v>100</v>
      </c>
      <c r="V45" s="657" t="s">
        <v>14</v>
      </c>
      <c r="W45" s="658">
        <f t="shared" si="14"/>
        <v>100</v>
      </c>
      <c r="X45" s="1243"/>
      <c r="Y45" s="3519"/>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518"/>
      <c r="Q46" s="1241">
        <f t="shared" si="11"/>
        <v>111</v>
      </c>
      <c r="R46" s="657" t="s">
        <v>14</v>
      </c>
      <c r="S46" s="658">
        <f t="shared" si="12"/>
        <v>100</v>
      </c>
      <c r="T46" s="657" t="s">
        <v>14</v>
      </c>
      <c r="U46" s="658">
        <f t="shared" si="13"/>
        <v>100</v>
      </c>
      <c r="V46" s="657" t="s">
        <v>14</v>
      </c>
      <c r="W46" s="658">
        <f t="shared" si="14"/>
        <v>100</v>
      </c>
      <c r="X46" s="1243"/>
      <c r="Y46" s="3520"/>
      <c r="Z46" s="1242">
        <f t="shared" si="15"/>
        <v>111</v>
      </c>
      <c r="AA46" s="1242">
        <f t="shared" si="3"/>
        <v>1</v>
      </c>
      <c r="AB46" s="1242">
        <f t="shared" si="4"/>
        <v>1</v>
      </c>
      <c r="AC46" s="1242">
        <f t="shared" si="5"/>
        <v>1</v>
      </c>
    </row>
    <row r="47" spans="1:29" ht="15">
      <c r="A47" s="409" t="s">
        <v>1705</v>
      </c>
      <c r="B47" s="410"/>
      <c r="C47" s="1059" t="s">
        <v>0</v>
      </c>
      <c r="D47" s="411"/>
      <c r="E47" s="412"/>
      <c r="F47" s="413"/>
      <c r="G47" s="414"/>
      <c r="H47" s="415"/>
      <c r="I47" s="412"/>
      <c r="J47" s="415"/>
      <c r="K47" s="664"/>
      <c r="L47" s="2469"/>
      <c r="M47" s="2462"/>
      <c r="N47" s="2462"/>
      <c r="O47" s="2462"/>
      <c r="P47" s="3512" t="str">
        <f>A47</f>
        <v>成交单价（元/平方米）</v>
      </c>
      <c r="Q47" s="3512"/>
      <c r="R47" s="3513">
        <f>E47</f>
        <v>0</v>
      </c>
      <c r="S47" s="3513"/>
      <c r="T47" s="3513">
        <f>G47</f>
        <v>0</v>
      </c>
      <c r="U47" s="3513"/>
      <c r="V47" s="3513">
        <f>I47</f>
        <v>0</v>
      </c>
      <c r="W47" s="3513"/>
      <c r="X47" s="378"/>
      <c r="Y47" s="663"/>
      <c r="Z47" s="378"/>
      <c r="AA47" s="378"/>
      <c r="AB47" s="378"/>
      <c r="AC47" s="378"/>
    </row>
    <row r="48" spans="1:29" ht="15.75" thickBot="1">
      <c r="A48" s="416" t="s">
        <v>1790</v>
      </c>
      <c r="B48" s="417"/>
      <c r="C48" s="1060" t="e">
        <f>R49</f>
        <v>#DIV/0!</v>
      </c>
      <c r="D48" s="2118" t="s">
        <v>2133</v>
      </c>
      <c r="E48" s="1061" t="e">
        <f>R48</f>
        <v>#DIV/0!</v>
      </c>
      <c r="F48" s="2119"/>
      <c r="G48" s="1060" t="e">
        <f>T48</f>
        <v>#DIV/0!</v>
      </c>
      <c r="H48" s="2119"/>
      <c r="I48" s="1061" t="e">
        <f>V48</f>
        <v>#DIV/0!</v>
      </c>
      <c r="J48" s="2119"/>
      <c r="K48" s="2121">
        <f>F48+H48+J48</f>
        <v>0</v>
      </c>
      <c r="L48" s="2469"/>
      <c r="M48" s="2462"/>
      <c r="N48" s="2462"/>
      <c r="O48" s="2462"/>
      <c r="P48" s="3512" t="str">
        <f>A48</f>
        <v>比较价值（元/平方米）</v>
      </c>
      <c r="Q48" s="3512"/>
      <c r="R48" s="3513" t="e">
        <f>IF(F1="售价",ROUND(PRODUCT(R47,AA7:AA46),0),ROUND(PRODUCT(R47,AA7:AA46),1))</f>
        <v>#DIV/0!</v>
      </c>
      <c r="S48" s="3513"/>
      <c r="T48" s="3513" t="e">
        <f>IF(F1="售价",ROUND(PRODUCT(T47,AB7:AB46),0),ROUND(PRODUCT(T47,AB7:AB46),1))</f>
        <v>#DIV/0!</v>
      </c>
      <c r="U48" s="3513"/>
      <c r="V48" s="3513" t="e">
        <f>IF(F1="售价",ROUND(PRODUCT(V47,AC7:AC46),0),ROUND(PRODUCT(V47,AC7:AC46),1))</f>
        <v>#DIV/0!</v>
      </c>
      <c r="W48" s="3513"/>
      <c r="X48" s="378"/>
      <c r="Y48" s="378"/>
      <c r="Z48" s="378"/>
      <c r="AA48" s="378"/>
      <c r="AB48" s="378"/>
      <c r="AC48" s="378"/>
    </row>
    <row r="49" spans="1:29" ht="15.75" thickBot="1">
      <c r="A49" s="420" t="s">
        <v>1791</v>
      </c>
      <c r="B49" s="421"/>
      <c r="C49" s="344" t="e">
        <f>R49</f>
        <v>#DIV/0!</v>
      </c>
      <c r="D49" s="344"/>
      <c r="E49" s="344"/>
      <c r="F49" s="344"/>
      <c r="G49" s="344"/>
      <c r="H49" s="344"/>
      <c r="I49" s="344"/>
      <c r="J49" s="344"/>
      <c r="K49" s="665"/>
      <c r="L49" s="2469"/>
      <c r="M49" s="2462"/>
      <c r="N49" s="2462"/>
      <c r="O49" s="2462"/>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1792</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1793</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1794</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1795</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1676</v>
      </c>
      <c r="B58" s="434"/>
      <c r="C58" s="1081" t="str">
        <f>YEAR(C7)&amp;"-"&amp;MONTH(C7)</f>
        <v>2025-10</v>
      </c>
      <c r="D58" s="1082">
        <f>EDATE(C58,-1)</f>
        <v>45901</v>
      </c>
      <c r="E58" s="1082">
        <f t="shared" ref="E58:N58" si="16">EDATE(D58,-1)</f>
        <v>45870</v>
      </c>
      <c r="F58" s="1082">
        <f t="shared" si="16"/>
        <v>45839</v>
      </c>
      <c r="G58" s="1082">
        <f t="shared" si="16"/>
        <v>45809</v>
      </c>
      <c r="H58" s="1082">
        <f t="shared" si="16"/>
        <v>45778</v>
      </c>
      <c r="I58" s="1082">
        <f t="shared" si="16"/>
        <v>45748</v>
      </c>
      <c r="J58" s="1082">
        <f t="shared" si="16"/>
        <v>45717</v>
      </c>
      <c r="K58" s="1082">
        <f t="shared" si="16"/>
        <v>45689</v>
      </c>
      <c r="L58" s="1082">
        <f t="shared" si="16"/>
        <v>45658</v>
      </c>
      <c r="M58" s="1082">
        <f t="shared" si="16"/>
        <v>45627</v>
      </c>
      <c r="N58" s="1082">
        <f t="shared" si="16"/>
        <v>45597</v>
      </c>
      <c r="O58" s="1082">
        <f>EDATE(N58,-1)</f>
        <v>45566</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1713</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1678</v>
      </c>
      <c r="B61" s="437"/>
      <c r="C61" s="449" t="s">
        <v>1773</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1716</v>
      </c>
      <c r="B63" s="453" t="s">
        <v>1682</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1685</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1686</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1687</v>
      </c>
      <c r="B76" s="453" t="s">
        <v>1717</v>
      </c>
      <c r="C76" s="497" t="s">
        <v>1718</v>
      </c>
      <c r="D76" s="497" t="s">
        <v>1719</v>
      </c>
      <c r="E76" s="497" t="s">
        <v>1720</v>
      </c>
      <c r="F76" s="497" t="s">
        <v>1721</v>
      </c>
      <c r="G76" s="497" t="s">
        <v>1722</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1723</v>
      </c>
      <c r="C78" s="502" t="s">
        <v>1718</v>
      </c>
      <c r="D78" s="502" t="s">
        <v>1719</v>
      </c>
      <c r="E78" s="502" t="s">
        <v>1720</v>
      </c>
      <c r="F78" s="502" t="s">
        <v>1721</v>
      </c>
      <c r="G78" s="502" t="s">
        <v>1722</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1724</v>
      </c>
      <c r="C80" s="502" t="s">
        <v>1718</v>
      </c>
      <c r="D80" s="502" t="s">
        <v>1719</v>
      </c>
      <c r="E80" s="502" t="s">
        <v>1720</v>
      </c>
      <c r="F80" s="502" t="s">
        <v>1721</v>
      </c>
      <c r="G80" s="502" t="s">
        <v>1722</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1776</v>
      </c>
      <c r="C82" s="574" t="s">
        <v>1796</v>
      </c>
      <c r="D82" s="574" t="s">
        <v>1797</v>
      </c>
      <c r="E82" s="574" t="s">
        <v>1798</v>
      </c>
      <c r="F82" s="574" t="s">
        <v>1799</v>
      </c>
      <c r="G82" s="574" t="s">
        <v>1800</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1730</v>
      </c>
      <c r="C84" s="502" t="s">
        <v>1718</v>
      </c>
      <c r="D84" s="502" t="s">
        <v>1719</v>
      </c>
      <c r="E84" s="502" t="s">
        <v>1720</v>
      </c>
      <c r="F84" s="502" t="s">
        <v>1721</v>
      </c>
      <c r="G84" s="502" t="s">
        <v>1722</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1801</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1691</v>
      </c>
      <c r="B100" s="453" t="s">
        <v>1802</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1734</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1735</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1737</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1739</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1803</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1804</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1805</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1806</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1741</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1742</v>
      </c>
      <c r="C124" s="502" t="s">
        <v>1718</v>
      </c>
      <c r="D124" s="502" t="s">
        <v>1719</v>
      </c>
      <c r="E124" s="502" t="s">
        <v>1720</v>
      </c>
      <c r="F124" s="502" t="s">
        <v>1721</v>
      </c>
      <c r="G124" s="502" t="s">
        <v>1722</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285" t="str">
        <f>IF(项目基本情况!B9="房地产市场价值","估价结果一览表","结果表-2")</f>
        <v>结果表-2</v>
      </c>
      <c r="B1" s="3285"/>
      <c r="C1" s="3285"/>
      <c r="D1" s="3285"/>
      <c r="E1" s="3285"/>
      <c r="F1" s="3285"/>
      <c r="G1" s="3285"/>
      <c r="H1" s="3285"/>
      <c r="I1" s="3285"/>
    </row>
    <row r="2" spans="1:9" ht="30" customHeight="1" thickTop="1">
      <c r="A2" s="3286" t="s">
        <v>925</v>
      </c>
      <c r="B2" s="3286" t="s">
        <v>926</v>
      </c>
      <c r="C2" s="3286" t="s">
        <v>927</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1"/>
      <c r="B3" s="3281"/>
      <c r="C3" s="3281"/>
      <c r="D3" s="783" t="s">
        <v>922</v>
      </c>
      <c r="E3" s="783" t="s">
        <v>928</v>
      </c>
      <c r="F3" s="783" t="s">
        <v>922</v>
      </c>
      <c r="G3" s="783" t="s">
        <v>923</v>
      </c>
      <c r="H3" s="783" t="s">
        <v>922</v>
      </c>
      <c r="I3" s="783" t="s">
        <v>923</v>
      </c>
    </row>
    <row r="4" spans="1:9" ht="15">
      <c r="A4" s="1381" t="str">
        <f>项目基本情况!S2</f>
        <v>北京市房地产</v>
      </c>
      <c r="B4" s="783">
        <f>项目基本情况!C17</f>
        <v>45214.01</v>
      </c>
      <c r="C4" s="783">
        <f>项目基本情况!C18</f>
        <v>37658.28</v>
      </c>
      <c r="D4" s="783">
        <f ca="1">结果表!D118</f>
        <v>80976</v>
      </c>
      <c r="E4" s="783">
        <f ca="1">结果表!E118</f>
        <v>17909</v>
      </c>
      <c r="F4" s="783">
        <f ca="1">结果表!F118</f>
        <v>28747</v>
      </c>
      <c r="G4" s="783">
        <f ca="1">结果表!G118</f>
        <v>6358</v>
      </c>
      <c r="H4" s="783">
        <f ca="1">结果表!H118</f>
        <v>109723</v>
      </c>
      <c r="I4" s="783">
        <f ca="1">结果表!I118</f>
        <v>24267</v>
      </c>
    </row>
    <row r="5" spans="1:9" ht="30" customHeight="1">
      <c r="A5" s="3281" t="s">
        <v>924</v>
      </c>
      <c r="B5" s="3281"/>
      <c r="C5" s="3281"/>
      <c r="D5" s="3281" t="str">
        <f ca="1">结果表!D119</f>
        <v>捌亿零玖佰柒拾陆万元整</v>
      </c>
      <c r="E5" s="3281"/>
      <c r="F5" s="3281" t="str">
        <f ca="1">结果表!F119</f>
        <v>贰亿捌仟柒佰肆拾柒万元整</v>
      </c>
      <c r="G5" s="3281"/>
      <c r="H5" s="3281" t="str">
        <f ca="1">结果表!H119</f>
        <v>壹拾亿玖仟柒佰贰拾叁万元整</v>
      </c>
      <c r="I5" s="3281"/>
    </row>
    <row r="6" spans="1:9" ht="15.75">
      <c r="A6" s="3280" t="str">
        <f>结果表!A120</f>
        <v>估价师知悉的法定优先受偿款</v>
      </c>
      <c r="B6" s="3280"/>
      <c r="C6" s="3280"/>
      <c r="D6" s="3280">
        <f>结果表!D120</f>
        <v>0</v>
      </c>
      <c r="E6" s="3280"/>
      <c r="F6" s="3280"/>
      <c r="G6" s="3280"/>
      <c r="H6" s="3280"/>
      <c r="I6" s="3280"/>
    </row>
    <row r="7" spans="1:9" ht="15">
      <c r="A7" s="3281" t="s">
        <v>924</v>
      </c>
      <c r="B7" s="3281"/>
      <c r="C7" s="3281"/>
      <c r="D7" s="3282" t="str">
        <f>结果表!D121</f>
        <v>零元整</v>
      </c>
      <c r="E7" s="3283"/>
      <c r="F7" s="3283"/>
      <c r="G7" s="3283"/>
      <c r="H7" s="3283"/>
      <c r="I7" s="3284"/>
    </row>
    <row r="8" spans="1:9" ht="15.75">
      <c r="A8" s="3280" t="str">
        <f>结果表!A122</f>
        <v>房地产抵押价值</v>
      </c>
      <c r="B8" s="3280"/>
      <c r="C8" s="3280"/>
      <c r="D8" s="3280">
        <f ca="1">结果表!D122</f>
        <v>109723</v>
      </c>
      <c r="E8" s="3280"/>
      <c r="F8" s="3280"/>
      <c r="G8" s="3280"/>
      <c r="H8" s="3280"/>
      <c r="I8" s="3280"/>
    </row>
    <row r="9" spans="1:9" ht="15">
      <c r="A9" s="3281" t="s">
        <v>924</v>
      </c>
      <c r="B9" s="3281"/>
      <c r="C9" s="3281"/>
      <c r="D9" s="3281" t="str">
        <f ca="1">结果表!D123</f>
        <v>壹拾亿玖仟柒佰贰拾叁万元整</v>
      </c>
      <c r="E9" s="3281"/>
      <c r="F9" s="3281"/>
      <c r="G9" s="3281"/>
      <c r="H9" s="3281"/>
      <c r="I9" s="3281"/>
    </row>
    <row r="10" spans="1:9" ht="15.75">
      <c r="A10" s="3280" t="str">
        <f>结果表!A124</f>
        <v/>
      </c>
      <c r="B10" s="3280"/>
      <c r="C10" s="3280"/>
      <c r="D10" s="3280" t="str">
        <f>结果表!D124</f>
        <v>——</v>
      </c>
      <c r="E10" s="3280"/>
      <c r="F10" s="3280"/>
      <c r="G10" s="3280"/>
      <c r="H10" s="3280"/>
      <c r="I10" s="3280"/>
    </row>
    <row r="11" spans="1:9" ht="15">
      <c r="A11" s="3281" t="s">
        <v>924</v>
      </c>
      <c r="B11" s="3281"/>
      <c r="C11" s="3281"/>
      <c r="D11" s="3281" t="e">
        <f>结果表!D125</f>
        <v>#VALUE!</v>
      </c>
      <c r="E11" s="3281"/>
      <c r="F11" s="3281"/>
      <c r="G11" s="3281"/>
      <c r="H11" s="3281"/>
      <c r="I11" s="3281"/>
    </row>
    <row r="12" spans="1:9" ht="15.75">
      <c r="A12" s="3280" t="str">
        <f>结果表!A126</f>
        <v/>
      </c>
      <c r="B12" s="3280"/>
      <c r="C12" s="3280"/>
      <c r="D12" s="3280" t="str">
        <f>结果表!D126</f>
        <v>——</v>
      </c>
      <c r="E12" s="3280"/>
      <c r="F12" s="3280"/>
      <c r="G12" s="3280"/>
      <c r="H12" s="3280"/>
      <c r="I12" s="3280"/>
    </row>
    <row r="13" spans="1:9" ht="15.75" thickBot="1">
      <c r="A13" s="3278" t="s">
        <v>924</v>
      </c>
      <c r="B13" s="3278"/>
      <c r="C13" s="3278"/>
      <c r="D13" s="3278" t="e">
        <f>结果表!D127</f>
        <v>#VALUE!</v>
      </c>
      <c r="E13" s="3278"/>
      <c r="F13" s="3278"/>
      <c r="G13" s="3278"/>
      <c r="H13" s="3278"/>
      <c r="I13" s="3278"/>
    </row>
    <row r="14" spans="1:9" ht="15" thickTop="1">
      <c r="A14" s="3279" t="s">
        <v>929</v>
      </c>
      <c r="B14" s="3279"/>
      <c r="C14" s="3279"/>
      <c r="D14" s="3279"/>
      <c r="E14" s="3279"/>
      <c r="F14" s="3279"/>
      <c r="G14" s="3279"/>
      <c r="H14" s="3279"/>
      <c r="I14" s="3279"/>
    </row>
    <row r="16" spans="1:9" ht="18.75">
      <c r="A16" s="1382" t="s">
        <v>912</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1807</v>
      </c>
      <c r="C1" s="1119" t="s">
        <v>1659</v>
      </c>
      <c r="D1" s="1120"/>
      <c r="E1" s="3103"/>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f>IF(C2="——",C50,ROUND(B2*10000/D3,0))</f>
        <v>0</v>
      </c>
      <c r="C3" s="337" t="s">
        <v>1765</v>
      </c>
      <c r="D3" s="336">
        <f>IF(D1="",'数据-汇总表'!E3,SUMIF('数据-汇总表'!$C19:$C33,D1,'数据-汇总表'!$E19:$E33))</f>
        <v>45214.01</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60" t="s">
        <v>1772</v>
      </c>
      <c r="Q4" s="3561"/>
      <c r="R4" s="3564" t="s">
        <v>1768</v>
      </c>
      <c r="S4" s="3565"/>
      <c r="T4" s="3564" t="s">
        <v>1769</v>
      </c>
      <c r="U4" s="3565"/>
      <c r="V4" s="3566" t="s">
        <v>1770</v>
      </c>
      <c r="W4" s="3566"/>
      <c r="X4" s="1786"/>
      <c r="Y4" s="3564" t="s">
        <v>1772</v>
      </c>
      <c r="Z4" s="3565"/>
      <c r="AA4" s="3568" t="s">
        <v>1768</v>
      </c>
      <c r="AB4" s="3568" t="s">
        <v>1769</v>
      </c>
      <c r="AC4" s="3557" t="s">
        <v>1770</v>
      </c>
    </row>
    <row r="5" spans="1:29" ht="15">
      <c r="A5" s="341"/>
      <c r="B5" s="342"/>
      <c r="C5" s="3545" t="s">
        <v>1670</v>
      </c>
      <c r="D5" s="3546"/>
      <c r="E5" s="3552" t="s">
        <v>1671</v>
      </c>
      <c r="F5" s="3553"/>
      <c r="G5" s="3545" t="s">
        <v>1672</v>
      </c>
      <c r="H5" s="3546"/>
      <c r="I5" s="3545" t="s">
        <v>1673</v>
      </c>
      <c r="J5" s="3546"/>
      <c r="K5" s="530"/>
      <c r="L5" s="2461"/>
      <c r="M5" s="2462"/>
      <c r="N5" s="2462"/>
      <c r="O5" s="2462"/>
      <c r="P5" s="3562"/>
      <c r="Q5" s="3534"/>
      <c r="R5" s="3539"/>
      <c r="S5" s="3540"/>
      <c r="T5" s="3539"/>
      <c r="U5" s="3540"/>
      <c r="V5" s="3513"/>
      <c r="W5" s="3513"/>
      <c r="X5" s="1243"/>
      <c r="Y5" s="3539"/>
      <c r="Z5" s="3540"/>
      <c r="AA5" s="3525"/>
      <c r="AB5" s="3525"/>
      <c r="AC5" s="3558"/>
    </row>
    <row r="6" spans="1:29" ht="15.75" thickBot="1">
      <c r="A6" s="343"/>
      <c r="B6" s="344"/>
      <c r="C6" s="3543" t="s">
        <v>1674</v>
      </c>
      <c r="D6" s="3544"/>
      <c r="E6" s="3550" t="s">
        <v>1674</v>
      </c>
      <c r="F6" s="3551"/>
      <c r="G6" s="3543" t="s">
        <v>1674</v>
      </c>
      <c r="H6" s="3544"/>
      <c r="I6" s="3543" t="s">
        <v>1674</v>
      </c>
      <c r="J6" s="3544"/>
      <c r="K6" s="530" t="s">
        <v>1675</v>
      </c>
      <c r="L6" s="2461"/>
      <c r="M6" s="2462"/>
      <c r="N6" s="2462"/>
      <c r="O6" s="2462"/>
      <c r="P6" s="3563"/>
      <c r="Q6" s="3536"/>
      <c r="R6" s="3539"/>
      <c r="S6" s="3540"/>
      <c r="T6" s="3541"/>
      <c r="U6" s="3542"/>
      <c r="V6" s="3513"/>
      <c r="W6" s="3513"/>
      <c r="X6" s="1243"/>
      <c r="Y6" s="3541"/>
      <c r="Z6" s="3542"/>
      <c r="AA6" s="3526"/>
      <c r="AB6" s="3526"/>
      <c r="AC6" s="3559"/>
    </row>
    <row r="7" spans="1:29" s="101" customFormat="1" ht="15.75" thickBot="1">
      <c r="A7" s="345" t="s">
        <v>1676</v>
      </c>
      <c r="B7" s="346"/>
      <c r="C7" s="347">
        <f>'数据-取费表'!B2</f>
        <v>45952</v>
      </c>
      <c r="D7" s="348">
        <v>100</v>
      </c>
      <c r="E7" s="349"/>
      <c r="F7" s="350">
        <f>SUMIF(59:59,YEAR(E7)&amp;"-"&amp;MONTH(E7),60:60)</f>
        <v>0</v>
      </c>
      <c r="G7" s="349"/>
      <c r="H7" s="348">
        <f>SUMIF(59:59,YEAR(G7)&amp;"-"&amp;MONTH(G7),60:60)</f>
        <v>0</v>
      </c>
      <c r="I7" s="349"/>
      <c r="J7" s="348">
        <f>SUMIF(59:59,YEAR(I7)&amp;"-"&amp;MONTH(I7),60:60)</f>
        <v>0</v>
      </c>
      <c r="K7" s="38"/>
      <c r="L7" s="2463"/>
      <c r="M7" s="2416"/>
      <c r="N7" s="2416"/>
      <c r="O7" s="2416"/>
      <c r="P7" s="3567" t="s">
        <v>1677</v>
      </c>
      <c r="Q7" s="3549"/>
      <c r="R7" s="654" t="s">
        <v>14</v>
      </c>
      <c r="S7" s="655">
        <f t="shared" ref="S7:S15" si="0">F7</f>
        <v>0</v>
      </c>
      <c r="T7" s="654" t="s">
        <v>14</v>
      </c>
      <c r="U7" s="655">
        <f t="shared" ref="U7:U15" si="1">H7</f>
        <v>0</v>
      </c>
      <c r="V7" s="654" t="s">
        <v>14</v>
      </c>
      <c r="W7" s="655">
        <f t="shared" ref="W7:W15" si="2">J7</f>
        <v>0</v>
      </c>
      <c r="X7" s="656"/>
      <c r="Y7" s="3547" t="s">
        <v>1677</v>
      </c>
      <c r="Z7" s="3548"/>
      <c r="AA7" s="50" t="e">
        <f>D7/F7</f>
        <v>#DIV/0!</v>
      </c>
      <c r="AB7" s="50" t="e">
        <f>D7/H7</f>
        <v>#DIV/0!</v>
      </c>
      <c r="AC7" s="784" t="e">
        <f>D7/J7</f>
        <v>#DIV/0!</v>
      </c>
    </row>
    <row r="8" spans="1:29" s="101" customFormat="1" ht="15.75" thickBot="1">
      <c r="A8" s="345" t="s">
        <v>1678</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567" t="s">
        <v>1680</v>
      </c>
      <c r="Q8" s="3548"/>
      <c r="R8" s="654" t="s">
        <v>14</v>
      </c>
      <c r="S8" s="655">
        <f t="shared" si="0"/>
        <v>100</v>
      </c>
      <c r="T8" s="654" t="s">
        <v>14</v>
      </c>
      <c r="U8" s="655">
        <f t="shared" si="1"/>
        <v>100</v>
      </c>
      <c r="V8" s="654" t="s">
        <v>14</v>
      </c>
      <c r="W8" s="655">
        <f t="shared" si="2"/>
        <v>100</v>
      </c>
      <c r="X8" s="656"/>
      <c r="Y8" s="3547" t="s">
        <v>1680</v>
      </c>
      <c r="Z8" s="3548"/>
      <c r="AA8" s="50">
        <f t="shared" ref="AA8:AA47" si="3">D8/F8</f>
        <v>1</v>
      </c>
      <c r="AB8" s="50">
        <f t="shared" ref="AB8:AB47" si="4">D8/H8</f>
        <v>1</v>
      </c>
      <c r="AC8" s="784">
        <f t="shared" ref="AC8:AC47" si="5">D8/J8</f>
        <v>1</v>
      </c>
    </row>
    <row r="9" spans="1:29" s="101" customFormat="1">
      <c r="A9" s="352" t="s">
        <v>1681</v>
      </c>
      <c r="B9" s="60" t="s">
        <v>1682</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523"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784">
        <f t="shared" si="5"/>
        <v>1</v>
      </c>
    </row>
    <row r="10" spans="1:29" s="359" customFormat="1" ht="27">
      <c r="A10" s="356"/>
      <c r="B10" s="357" t="s">
        <v>1685</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523"/>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784">
        <f t="shared" si="5"/>
        <v>1</v>
      </c>
    </row>
    <row r="11" spans="1:29" ht="15">
      <c r="A11" s="360"/>
      <c r="B11" s="357" t="s">
        <v>1686</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523"/>
      <c r="Q11" s="523" t="str">
        <f t="shared" si="6"/>
        <v>容积率</v>
      </c>
      <c r="R11" s="654" t="s">
        <v>14</v>
      </c>
      <c r="S11" s="655">
        <f t="shared" si="0"/>
        <v>100</v>
      </c>
      <c r="T11" s="654" t="s">
        <v>14</v>
      </c>
      <c r="U11" s="655">
        <f t="shared" si="1"/>
        <v>100</v>
      </c>
      <c r="V11" s="654" t="s">
        <v>14</v>
      </c>
      <c r="W11" s="655">
        <f t="shared" si="2"/>
        <v>100</v>
      </c>
      <c r="X11" s="656"/>
      <c r="Y11" s="3368"/>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523"/>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523"/>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523"/>
      <c r="Q14" s="523">
        <f t="shared" si="6"/>
        <v>111</v>
      </c>
      <c r="R14" s="654" t="s">
        <v>14</v>
      </c>
      <c r="S14" s="655">
        <f t="shared" si="0"/>
        <v>100</v>
      </c>
      <c r="T14" s="654" t="s">
        <v>14</v>
      </c>
      <c r="U14" s="655">
        <f t="shared" si="1"/>
        <v>100</v>
      </c>
      <c r="V14" s="654" t="s">
        <v>14</v>
      </c>
      <c r="W14" s="655">
        <f t="shared" si="2"/>
        <v>100</v>
      </c>
      <c r="X14" s="656"/>
      <c r="Y14" s="3368"/>
      <c r="Z14" s="50">
        <f t="shared" si="7"/>
        <v>111</v>
      </c>
      <c r="AA14" s="50">
        <f t="shared" si="3"/>
        <v>1</v>
      </c>
      <c r="AB14" s="50">
        <f t="shared" si="4"/>
        <v>1</v>
      </c>
      <c r="AC14" s="784">
        <f t="shared" si="5"/>
        <v>1</v>
      </c>
    </row>
    <row r="15" spans="1:29" ht="15">
      <c r="A15" s="372" t="s">
        <v>1687</v>
      </c>
      <c r="B15" s="547" t="s">
        <v>1808</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521" t="s">
        <v>1688</v>
      </c>
      <c r="Q15" s="1241" t="str">
        <f t="shared" si="6"/>
        <v>办公集聚程度</v>
      </c>
      <c r="R15" s="657" t="s">
        <v>14</v>
      </c>
      <c r="S15" s="658">
        <f t="shared" si="0"/>
        <v>100</v>
      </c>
      <c r="T15" s="657" t="s">
        <v>14</v>
      </c>
      <c r="U15" s="658">
        <f t="shared" si="1"/>
        <v>100</v>
      </c>
      <c r="V15" s="657" t="s">
        <v>14</v>
      </c>
      <c r="W15" s="658">
        <f t="shared" si="2"/>
        <v>100</v>
      </c>
      <c r="X15" s="1243"/>
      <c r="Y15" s="3514" t="s">
        <v>1688</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522"/>
      <c r="Q16" s="1241"/>
      <c r="R16" s="657"/>
      <c r="S16" s="658"/>
      <c r="T16" s="657"/>
      <c r="U16" s="658"/>
      <c r="V16" s="657"/>
      <c r="W16" s="658"/>
      <c r="X16" s="1243"/>
      <c r="Y16" s="3515"/>
      <c r="Z16" s="1242"/>
      <c r="AA16" s="1242">
        <v>1</v>
      </c>
      <c r="AB16" s="1242">
        <v>1</v>
      </c>
      <c r="AC16" s="1789">
        <v>1</v>
      </c>
    </row>
    <row r="17" spans="1:29" ht="15">
      <c r="A17" s="360"/>
      <c r="B17" s="549" t="s">
        <v>1256</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522"/>
      <c r="Q17" s="1241" t="str">
        <f>B17</f>
        <v>交通便捷度</v>
      </c>
      <c r="R17" s="657" t="s">
        <v>14</v>
      </c>
      <c r="S17" s="658">
        <f>F17</f>
        <v>100</v>
      </c>
      <c r="T17" s="657" t="s">
        <v>14</v>
      </c>
      <c r="U17" s="658">
        <f>H17</f>
        <v>100</v>
      </c>
      <c r="V17" s="657" t="s">
        <v>14</v>
      </c>
      <c r="W17" s="658">
        <f>J17</f>
        <v>100</v>
      </c>
      <c r="X17" s="1243"/>
      <c r="Y17" s="3515"/>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522"/>
      <c r="Q18" s="1241"/>
      <c r="R18" s="657"/>
      <c r="S18" s="658"/>
      <c r="T18" s="657"/>
      <c r="U18" s="658"/>
      <c r="V18" s="657"/>
      <c r="W18" s="658"/>
      <c r="X18" s="1243"/>
      <c r="Y18" s="3515"/>
      <c r="Z18" s="1242"/>
      <c r="AA18" s="1242">
        <v>1</v>
      </c>
      <c r="AB18" s="1242">
        <v>1</v>
      </c>
      <c r="AC18" s="1789">
        <v>1</v>
      </c>
    </row>
    <row r="19" spans="1:29" ht="15">
      <c r="A19" s="360"/>
      <c r="B19" s="549" t="s">
        <v>1809</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522"/>
      <c r="Q19" s="1241" t="str">
        <f>B19</f>
        <v>公共配套设施</v>
      </c>
      <c r="R19" s="657" t="s">
        <v>14</v>
      </c>
      <c r="S19" s="658">
        <f>F19</f>
        <v>100</v>
      </c>
      <c r="T19" s="657" t="s">
        <v>14</v>
      </c>
      <c r="U19" s="658">
        <f>H19</f>
        <v>100</v>
      </c>
      <c r="V19" s="657" t="s">
        <v>14</v>
      </c>
      <c r="W19" s="658">
        <f>J19</f>
        <v>100</v>
      </c>
      <c r="X19" s="1243"/>
      <c r="Y19" s="3515"/>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522"/>
      <c r="Q20" s="1241"/>
      <c r="R20" s="657"/>
      <c r="S20" s="658"/>
      <c r="T20" s="657"/>
      <c r="U20" s="658"/>
      <c r="V20" s="657"/>
      <c r="W20" s="658"/>
      <c r="X20" s="1243"/>
      <c r="Y20" s="3515"/>
      <c r="Z20" s="1242"/>
      <c r="AA20" s="1242">
        <v>1</v>
      </c>
      <c r="AB20" s="1242">
        <v>1</v>
      </c>
      <c r="AC20" s="1789">
        <v>1</v>
      </c>
    </row>
    <row r="21" spans="1:29" ht="15">
      <c r="A21" s="360"/>
      <c r="B21" s="550" t="s">
        <v>1810</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522"/>
      <c r="Q21" s="1241" t="str">
        <f>B21</f>
        <v>基础设施水平</v>
      </c>
      <c r="R21" s="657" t="s">
        <v>14</v>
      </c>
      <c r="S21" s="658">
        <f>F21</f>
        <v>100</v>
      </c>
      <c r="T21" s="657" t="s">
        <v>14</v>
      </c>
      <c r="U21" s="658">
        <f>H21</f>
        <v>100</v>
      </c>
      <c r="V21" s="657" t="s">
        <v>14</v>
      </c>
      <c r="W21" s="658">
        <f>J21</f>
        <v>100</v>
      </c>
      <c r="X21" s="1243"/>
      <c r="Y21" s="3515"/>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522"/>
      <c r="Q22" s="1241"/>
      <c r="R22" s="657"/>
      <c r="S22" s="658"/>
      <c r="T22" s="657"/>
      <c r="U22" s="658"/>
      <c r="V22" s="657"/>
      <c r="W22" s="658"/>
      <c r="X22" s="1243"/>
      <c r="Y22" s="3515"/>
      <c r="Z22" s="1242"/>
      <c r="AA22" s="1242">
        <v>1</v>
      </c>
      <c r="AB22" s="1242">
        <v>1</v>
      </c>
      <c r="AC22" s="1789">
        <v>1</v>
      </c>
    </row>
    <row r="23" spans="1:29" ht="15">
      <c r="A23" s="360"/>
      <c r="B23" s="549" t="s">
        <v>1811</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522"/>
      <c r="Q23" s="1241" t="str">
        <f>B23</f>
        <v>环境质量</v>
      </c>
      <c r="R23" s="657" t="s">
        <v>14</v>
      </c>
      <c r="S23" s="658">
        <f>F23</f>
        <v>100</v>
      </c>
      <c r="T23" s="657" t="s">
        <v>14</v>
      </c>
      <c r="U23" s="658">
        <f>H23</f>
        <v>100</v>
      </c>
      <c r="V23" s="657" t="s">
        <v>14</v>
      </c>
      <c r="W23" s="658">
        <f>J23</f>
        <v>100</v>
      </c>
      <c r="X23" s="1243"/>
      <c r="Y23" s="3515"/>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522"/>
      <c r="Q24" s="1241"/>
      <c r="R24" s="657"/>
      <c r="S24" s="658"/>
      <c r="T24" s="657"/>
      <c r="U24" s="658"/>
      <c r="V24" s="657"/>
      <c r="W24" s="658"/>
      <c r="X24" s="1243"/>
      <c r="Y24" s="3515"/>
      <c r="Z24" s="1242"/>
      <c r="AA24" s="1242">
        <v>1</v>
      </c>
      <c r="AB24" s="1242">
        <v>1</v>
      </c>
      <c r="AC24" s="1789">
        <v>1</v>
      </c>
    </row>
    <row r="25" spans="1:29" ht="27">
      <c r="A25" s="341"/>
      <c r="B25" s="549" t="s">
        <v>1812</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522"/>
      <c r="Q25" s="1241" t="str">
        <f>B25</f>
        <v>毗邻道路的类型与等级</v>
      </c>
      <c r="R25" s="657" t="s">
        <v>14</v>
      </c>
      <c r="S25" s="658">
        <f>F25</f>
        <v>100</v>
      </c>
      <c r="T25" s="657" t="s">
        <v>14</v>
      </c>
      <c r="U25" s="658">
        <f>H25</f>
        <v>100</v>
      </c>
      <c r="V25" s="657" t="s">
        <v>14</v>
      </c>
      <c r="W25" s="658">
        <f>J25</f>
        <v>100</v>
      </c>
      <c r="X25" s="1243"/>
      <c r="Y25" s="3515"/>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522"/>
      <c r="Q26" s="1241"/>
      <c r="R26" s="657"/>
      <c r="S26" s="658"/>
      <c r="T26" s="657"/>
      <c r="U26" s="658"/>
      <c r="V26" s="657"/>
      <c r="W26" s="658"/>
      <c r="X26" s="1243"/>
      <c r="Y26" s="3515"/>
      <c r="Z26" s="1242"/>
      <c r="AA26" s="1242">
        <v>1</v>
      </c>
      <c r="AB26" s="1242">
        <v>1</v>
      </c>
      <c r="AC26" s="1789">
        <v>1</v>
      </c>
    </row>
    <row r="27" spans="1:29" ht="15">
      <c r="A27" s="360"/>
      <c r="B27" s="394" t="s">
        <v>1780</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522"/>
      <c r="Q27" s="1241" t="str">
        <f t="shared" ref="Q27:Q47" si="11">B27</f>
        <v>楼层</v>
      </c>
      <c r="R27" s="657" t="s">
        <v>14</v>
      </c>
      <c r="S27" s="658">
        <f>F27</f>
        <v>100</v>
      </c>
      <c r="T27" s="657" t="s">
        <v>14</v>
      </c>
      <c r="U27" s="658">
        <f>H27</f>
        <v>100</v>
      </c>
      <c r="V27" s="657" t="s">
        <v>14</v>
      </c>
      <c r="W27" s="658">
        <f>J27</f>
        <v>100</v>
      </c>
      <c r="X27" s="1243"/>
      <c r="Y27" s="3515"/>
      <c r="Z27" s="1242" t="str">
        <f>Q27</f>
        <v>楼层</v>
      </c>
      <c r="AA27" s="1242">
        <f t="shared" si="3"/>
        <v>1</v>
      </c>
      <c r="AB27" s="1242">
        <f t="shared" si="4"/>
        <v>1</v>
      </c>
      <c r="AC27" s="1789">
        <f t="shared" si="5"/>
        <v>1</v>
      </c>
    </row>
    <row r="28" spans="1:29" s="101" customFormat="1" ht="15">
      <c r="A28" s="363"/>
      <c r="B28" s="549" t="s">
        <v>1813</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522"/>
      <c r="Q28" s="523" t="str">
        <f t="shared" si="11"/>
        <v>朝向</v>
      </c>
      <c r="R28" s="654" t="s">
        <v>14</v>
      </c>
      <c r="S28" s="655">
        <f>F28</f>
        <v>100</v>
      </c>
      <c r="T28" s="654" t="s">
        <v>14</v>
      </c>
      <c r="U28" s="655">
        <f>H28</f>
        <v>100</v>
      </c>
      <c r="V28" s="654" t="s">
        <v>14</v>
      </c>
      <c r="W28" s="655">
        <f>J28</f>
        <v>100</v>
      </c>
      <c r="X28" s="656"/>
      <c r="Y28" s="3515"/>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522"/>
      <c r="Q29" s="1241">
        <f t="shared" si="11"/>
        <v>111</v>
      </c>
      <c r="R29" s="657" t="s">
        <v>14</v>
      </c>
      <c r="S29" s="658">
        <f t="shared" ref="S29:S47" si="12">F29</f>
        <v>100</v>
      </c>
      <c r="T29" s="657" t="s">
        <v>14</v>
      </c>
      <c r="U29" s="658">
        <f t="shared" ref="U29:U47" si="13">H29</f>
        <v>100</v>
      </c>
      <c r="V29" s="657" t="s">
        <v>14</v>
      </c>
      <c r="W29" s="658">
        <f t="shared" ref="W29:W47" si="14">J29</f>
        <v>100</v>
      </c>
      <c r="X29" s="1243"/>
      <c r="Y29" s="3515"/>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522"/>
      <c r="Q30" s="1241">
        <f t="shared" si="11"/>
        <v>111</v>
      </c>
      <c r="R30" s="657" t="s">
        <v>14</v>
      </c>
      <c r="S30" s="658">
        <f t="shared" si="12"/>
        <v>100</v>
      </c>
      <c r="T30" s="657" t="s">
        <v>14</v>
      </c>
      <c r="U30" s="658">
        <f t="shared" si="13"/>
        <v>100</v>
      </c>
      <c r="V30" s="657" t="s">
        <v>14</v>
      </c>
      <c r="W30" s="658">
        <f t="shared" si="14"/>
        <v>100</v>
      </c>
      <c r="X30" s="1243"/>
      <c r="Y30" s="3515"/>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522"/>
      <c r="Q31" s="1241">
        <f t="shared" si="11"/>
        <v>111</v>
      </c>
      <c r="R31" s="657" t="s">
        <v>14</v>
      </c>
      <c r="S31" s="658">
        <f t="shared" si="12"/>
        <v>100</v>
      </c>
      <c r="T31" s="657" t="s">
        <v>14</v>
      </c>
      <c r="U31" s="658">
        <f t="shared" si="13"/>
        <v>100</v>
      </c>
      <c r="V31" s="657" t="s">
        <v>14</v>
      </c>
      <c r="W31" s="658">
        <f t="shared" si="14"/>
        <v>100</v>
      </c>
      <c r="X31" s="1243"/>
      <c r="Y31" s="3515"/>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522"/>
      <c r="Q32" s="1241">
        <f t="shared" si="11"/>
        <v>111</v>
      </c>
      <c r="R32" s="657" t="s">
        <v>14</v>
      </c>
      <c r="S32" s="658">
        <f t="shared" si="12"/>
        <v>100</v>
      </c>
      <c r="T32" s="657" t="s">
        <v>14</v>
      </c>
      <c r="U32" s="658">
        <f t="shared" si="13"/>
        <v>100</v>
      </c>
      <c r="V32" s="657" t="s">
        <v>14</v>
      </c>
      <c r="W32" s="658">
        <f t="shared" si="14"/>
        <v>100</v>
      </c>
      <c r="X32" s="1243"/>
      <c r="Y32" s="3515"/>
      <c r="Z32" s="1242">
        <f t="shared" si="15"/>
        <v>111</v>
      </c>
      <c r="AA32" s="1242">
        <f t="shared" si="3"/>
        <v>1</v>
      </c>
      <c r="AB32" s="1242">
        <f t="shared" si="4"/>
        <v>1</v>
      </c>
      <c r="AC32" s="1789">
        <f t="shared" si="5"/>
        <v>1</v>
      </c>
    </row>
    <row r="33" spans="1:29" ht="15">
      <c r="A33" s="372" t="s">
        <v>1691</v>
      </c>
      <c r="B33" s="60" t="s">
        <v>1814</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516" t="s">
        <v>1693</v>
      </c>
      <c r="Q33" s="1241" t="str">
        <f t="shared" si="11"/>
        <v>建筑类型</v>
      </c>
      <c r="R33" s="657" t="s">
        <v>14</v>
      </c>
      <c r="S33" s="658">
        <f t="shared" si="12"/>
        <v>100</v>
      </c>
      <c r="T33" s="657" t="s">
        <v>14</v>
      </c>
      <c r="U33" s="658">
        <f t="shared" si="13"/>
        <v>100</v>
      </c>
      <c r="V33" s="657" t="s">
        <v>14</v>
      </c>
      <c r="W33" s="658">
        <f t="shared" si="14"/>
        <v>100</v>
      </c>
      <c r="X33" s="1243"/>
      <c r="Y33" s="3519" t="s">
        <v>1693</v>
      </c>
      <c r="Z33" s="1242" t="str">
        <f t="shared" si="15"/>
        <v>建筑类型</v>
      </c>
      <c r="AA33" s="1242">
        <f t="shared" si="3"/>
        <v>1</v>
      </c>
      <c r="AB33" s="1242">
        <f t="shared" si="4"/>
        <v>1</v>
      </c>
      <c r="AC33" s="1789">
        <f t="shared" si="5"/>
        <v>1</v>
      </c>
    </row>
    <row r="34" spans="1:29" s="401" customFormat="1" ht="15">
      <c r="A34" s="399"/>
      <c r="B34" s="357" t="s">
        <v>1694</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517"/>
      <c r="Q34" s="524" t="str">
        <f t="shared" si="11"/>
        <v>项目建筑规模</v>
      </c>
      <c r="R34" s="659" t="s">
        <v>14</v>
      </c>
      <c r="S34" s="660" t="e">
        <f t="shared" si="12"/>
        <v>#N/A</v>
      </c>
      <c r="T34" s="659" t="s">
        <v>14</v>
      </c>
      <c r="U34" s="660" t="e">
        <f t="shared" si="13"/>
        <v>#N/A</v>
      </c>
      <c r="V34" s="659" t="s">
        <v>14</v>
      </c>
      <c r="W34" s="660" t="e">
        <f t="shared" si="14"/>
        <v>#N/A</v>
      </c>
      <c r="X34" s="661"/>
      <c r="Y34" s="3519"/>
      <c r="Z34" s="662" t="str">
        <f t="shared" si="15"/>
        <v>项目建筑规模</v>
      </c>
      <c r="AA34" s="1242" t="e">
        <f t="shared" si="3"/>
        <v>#N/A</v>
      </c>
      <c r="AB34" s="1242" t="e">
        <f t="shared" si="4"/>
        <v>#N/A</v>
      </c>
      <c r="AC34" s="1789" t="e">
        <f t="shared" si="5"/>
        <v>#N/A</v>
      </c>
    </row>
    <row r="35" spans="1:29" ht="15">
      <c r="A35" s="402"/>
      <c r="B35" s="357" t="s">
        <v>1695</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517"/>
      <c r="Q35" s="1241" t="str">
        <f t="shared" si="11"/>
        <v>建筑结构</v>
      </c>
      <c r="R35" s="657" t="s">
        <v>14</v>
      </c>
      <c r="S35" s="658">
        <f t="shared" si="12"/>
        <v>100</v>
      </c>
      <c r="T35" s="657" t="s">
        <v>14</v>
      </c>
      <c r="U35" s="658">
        <f t="shared" si="13"/>
        <v>100</v>
      </c>
      <c r="V35" s="657" t="s">
        <v>14</v>
      </c>
      <c r="W35" s="658">
        <f t="shared" si="14"/>
        <v>100</v>
      </c>
      <c r="X35" s="1243"/>
      <c r="Y35" s="3519"/>
      <c r="Z35" s="1242" t="str">
        <f t="shared" si="15"/>
        <v>建筑结构</v>
      </c>
      <c r="AA35" s="1242">
        <f t="shared" si="3"/>
        <v>1</v>
      </c>
      <c r="AB35" s="1242">
        <f t="shared" si="4"/>
        <v>1</v>
      </c>
      <c r="AC35" s="1789">
        <f t="shared" si="5"/>
        <v>1</v>
      </c>
    </row>
    <row r="36" spans="1:29" ht="15">
      <c r="A36" s="402"/>
      <c r="B36" s="357" t="s">
        <v>1782</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517"/>
      <c r="Q36" s="1241" t="str">
        <f t="shared" si="11"/>
        <v>公共部分装修</v>
      </c>
      <c r="R36" s="657" t="s">
        <v>14</v>
      </c>
      <c r="S36" s="658">
        <f t="shared" si="12"/>
        <v>100</v>
      </c>
      <c r="T36" s="657" t="s">
        <v>14</v>
      </c>
      <c r="U36" s="658">
        <f t="shared" si="13"/>
        <v>100</v>
      </c>
      <c r="V36" s="657" t="s">
        <v>14</v>
      </c>
      <c r="W36" s="658">
        <f t="shared" si="14"/>
        <v>100</v>
      </c>
      <c r="X36" s="1243"/>
      <c r="Y36" s="3519"/>
      <c r="Z36" s="1242" t="str">
        <f t="shared" si="15"/>
        <v>公共部分装修</v>
      </c>
      <c r="AA36" s="1242">
        <f t="shared" si="3"/>
        <v>1</v>
      </c>
      <c r="AB36" s="1242">
        <f t="shared" si="4"/>
        <v>1</v>
      </c>
      <c r="AC36" s="1789">
        <f t="shared" si="5"/>
        <v>1</v>
      </c>
    </row>
    <row r="37" spans="1:29" ht="15">
      <c r="A37" s="402"/>
      <c r="B37" s="357" t="s">
        <v>1783</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517"/>
      <c r="Q37" s="1241" t="str">
        <f t="shared" si="11"/>
        <v>成新度</v>
      </c>
      <c r="R37" s="657" t="s">
        <v>14</v>
      </c>
      <c r="S37" s="658" t="e">
        <f t="shared" si="12"/>
        <v>#N/A</v>
      </c>
      <c r="T37" s="657" t="s">
        <v>14</v>
      </c>
      <c r="U37" s="658" t="e">
        <f t="shared" si="13"/>
        <v>#N/A</v>
      </c>
      <c r="V37" s="657" t="s">
        <v>14</v>
      </c>
      <c r="W37" s="658" t="e">
        <f t="shared" si="14"/>
        <v>#N/A</v>
      </c>
      <c r="X37" s="1243"/>
      <c r="Y37" s="3519"/>
      <c r="Z37" s="1242" t="str">
        <f t="shared" si="15"/>
        <v>成新度</v>
      </c>
      <c r="AA37" s="1242" t="e">
        <f t="shared" si="3"/>
        <v>#N/A</v>
      </c>
      <c r="AB37" s="1242" t="e">
        <f t="shared" si="4"/>
        <v>#N/A</v>
      </c>
      <c r="AC37" s="1789" t="e">
        <f t="shared" si="5"/>
        <v>#N/A</v>
      </c>
    </row>
    <row r="38" spans="1:29" s="101" customFormat="1" ht="15">
      <c r="A38" s="403"/>
      <c r="B38" s="357" t="s">
        <v>1815</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517"/>
      <c r="Q38" s="523" t="str">
        <f t="shared" si="11"/>
        <v>写字楼等级</v>
      </c>
      <c r="R38" s="654" t="s">
        <v>14</v>
      </c>
      <c r="S38" s="655">
        <f t="shared" si="12"/>
        <v>100</v>
      </c>
      <c r="T38" s="654" t="s">
        <v>14</v>
      </c>
      <c r="U38" s="655">
        <f t="shared" si="13"/>
        <v>100</v>
      </c>
      <c r="V38" s="654" t="s">
        <v>14</v>
      </c>
      <c r="W38" s="655">
        <f t="shared" si="14"/>
        <v>100</v>
      </c>
      <c r="X38" s="656"/>
      <c r="Y38" s="3519"/>
      <c r="Z38" s="50" t="str">
        <f t="shared" si="15"/>
        <v>写字楼等级</v>
      </c>
      <c r="AA38" s="50">
        <f t="shared" si="3"/>
        <v>1</v>
      </c>
      <c r="AB38" s="50">
        <f t="shared" si="4"/>
        <v>1</v>
      </c>
      <c r="AC38" s="784">
        <f t="shared" si="5"/>
        <v>1</v>
      </c>
    </row>
    <row r="39" spans="1:29" ht="15">
      <c r="A39" s="402"/>
      <c r="B39" s="357" t="s">
        <v>1816</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517" t="s">
        <v>1693</v>
      </c>
      <c r="Q39" s="1241" t="str">
        <f t="shared" si="11"/>
        <v>物业管理</v>
      </c>
      <c r="R39" s="657" t="s">
        <v>14</v>
      </c>
      <c r="S39" s="658">
        <f t="shared" si="12"/>
        <v>100</v>
      </c>
      <c r="T39" s="657" t="s">
        <v>14</v>
      </c>
      <c r="U39" s="658">
        <f t="shared" si="13"/>
        <v>100</v>
      </c>
      <c r="V39" s="657" t="s">
        <v>14</v>
      </c>
      <c r="W39" s="658">
        <f t="shared" si="14"/>
        <v>100</v>
      </c>
      <c r="X39" s="1243"/>
      <c r="Y39" s="3519" t="s">
        <v>1693</v>
      </c>
      <c r="Z39" s="1242" t="str">
        <f t="shared" si="15"/>
        <v>物业管理</v>
      </c>
      <c r="AA39" s="1242">
        <f t="shared" si="3"/>
        <v>1</v>
      </c>
      <c r="AB39" s="1242">
        <f t="shared" si="4"/>
        <v>1</v>
      </c>
      <c r="AC39" s="1789">
        <f t="shared" si="5"/>
        <v>1</v>
      </c>
    </row>
    <row r="40" spans="1:29" ht="15">
      <c r="A40" s="402"/>
      <c r="B40" s="357" t="s">
        <v>1784</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517"/>
      <c r="Q40" s="1241" t="str">
        <f t="shared" si="11"/>
        <v>市政基础设施</v>
      </c>
      <c r="R40" s="657" t="s">
        <v>14</v>
      </c>
      <c r="S40" s="658">
        <f t="shared" si="12"/>
        <v>100</v>
      </c>
      <c r="T40" s="657" t="s">
        <v>14</v>
      </c>
      <c r="U40" s="658">
        <f t="shared" si="13"/>
        <v>100</v>
      </c>
      <c r="V40" s="657" t="s">
        <v>14</v>
      </c>
      <c r="W40" s="658">
        <f t="shared" si="14"/>
        <v>100</v>
      </c>
      <c r="X40" s="1243"/>
      <c r="Y40" s="3519"/>
      <c r="Z40" s="1242" t="str">
        <f t="shared" si="15"/>
        <v>市政基础设施</v>
      </c>
      <c r="AA40" s="1242">
        <f t="shared" si="3"/>
        <v>1</v>
      </c>
      <c r="AB40" s="1242">
        <f t="shared" si="4"/>
        <v>1</v>
      </c>
      <c r="AC40" s="1789">
        <f t="shared" si="5"/>
        <v>1</v>
      </c>
    </row>
    <row r="41" spans="1:29" ht="15">
      <c r="A41" s="402"/>
      <c r="B41" s="357" t="s">
        <v>1786</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517"/>
      <c r="Q41" s="1241" t="str">
        <f t="shared" si="11"/>
        <v>层高</v>
      </c>
      <c r="R41" s="657" t="s">
        <v>14</v>
      </c>
      <c r="S41" s="658">
        <f t="shared" si="12"/>
        <v>100</v>
      </c>
      <c r="T41" s="657" t="s">
        <v>14</v>
      </c>
      <c r="U41" s="658">
        <f t="shared" si="13"/>
        <v>100</v>
      </c>
      <c r="V41" s="657" t="s">
        <v>14</v>
      </c>
      <c r="W41" s="658">
        <f t="shared" si="14"/>
        <v>100</v>
      </c>
      <c r="X41" s="1243"/>
      <c r="Y41" s="3519"/>
      <c r="Z41" s="1242" t="str">
        <f t="shared" si="15"/>
        <v>层高</v>
      </c>
      <c r="AA41" s="1242">
        <f t="shared" si="3"/>
        <v>1</v>
      </c>
      <c r="AB41" s="1242">
        <f t="shared" si="4"/>
        <v>1</v>
      </c>
      <c r="AC41" s="1789">
        <f t="shared" si="5"/>
        <v>1</v>
      </c>
    </row>
    <row r="42" spans="1:29" s="401" customFormat="1" ht="15">
      <c r="A42" s="399"/>
      <c r="B42" s="393" t="s">
        <v>1817</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517"/>
      <c r="Q42" s="524" t="str">
        <f t="shared" si="11"/>
        <v>单套建筑面积</v>
      </c>
      <c r="R42" s="659" t="s">
        <v>14</v>
      </c>
      <c r="S42" s="660">
        <f t="shared" si="12"/>
        <v>100</v>
      </c>
      <c r="T42" s="659" t="s">
        <v>14</v>
      </c>
      <c r="U42" s="660">
        <f t="shared" si="13"/>
        <v>100</v>
      </c>
      <c r="V42" s="659" t="s">
        <v>14</v>
      </c>
      <c r="W42" s="660">
        <f t="shared" si="14"/>
        <v>100</v>
      </c>
      <c r="X42" s="661"/>
      <c r="Y42" s="3519"/>
      <c r="Z42" s="662" t="str">
        <f t="shared" si="15"/>
        <v>单套建筑面积</v>
      </c>
      <c r="AA42" s="1242">
        <f t="shared" si="3"/>
        <v>1</v>
      </c>
      <c r="AB42" s="1242">
        <f t="shared" si="4"/>
        <v>1</v>
      </c>
      <c r="AC42" s="1789">
        <f t="shared" si="5"/>
        <v>1</v>
      </c>
    </row>
    <row r="43" spans="1:29" ht="15">
      <c r="A43" s="402"/>
      <c r="B43" s="357" t="s">
        <v>1789</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517"/>
      <c r="Q43" s="1241" t="str">
        <f t="shared" si="11"/>
        <v>内部装修</v>
      </c>
      <c r="R43" s="657" t="s">
        <v>14</v>
      </c>
      <c r="S43" s="658">
        <f t="shared" si="12"/>
        <v>100</v>
      </c>
      <c r="T43" s="657" t="s">
        <v>14</v>
      </c>
      <c r="U43" s="658">
        <f t="shared" si="13"/>
        <v>100</v>
      </c>
      <c r="V43" s="657" t="s">
        <v>14</v>
      </c>
      <c r="W43" s="658">
        <f t="shared" si="14"/>
        <v>100</v>
      </c>
      <c r="X43" s="1243"/>
      <c r="Y43" s="3519"/>
      <c r="Z43" s="1242" t="str">
        <f t="shared" si="15"/>
        <v>内部装修</v>
      </c>
      <c r="AA43" s="1242">
        <f t="shared" si="3"/>
        <v>1</v>
      </c>
      <c r="AB43" s="1242">
        <f t="shared" si="4"/>
        <v>1</v>
      </c>
      <c r="AC43" s="1789">
        <f t="shared" si="5"/>
        <v>1</v>
      </c>
    </row>
    <row r="44" spans="1:29" ht="15">
      <c r="A44" s="402"/>
      <c r="B44" s="357" t="s">
        <v>1704</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517"/>
      <c r="Q44" s="1241" t="str">
        <f t="shared" si="11"/>
        <v>内部装修维护情况</v>
      </c>
      <c r="R44" s="657" t="s">
        <v>14</v>
      </c>
      <c r="S44" s="658">
        <f t="shared" si="12"/>
        <v>100</v>
      </c>
      <c r="T44" s="657" t="s">
        <v>14</v>
      </c>
      <c r="U44" s="658">
        <f t="shared" si="13"/>
        <v>100</v>
      </c>
      <c r="V44" s="657" t="s">
        <v>14</v>
      </c>
      <c r="W44" s="658">
        <f t="shared" si="14"/>
        <v>100</v>
      </c>
      <c r="X44" s="1243"/>
      <c r="Y44" s="3519"/>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517"/>
      <c r="Q45" s="523">
        <f t="shared" si="11"/>
        <v>111</v>
      </c>
      <c r="R45" s="654" t="s">
        <v>14</v>
      </c>
      <c r="S45" s="655">
        <f t="shared" si="12"/>
        <v>100</v>
      </c>
      <c r="T45" s="654" t="s">
        <v>14</v>
      </c>
      <c r="U45" s="655">
        <f t="shared" si="13"/>
        <v>100</v>
      </c>
      <c r="V45" s="654" t="s">
        <v>14</v>
      </c>
      <c r="W45" s="655">
        <f t="shared" si="14"/>
        <v>100</v>
      </c>
      <c r="X45" s="656"/>
      <c r="Y45" s="3519"/>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517"/>
      <c r="Q46" s="1241">
        <f t="shared" si="11"/>
        <v>111</v>
      </c>
      <c r="R46" s="657" t="s">
        <v>14</v>
      </c>
      <c r="S46" s="658">
        <f t="shared" si="12"/>
        <v>100</v>
      </c>
      <c r="T46" s="657" t="s">
        <v>14</v>
      </c>
      <c r="U46" s="658">
        <f t="shared" si="13"/>
        <v>100</v>
      </c>
      <c r="V46" s="657" t="s">
        <v>14</v>
      </c>
      <c r="W46" s="658">
        <f t="shared" si="14"/>
        <v>100</v>
      </c>
      <c r="X46" s="1243"/>
      <c r="Y46" s="3519"/>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518"/>
      <c r="Q47" s="1241">
        <f t="shared" si="11"/>
        <v>111</v>
      </c>
      <c r="R47" s="657" t="s">
        <v>14</v>
      </c>
      <c r="S47" s="658">
        <f t="shared" si="12"/>
        <v>100</v>
      </c>
      <c r="T47" s="657" t="s">
        <v>14</v>
      </c>
      <c r="U47" s="658">
        <f t="shared" si="13"/>
        <v>100</v>
      </c>
      <c r="V47" s="657" t="s">
        <v>14</v>
      </c>
      <c r="W47" s="658">
        <f t="shared" si="14"/>
        <v>100</v>
      </c>
      <c r="X47" s="1243"/>
      <c r="Y47" s="3520"/>
      <c r="Z47" s="1242">
        <f t="shared" si="15"/>
        <v>111</v>
      </c>
      <c r="AA47" s="1242">
        <f t="shared" si="3"/>
        <v>1</v>
      </c>
      <c r="AB47" s="1242">
        <f t="shared" si="4"/>
        <v>1</v>
      </c>
      <c r="AC47" s="1789">
        <f t="shared" si="5"/>
        <v>1</v>
      </c>
    </row>
    <row r="48" spans="1:29" ht="15">
      <c r="A48" s="409" t="s">
        <v>1705</v>
      </c>
      <c r="B48" s="410"/>
      <c r="C48" s="1059" t="s">
        <v>0</v>
      </c>
      <c r="D48" s="411"/>
      <c r="E48" s="412"/>
      <c r="F48" s="413"/>
      <c r="G48" s="414"/>
      <c r="H48" s="415"/>
      <c r="I48" s="412"/>
      <c r="J48" s="415"/>
      <c r="K48" s="664"/>
      <c r="L48" s="2469"/>
      <c r="M48" s="2462"/>
      <c r="N48" s="2462"/>
      <c r="O48" s="2462"/>
      <c r="P48" s="3523" t="str">
        <f>A48</f>
        <v>成交单价（元/平方米）</v>
      </c>
      <c r="Q48" s="3512"/>
      <c r="R48" s="3513">
        <f>E48</f>
        <v>0</v>
      </c>
      <c r="S48" s="3513"/>
      <c r="T48" s="3513">
        <f>G48</f>
        <v>0</v>
      </c>
      <c r="U48" s="3513"/>
      <c r="V48" s="3513">
        <f>I48</f>
        <v>0</v>
      </c>
      <c r="W48" s="3513"/>
      <c r="X48" s="378"/>
      <c r="Y48" s="663"/>
      <c r="Z48" s="378"/>
      <c r="AA48" s="378"/>
      <c r="AB48" s="378"/>
      <c r="AC48" s="548"/>
    </row>
    <row r="49" spans="1:29" ht="15.75" thickBot="1">
      <c r="A49" s="416" t="s">
        <v>1790</v>
      </c>
      <c r="B49" s="417"/>
      <c r="C49" s="1060" t="e">
        <f>R50</f>
        <v>#DIV/0!</v>
      </c>
      <c r="D49" s="2118" t="s">
        <v>2133</v>
      </c>
      <c r="E49" s="1061" t="e">
        <f>R49</f>
        <v>#DIV/0!</v>
      </c>
      <c r="F49" s="2119"/>
      <c r="G49" s="1060" t="e">
        <f>T49</f>
        <v>#DIV/0!</v>
      </c>
      <c r="H49" s="2119"/>
      <c r="I49" s="1061" t="e">
        <f>V49</f>
        <v>#DIV/0!</v>
      </c>
      <c r="J49" s="2119"/>
      <c r="K49" s="2121">
        <f>F49+H49+J49</f>
        <v>0</v>
      </c>
      <c r="L49" s="2469"/>
      <c r="M49" s="2462"/>
      <c r="N49" s="2462"/>
      <c r="O49" s="2462"/>
      <c r="P49" s="3523" t="str">
        <f>A49</f>
        <v>比较价值（元/平方米）</v>
      </c>
      <c r="Q49" s="3512"/>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378"/>
      <c r="Y49" s="378"/>
      <c r="Z49" s="378"/>
      <c r="AA49" s="378"/>
      <c r="AB49" s="378"/>
      <c r="AC49" s="548"/>
    </row>
    <row r="50" spans="1:29" ht="15.75" thickBot="1">
      <c r="A50" s="420" t="s">
        <v>1791</v>
      </c>
      <c r="B50" s="421"/>
      <c r="C50" s="344" t="e">
        <f>R50</f>
        <v>#DIV/0!</v>
      </c>
      <c r="D50" s="344"/>
      <c r="E50" s="344"/>
      <c r="F50" s="344"/>
      <c r="G50" s="344"/>
      <c r="H50" s="344"/>
      <c r="I50" s="344"/>
      <c r="J50" s="422"/>
      <c r="K50" s="665"/>
      <c r="L50" s="2469"/>
      <c r="M50" s="2462"/>
      <c r="N50" s="2462"/>
      <c r="O50" s="2462"/>
      <c r="P50" s="3554" t="str">
        <f>A50</f>
        <v>估价对象XX用房的比较价值（楼面单价，元/平方米）</v>
      </c>
      <c r="Q50" s="3555"/>
      <c r="R50" s="3556" t="e">
        <f>IF(F1="售价",ROUND(IF(D49="简单平均",AVERAGE(R49:V49),R49*F49+T49*H49+V49*J49),0),ROUND(IF(D49="简单平均",AVERAGE(R49:V49),R49*F49+T49*H49+V49*J49),1))</f>
        <v>#DIV/0!</v>
      </c>
      <c r="S50" s="3556"/>
      <c r="T50" s="3556"/>
      <c r="U50" s="3556"/>
      <c r="V50" s="3556"/>
      <c r="W50" s="3556"/>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1792</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1793</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1794</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1795</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1676</v>
      </c>
      <c r="B59" s="434"/>
      <c r="C59" s="1081" t="str">
        <f>YEAR(C7)&amp;"-"&amp;MONTH(C7)</f>
        <v>2025-10</v>
      </c>
      <c r="D59" s="1082">
        <f>EDATE(C59,-1)</f>
        <v>45901</v>
      </c>
      <c r="E59" s="1082">
        <f>EDATE(D59,-1)</f>
        <v>45870</v>
      </c>
      <c r="F59" s="1082">
        <f t="shared" ref="F59:O59" si="16">EDATE(E59,-1)</f>
        <v>45839</v>
      </c>
      <c r="G59" s="1082">
        <f t="shared" si="16"/>
        <v>45809</v>
      </c>
      <c r="H59" s="1082">
        <f t="shared" si="16"/>
        <v>45778</v>
      </c>
      <c r="I59" s="1082">
        <f t="shared" si="16"/>
        <v>45748</v>
      </c>
      <c r="J59" s="1082">
        <f t="shared" si="16"/>
        <v>45717</v>
      </c>
      <c r="K59" s="1082">
        <f t="shared" si="16"/>
        <v>45689</v>
      </c>
      <c r="L59" s="1082">
        <f t="shared" si="16"/>
        <v>45658</v>
      </c>
      <c r="M59" s="1082">
        <f t="shared" si="16"/>
        <v>45627</v>
      </c>
      <c r="N59" s="1082">
        <f t="shared" si="16"/>
        <v>45597</v>
      </c>
      <c r="O59" s="1082">
        <f t="shared" si="16"/>
        <v>45566</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1713</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1678</v>
      </c>
      <c r="B62" s="437"/>
      <c r="C62" s="449" t="s">
        <v>1773</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1716</v>
      </c>
      <c r="B64" s="453" t="s">
        <v>1682</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1685</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1686</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1687</v>
      </c>
      <c r="B77" s="453" t="s">
        <v>1818</v>
      </c>
      <c r="C77" s="497" t="s">
        <v>1718</v>
      </c>
      <c r="D77" s="497" t="s">
        <v>1719</v>
      </c>
      <c r="E77" s="497" t="s">
        <v>1720</v>
      </c>
      <c r="F77" s="497" t="s">
        <v>1721</v>
      </c>
      <c r="G77" s="497" t="s">
        <v>1722</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1723</v>
      </c>
      <c r="C79" s="502" t="s">
        <v>1718</v>
      </c>
      <c r="D79" s="502" t="s">
        <v>1719</v>
      </c>
      <c r="E79" s="502" t="s">
        <v>1720</v>
      </c>
      <c r="F79" s="502" t="s">
        <v>1721</v>
      </c>
      <c r="G79" s="502" t="s">
        <v>1722</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1724</v>
      </c>
      <c r="C81" s="502" t="s">
        <v>1718</v>
      </c>
      <c r="D81" s="502" t="s">
        <v>1719</v>
      </c>
      <c r="E81" s="502" t="s">
        <v>1720</v>
      </c>
      <c r="F81" s="502" t="s">
        <v>1721</v>
      </c>
      <c r="G81" s="502" t="s">
        <v>1722</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1810</v>
      </c>
      <c r="C83" s="574" t="s">
        <v>1796</v>
      </c>
      <c r="D83" s="574" t="s">
        <v>1797</v>
      </c>
      <c r="E83" s="574" t="s">
        <v>1798</v>
      </c>
      <c r="F83" s="574" t="s">
        <v>1799</v>
      </c>
      <c r="G83" s="574" t="s">
        <v>1800</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1819</v>
      </c>
      <c r="C85" s="502" t="s">
        <v>1718</v>
      </c>
      <c r="D85" s="502" t="s">
        <v>1719</v>
      </c>
      <c r="E85" s="502" t="s">
        <v>1720</v>
      </c>
      <c r="F85" s="502" t="s">
        <v>1721</v>
      </c>
      <c r="G85" s="502" t="s">
        <v>1722</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1820</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1691</v>
      </c>
      <c r="B101" s="453" t="s">
        <v>1733</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1734</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1735</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1737</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1821</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1738</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1739</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1822</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1805</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1741</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1742</v>
      </c>
      <c r="C125" s="502" t="s">
        <v>1718</v>
      </c>
      <c r="D125" s="502" t="s">
        <v>1719</v>
      </c>
      <c r="E125" s="502" t="s">
        <v>1720</v>
      </c>
      <c r="F125" s="502" t="s">
        <v>1721</v>
      </c>
      <c r="G125" s="502" t="s">
        <v>1722</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1823</v>
      </c>
      <c r="C1" s="1119" t="s">
        <v>1659</v>
      </c>
      <c r="D1" s="1120"/>
      <c r="E1" s="3103"/>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1461</v>
      </c>
      <c r="B3" s="529">
        <f>IF(C2="——",C43,ROUND(B2*10000/D3,0))</f>
        <v>0</v>
      </c>
      <c r="C3" s="337" t="s">
        <v>1765</v>
      </c>
      <c r="D3" s="336">
        <f>IF(D1="",'数据-汇总表'!E3,SUMIF('数据-汇总表'!$C19:$C33,D1,'数据-汇总表'!$E19:$E33))</f>
        <v>45214.01</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1766</v>
      </c>
      <c r="B4" s="339"/>
      <c r="C4" s="3527" t="s">
        <v>1767</v>
      </c>
      <c r="D4" s="3528"/>
      <c r="E4" s="3529" t="s">
        <v>1768</v>
      </c>
      <c r="F4" s="3530"/>
      <c r="G4" s="3527" t="s">
        <v>1769</v>
      </c>
      <c r="H4" s="3528"/>
      <c r="I4" s="3527" t="s">
        <v>1770</v>
      </c>
      <c r="J4" s="3528"/>
      <c r="K4" s="530" t="s">
        <v>1771</v>
      </c>
      <c r="L4" s="840"/>
      <c r="M4" s="841"/>
      <c r="N4" s="841"/>
      <c r="O4" s="841"/>
      <c r="P4" s="3531" t="s">
        <v>1772</v>
      </c>
      <c r="Q4" s="3532"/>
      <c r="R4" s="3537" t="s">
        <v>1768</v>
      </c>
      <c r="S4" s="3538"/>
      <c r="T4" s="3537" t="s">
        <v>1769</v>
      </c>
      <c r="U4" s="3538"/>
      <c r="V4" s="3513" t="s">
        <v>1770</v>
      </c>
      <c r="W4" s="3513"/>
      <c r="X4" s="1243"/>
      <c r="Y4" s="3537" t="s">
        <v>1772</v>
      </c>
      <c r="Z4" s="3538"/>
      <c r="AA4" s="3524" t="s">
        <v>1768</v>
      </c>
      <c r="AB4" s="3525" t="s">
        <v>1769</v>
      </c>
      <c r="AC4" s="3524" t="s">
        <v>1770</v>
      </c>
    </row>
    <row r="5" spans="1:29" ht="15">
      <c r="A5" s="341"/>
      <c r="B5" s="342"/>
      <c r="C5" s="3545" t="s">
        <v>1670</v>
      </c>
      <c r="D5" s="3546"/>
      <c r="E5" s="3552" t="s">
        <v>1671</v>
      </c>
      <c r="F5" s="3553"/>
      <c r="G5" s="3545" t="s">
        <v>1672</v>
      </c>
      <c r="H5" s="3546"/>
      <c r="I5" s="3545" t="s">
        <v>1673</v>
      </c>
      <c r="J5" s="3546"/>
      <c r="K5" s="530"/>
      <c r="L5" s="840"/>
      <c r="M5" s="841"/>
      <c r="N5" s="841"/>
      <c r="O5" s="841"/>
      <c r="P5" s="3533"/>
      <c r="Q5" s="3534"/>
      <c r="R5" s="3539"/>
      <c r="S5" s="3540"/>
      <c r="T5" s="3539"/>
      <c r="U5" s="3540"/>
      <c r="V5" s="3513"/>
      <c r="W5" s="3513"/>
      <c r="X5" s="1243"/>
      <c r="Y5" s="3539"/>
      <c r="Z5" s="3540"/>
      <c r="AA5" s="3525"/>
      <c r="AB5" s="3525"/>
      <c r="AC5" s="3525"/>
    </row>
    <row r="6" spans="1:29" ht="15.75" thickBot="1">
      <c r="A6" s="343"/>
      <c r="B6" s="344"/>
      <c r="C6" s="3543" t="s">
        <v>1674</v>
      </c>
      <c r="D6" s="3544"/>
      <c r="E6" s="3550" t="s">
        <v>1674</v>
      </c>
      <c r="F6" s="3551"/>
      <c r="G6" s="3543" t="s">
        <v>1674</v>
      </c>
      <c r="H6" s="3544"/>
      <c r="I6" s="3543" t="s">
        <v>1674</v>
      </c>
      <c r="J6" s="3544"/>
      <c r="K6" s="530" t="s">
        <v>1675</v>
      </c>
      <c r="L6" s="840"/>
      <c r="M6" s="841"/>
      <c r="N6" s="841"/>
      <c r="O6" s="841"/>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SUMIF(52:52,YEAR(E7)&amp;"-"&amp;MONTH(E7),53:53)</f>
        <v>0</v>
      </c>
      <c r="G7" s="349"/>
      <c r="H7" s="348">
        <f>SUMIF(52:52,YEAR(G7)&amp;"-"&amp;MONTH(G7),53:53)</f>
        <v>0</v>
      </c>
      <c r="I7" s="349"/>
      <c r="J7" s="348">
        <f>SUMIF(52:52,YEAR(I7)&amp;"-"&amp;MONTH(I7),53:53)</f>
        <v>0</v>
      </c>
      <c r="K7" s="38"/>
      <c r="L7" s="842"/>
      <c r="M7" s="843"/>
      <c r="N7" s="843"/>
      <c r="O7" s="843"/>
      <c r="P7" s="3547" t="s">
        <v>1677</v>
      </c>
      <c r="Q7" s="3549"/>
      <c r="R7" s="654" t="s">
        <v>14</v>
      </c>
      <c r="S7" s="655">
        <f t="shared" ref="S7:S15" si="0">F7</f>
        <v>0</v>
      </c>
      <c r="T7" s="654" t="s">
        <v>14</v>
      </c>
      <c r="U7" s="655">
        <f t="shared" ref="U7:U15" si="1">H7</f>
        <v>0</v>
      </c>
      <c r="V7" s="654" t="s">
        <v>14</v>
      </c>
      <c r="W7" s="655">
        <f t="shared" ref="W7:W15" si="2">J7</f>
        <v>0</v>
      </c>
      <c r="X7" s="656"/>
      <c r="Y7" s="3547" t="s">
        <v>1677</v>
      </c>
      <c r="Z7" s="3548"/>
      <c r="AA7" s="50" t="e">
        <f>D7/F7</f>
        <v>#DIV/0!</v>
      </c>
      <c r="AB7" s="50" t="e">
        <f>D7/H7</f>
        <v>#DIV/0!</v>
      </c>
      <c r="AC7" s="50" t="e">
        <f>D7/J7</f>
        <v>#DIV/0!</v>
      </c>
    </row>
    <row r="8" spans="1:29" s="101" customFormat="1" ht="15.75" thickBot="1">
      <c r="A8" s="345" t="s">
        <v>1678</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547" t="s">
        <v>1680</v>
      </c>
      <c r="Q8" s="3548"/>
      <c r="R8" s="654" t="s">
        <v>14</v>
      </c>
      <c r="S8" s="655">
        <f t="shared" si="0"/>
        <v>100</v>
      </c>
      <c r="T8" s="654" t="s">
        <v>14</v>
      </c>
      <c r="U8" s="655">
        <f t="shared" si="1"/>
        <v>100</v>
      </c>
      <c r="V8" s="654" t="s">
        <v>14</v>
      </c>
      <c r="W8" s="655">
        <f t="shared" si="2"/>
        <v>100</v>
      </c>
      <c r="X8" s="656"/>
      <c r="Y8" s="3547" t="s">
        <v>1680</v>
      </c>
      <c r="Z8" s="3548"/>
      <c r="AA8" s="50">
        <f t="shared" ref="AA8:AA40" si="3">D8/F8</f>
        <v>1</v>
      </c>
      <c r="AB8" s="50">
        <f t="shared" ref="AB8:AB40" si="4">D8/H8</f>
        <v>1</v>
      </c>
      <c r="AC8" s="50">
        <f t="shared" ref="AC8:AC40" si="5">D8/J8</f>
        <v>1</v>
      </c>
    </row>
    <row r="9" spans="1:29" s="101" customFormat="1">
      <c r="A9" s="352" t="s">
        <v>1681</v>
      </c>
      <c r="B9" s="60" t="s">
        <v>1682</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512"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50">
        <f t="shared" si="5"/>
        <v>1</v>
      </c>
    </row>
    <row r="10" spans="1:29" s="359" customFormat="1" ht="27">
      <c r="A10" s="356"/>
      <c r="B10" s="357" t="s">
        <v>1685</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512"/>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50">
        <f t="shared" si="5"/>
        <v>1</v>
      </c>
    </row>
    <row r="11" spans="1:29" ht="15">
      <c r="A11" s="360"/>
      <c r="B11" s="357" t="s">
        <v>1686</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512"/>
      <c r="Q11" s="523" t="str">
        <f t="shared" si="6"/>
        <v>容积率</v>
      </c>
      <c r="R11" s="654" t="s">
        <v>14</v>
      </c>
      <c r="S11" s="655">
        <f t="shared" si="0"/>
        <v>100</v>
      </c>
      <c r="T11" s="654" t="s">
        <v>14</v>
      </c>
      <c r="U11" s="655">
        <f t="shared" si="1"/>
        <v>100</v>
      </c>
      <c r="V11" s="654" t="s">
        <v>14</v>
      </c>
      <c r="W11" s="655">
        <f t="shared" si="2"/>
        <v>100</v>
      </c>
      <c r="X11" s="656"/>
      <c r="Y11" s="3368"/>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512"/>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512"/>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512"/>
      <c r="Q14" s="523">
        <f t="shared" si="6"/>
        <v>111</v>
      </c>
      <c r="R14" s="654" t="s">
        <v>14</v>
      </c>
      <c r="S14" s="655">
        <f t="shared" si="0"/>
        <v>100</v>
      </c>
      <c r="T14" s="654" t="s">
        <v>14</v>
      </c>
      <c r="U14" s="655">
        <f t="shared" si="1"/>
        <v>100</v>
      </c>
      <c r="V14" s="654" t="s">
        <v>14</v>
      </c>
      <c r="W14" s="655">
        <f t="shared" si="2"/>
        <v>100</v>
      </c>
      <c r="X14" s="656"/>
      <c r="Y14" s="3368"/>
      <c r="Z14" s="50">
        <f t="shared" si="7"/>
        <v>111</v>
      </c>
      <c r="AA14" s="50">
        <f t="shared" si="3"/>
        <v>1</v>
      </c>
      <c r="AB14" s="50">
        <f t="shared" si="4"/>
        <v>1</v>
      </c>
      <c r="AC14" s="50">
        <f t="shared" si="5"/>
        <v>1</v>
      </c>
    </row>
    <row r="15" spans="1:29" ht="15">
      <c r="A15" s="372" t="s">
        <v>1687</v>
      </c>
      <c r="B15" s="58" t="s">
        <v>1824</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514" t="s">
        <v>1688</v>
      </c>
      <c r="Q15" s="1241" t="str">
        <f t="shared" si="6"/>
        <v>产业集聚程度</v>
      </c>
      <c r="R15" s="657" t="s">
        <v>14</v>
      </c>
      <c r="S15" s="658">
        <f t="shared" si="0"/>
        <v>100</v>
      </c>
      <c r="T15" s="657" t="s">
        <v>14</v>
      </c>
      <c r="U15" s="658">
        <f t="shared" si="1"/>
        <v>100</v>
      </c>
      <c r="V15" s="657" t="s">
        <v>14</v>
      </c>
      <c r="W15" s="658">
        <f t="shared" si="2"/>
        <v>100</v>
      </c>
      <c r="X15" s="1243"/>
      <c r="Y15" s="3514" t="s">
        <v>1688</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515"/>
      <c r="Q16" s="1241"/>
      <c r="R16" s="657"/>
      <c r="S16" s="658"/>
      <c r="T16" s="657"/>
      <c r="U16" s="658"/>
      <c r="V16" s="657"/>
      <c r="W16" s="658"/>
      <c r="X16" s="1243"/>
      <c r="Y16" s="3515"/>
      <c r="Z16" s="1242"/>
      <c r="AA16" s="1242">
        <v>1</v>
      </c>
      <c r="AB16" s="1242">
        <v>1</v>
      </c>
      <c r="AC16" s="1242">
        <v>1</v>
      </c>
    </row>
    <row r="17" spans="1:29" ht="15">
      <c r="A17" s="360"/>
      <c r="B17" s="383" t="s">
        <v>1256</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515"/>
      <c r="Q17" s="1241" t="str">
        <f>B17</f>
        <v>交通便捷度</v>
      </c>
      <c r="R17" s="657" t="s">
        <v>14</v>
      </c>
      <c r="S17" s="658">
        <f>F17</f>
        <v>100</v>
      </c>
      <c r="T17" s="657" t="s">
        <v>14</v>
      </c>
      <c r="U17" s="658">
        <f>H17</f>
        <v>100</v>
      </c>
      <c r="V17" s="657" t="s">
        <v>14</v>
      </c>
      <c r="W17" s="658">
        <f>J17</f>
        <v>100</v>
      </c>
      <c r="X17" s="1243"/>
      <c r="Y17" s="3515"/>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515"/>
      <c r="Q18" s="1241"/>
      <c r="R18" s="657"/>
      <c r="S18" s="658"/>
      <c r="T18" s="657"/>
      <c r="U18" s="658"/>
      <c r="V18" s="657"/>
      <c r="W18" s="658"/>
      <c r="X18" s="1243"/>
      <c r="Y18" s="3515"/>
      <c r="Z18" s="1242"/>
      <c r="AA18" s="1242">
        <v>1</v>
      </c>
      <c r="AB18" s="1242">
        <v>1</v>
      </c>
      <c r="AC18" s="1242">
        <v>1</v>
      </c>
    </row>
    <row r="19" spans="1:29" ht="15">
      <c r="A19" s="360"/>
      <c r="B19" s="383" t="s">
        <v>1809</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515"/>
      <c r="Q19" s="1241" t="str">
        <f>B19</f>
        <v>公共配套设施</v>
      </c>
      <c r="R19" s="657" t="s">
        <v>14</v>
      </c>
      <c r="S19" s="658">
        <f>F19</f>
        <v>100</v>
      </c>
      <c r="T19" s="657" t="s">
        <v>14</v>
      </c>
      <c r="U19" s="658">
        <f>H19</f>
        <v>100</v>
      </c>
      <c r="V19" s="657" t="s">
        <v>14</v>
      </c>
      <c r="W19" s="658">
        <f>J19</f>
        <v>100</v>
      </c>
      <c r="X19" s="1243"/>
      <c r="Y19" s="3515"/>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515"/>
      <c r="Q20" s="1241"/>
      <c r="R20" s="657"/>
      <c r="S20" s="658"/>
      <c r="T20" s="657"/>
      <c r="U20" s="658"/>
      <c r="V20" s="657"/>
      <c r="W20" s="658"/>
      <c r="X20" s="1243"/>
      <c r="Y20" s="3515"/>
      <c r="Z20" s="1242"/>
      <c r="AA20" s="1242">
        <v>1</v>
      </c>
      <c r="AB20" s="1242">
        <v>1</v>
      </c>
      <c r="AC20" s="1242">
        <v>1</v>
      </c>
    </row>
    <row r="21" spans="1:29" ht="15">
      <c r="A21" s="360"/>
      <c r="B21" s="579" t="s">
        <v>1810</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515"/>
      <c r="Q21" s="1241" t="str">
        <f>B21</f>
        <v>基础设施水平</v>
      </c>
      <c r="R21" s="657" t="s">
        <v>14</v>
      </c>
      <c r="S21" s="658">
        <f>F21</f>
        <v>100</v>
      </c>
      <c r="T21" s="657" t="s">
        <v>14</v>
      </c>
      <c r="U21" s="658">
        <f>H21</f>
        <v>100</v>
      </c>
      <c r="V21" s="657" t="s">
        <v>14</v>
      </c>
      <c r="W21" s="658">
        <f>J21</f>
        <v>100</v>
      </c>
      <c r="X21" s="1243"/>
      <c r="Y21" s="351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515"/>
      <c r="Q22" s="1241"/>
      <c r="R22" s="657"/>
      <c r="S22" s="658"/>
      <c r="T22" s="657"/>
      <c r="U22" s="658"/>
      <c r="V22" s="657"/>
      <c r="W22" s="658"/>
      <c r="X22" s="1243"/>
      <c r="Y22" s="3515"/>
      <c r="Z22" s="1242"/>
      <c r="AA22" s="1242">
        <v>1</v>
      </c>
      <c r="AB22" s="1242">
        <v>1</v>
      </c>
      <c r="AC22" s="1242">
        <v>1</v>
      </c>
    </row>
    <row r="23" spans="1:29" ht="15">
      <c r="A23" s="360"/>
      <c r="B23" s="383" t="s">
        <v>1811</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515"/>
      <c r="Q23" s="1241" t="str">
        <f>B23</f>
        <v>环境质量</v>
      </c>
      <c r="R23" s="657" t="s">
        <v>14</v>
      </c>
      <c r="S23" s="658">
        <f>F23</f>
        <v>100</v>
      </c>
      <c r="T23" s="657" t="s">
        <v>14</v>
      </c>
      <c r="U23" s="658">
        <f>H23</f>
        <v>100</v>
      </c>
      <c r="V23" s="657" t="s">
        <v>14</v>
      </c>
      <c r="W23" s="658">
        <f>J23</f>
        <v>100</v>
      </c>
      <c r="X23" s="1243"/>
      <c r="Y23" s="3515"/>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515"/>
      <c r="Q24" s="1241"/>
      <c r="R24" s="657"/>
      <c r="S24" s="658"/>
      <c r="T24" s="657"/>
      <c r="U24" s="658"/>
      <c r="V24" s="657"/>
      <c r="W24" s="658"/>
      <c r="X24" s="1243"/>
      <c r="Y24" s="3515"/>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515"/>
      <c r="Q25" s="1241">
        <f>B25</f>
        <v>111</v>
      </c>
      <c r="R25" s="657" t="s">
        <v>14</v>
      </c>
      <c r="S25" s="658">
        <f>F25</f>
        <v>100</v>
      </c>
      <c r="T25" s="657" t="s">
        <v>14</v>
      </c>
      <c r="U25" s="658">
        <f>H25</f>
        <v>100</v>
      </c>
      <c r="V25" s="657" t="s">
        <v>14</v>
      </c>
      <c r="W25" s="658">
        <f>J25</f>
        <v>100</v>
      </c>
      <c r="X25" s="1243"/>
      <c r="Y25" s="3515"/>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515"/>
      <c r="Q26" s="1241">
        <f t="shared" ref="Q26:Q40" si="11">B26</f>
        <v>111</v>
      </c>
      <c r="R26" s="657" t="s">
        <v>14</v>
      </c>
      <c r="S26" s="658">
        <f>F26</f>
        <v>100</v>
      </c>
      <c r="T26" s="657" t="s">
        <v>14</v>
      </c>
      <c r="U26" s="658">
        <f>H26</f>
        <v>100</v>
      </c>
      <c r="V26" s="657" t="s">
        <v>14</v>
      </c>
      <c r="W26" s="658">
        <f>J26</f>
        <v>100</v>
      </c>
      <c r="X26" s="1243"/>
      <c r="Y26" s="3515"/>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515"/>
      <c r="Q27" s="523">
        <f t="shared" si="11"/>
        <v>111</v>
      </c>
      <c r="R27" s="654" t="s">
        <v>14</v>
      </c>
      <c r="S27" s="655">
        <f>F27</f>
        <v>100</v>
      </c>
      <c r="T27" s="654" t="s">
        <v>14</v>
      </c>
      <c r="U27" s="655">
        <f>H27</f>
        <v>100</v>
      </c>
      <c r="V27" s="654" t="s">
        <v>14</v>
      </c>
      <c r="W27" s="655">
        <f>J27</f>
        <v>100</v>
      </c>
      <c r="X27" s="656"/>
      <c r="Y27" s="3515"/>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515"/>
      <c r="Q28" s="1241">
        <f t="shared" si="11"/>
        <v>111</v>
      </c>
      <c r="R28" s="657" t="s">
        <v>14</v>
      </c>
      <c r="S28" s="658">
        <f t="shared" ref="S28:S40" si="12">F28</f>
        <v>100</v>
      </c>
      <c r="T28" s="657" t="s">
        <v>14</v>
      </c>
      <c r="U28" s="658">
        <f t="shared" ref="U28:U40" si="13">H28</f>
        <v>100</v>
      </c>
      <c r="V28" s="657" t="s">
        <v>14</v>
      </c>
      <c r="W28" s="658">
        <f t="shared" ref="W28:W40" si="14">J28</f>
        <v>100</v>
      </c>
      <c r="X28" s="1243"/>
      <c r="Y28" s="3515"/>
      <c r="Z28" s="1242">
        <f t="shared" ref="Z28:Z40" si="15">Q28</f>
        <v>111</v>
      </c>
      <c r="AA28" s="1242">
        <f t="shared" si="3"/>
        <v>1</v>
      </c>
      <c r="AB28" s="1242">
        <f t="shared" si="4"/>
        <v>1</v>
      </c>
      <c r="AC28" s="1242">
        <f t="shared" si="5"/>
        <v>1</v>
      </c>
    </row>
    <row r="29" spans="1:29" ht="28.5">
      <c r="A29" s="397" t="s">
        <v>1691</v>
      </c>
      <c r="B29" s="60" t="s">
        <v>1814</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569" t="s">
        <v>1693</v>
      </c>
      <c r="Q29" s="1241" t="str">
        <f t="shared" si="11"/>
        <v>建筑类型</v>
      </c>
      <c r="R29" s="657" t="s">
        <v>14</v>
      </c>
      <c r="S29" s="658">
        <f t="shared" si="12"/>
        <v>100</v>
      </c>
      <c r="T29" s="657" t="s">
        <v>14</v>
      </c>
      <c r="U29" s="658">
        <f t="shared" si="13"/>
        <v>100</v>
      </c>
      <c r="V29" s="657" t="s">
        <v>14</v>
      </c>
      <c r="W29" s="658">
        <f t="shared" si="14"/>
        <v>100</v>
      </c>
      <c r="X29" s="1243"/>
      <c r="Y29" s="3519" t="s">
        <v>1693</v>
      </c>
      <c r="Z29" s="1242" t="str">
        <f t="shared" si="15"/>
        <v>建筑类型</v>
      </c>
      <c r="AA29" s="1242">
        <f t="shared" si="3"/>
        <v>1</v>
      </c>
      <c r="AB29" s="1242">
        <f t="shared" si="4"/>
        <v>1</v>
      </c>
      <c r="AC29" s="1242">
        <f t="shared" si="5"/>
        <v>1</v>
      </c>
    </row>
    <row r="30" spans="1:29" s="401" customFormat="1" ht="15">
      <c r="A30" s="399"/>
      <c r="B30" s="357" t="s">
        <v>1694</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519"/>
      <c r="Q30" s="524" t="str">
        <f t="shared" si="11"/>
        <v>项目建筑规模</v>
      </c>
      <c r="R30" s="659" t="s">
        <v>14</v>
      </c>
      <c r="S30" s="660" t="e">
        <f t="shared" si="12"/>
        <v>#N/A</v>
      </c>
      <c r="T30" s="659" t="s">
        <v>14</v>
      </c>
      <c r="U30" s="660" t="e">
        <f t="shared" si="13"/>
        <v>#N/A</v>
      </c>
      <c r="V30" s="659" t="s">
        <v>14</v>
      </c>
      <c r="W30" s="660" t="e">
        <f t="shared" si="14"/>
        <v>#N/A</v>
      </c>
      <c r="X30" s="661"/>
      <c r="Y30" s="3519"/>
      <c r="Z30" s="662" t="str">
        <f t="shared" si="15"/>
        <v>项目建筑规模</v>
      </c>
      <c r="AA30" s="1242" t="e">
        <f t="shared" si="3"/>
        <v>#N/A</v>
      </c>
      <c r="AB30" s="1242" t="e">
        <f t="shared" si="4"/>
        <v>#N/A</v>
      </c>
      <c r="AC30" s="1242" t="e">
        <f t="shared" si="5"/>
        <v>#N/A</v>
      </c>
    </row>
    <row r="31" spans="1:29" ht="15">
      <c r="A31" s="402"/>
      <c r="B31" s="357" t="s">
        <v>1695</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519"/>
      <c r="Q31" s="1241" t="str">
        <f t="shared" si="11"/>
        <v>建筑结构</v>
      </c>
      <c r="R31" s="657" t="s">
        <v>14</v>
      </c>
      <c r="S31" s="658">
        <f t="shared" si="12"/>
        <v>100</v>
      </c>
      <c r="T31" s="657" t="s">
        <v>14</v>
      </c>
      <c r="U31" s="658">
        <f t="shared" si="13"/>
        <v>100</v>
      </c>
      <c r="V31" s="657" t="s">
        <v>14</v>
      </c>
      <c r="W31" s="658">
        <f t="shared" si="14"/>
        <v>100</v>
      </c>
      <c r="X31" s="1243"/>
      <c r="Y31" s="3519"/>
      <c r="Z31" s="1242" t="str">
        <f t="shared" si="15"/>
        <v>建筑结构</v>
      </c>
      <c r="AA31" s="1242">
        <f t="shared" si="3"/>
        <v>1</v>
      </c>
      <c r="AB31" s="1242">
        <f t="shared" si="4"/>
        <v>1</v>
      </c>
      <c r="AC31" s="1242">
        <f t="shared" si="5"/>
        <v>1</v>
      </c>
    </row>
    <row r="32" spans="1:29" ht="15">
      <c r="A32" s="402"/>
      <c r="B32" s="357" t="s">
        <v>1782</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519"/>
      <c r="Q32" s="1241" t="str">
        <f t="shared" si="11"/>
        <v>公共部分装修</v>
      </c>
      <c r="R32" s="657" t="s">
        <v>14</v>
      </c>
      <c r="S32" s="658">
        <f t="shared" si="12"/>
        <v>100</v>
      </c>
      <c r="T32" s="657" t="s">
        <v>14</v>
      </c>
      <c r="U32" s="658">
        <f t="shared" si="13"/>
        <v>100</v>
      </c>
      <c r="V32" s="657" t="s">
        <v>14</v>
      </c>
      <c r="W32" s="658">
        <f t="shared" si="14"/>
        <v>100</v>
      </c>
      <c r="X32" s="1243"/>
      <c r="Y32" s="3519"/>
      <c r="Z32" s="1242" t="str">
        <f t="shared" si="15"/>
        <v>公共部分装修</v>
      </c>
      <c r="AA32" s="1242">
        <f t="shared" si="3"/>
        <v>1</v>
      </c>
      <c r="AB32" s="1242">
        <f t="shared" si="4"/>
        <v>1</v>
      </c>
      <c r="AC32" s="1242">
        <f t="shared" si="5"/>
        <v>1</v>
      </c>
    </row>
    <row r="33" spans="1:29" ht="15">
      <c r="A33" s="402"/>
      <c r="B33" s="357" t="s">
        <v>1783</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519"/>
      <c r="Q33" s="1241" t="str">
        <f t="shared" si="11"/>
        <v>成新度</v>
      </c>
      <c r="R33" s="657" t="s">
        <v>14</v>
      </c>
      <c r="S33" s="658" t="e">
        <f t="shared" si="12"/>
        <v>#N/A</v>
      </c>
      <c r="T33" s="657" t="s">
        <v>14</v>
      </c>
      <c r="U33" s="658" t="e">
        <f t="shared" si="13"/>
        <v>#N/A</v>
      </c>
      <c r="V33" s="657" t="s">
        <v>14</v>
      </c>
      <c r="W33" s="658" t="e">
        <f t="shared" si="14"/>
        <v>#N/A</v>
      </c>
      <c r="X33" s="1243"/>
      <c r="Y33" s="3519"/>
      <c r="Z33" s="1242" t="str">
        <f t="shared" si="15"/>
        <v>成新度</v>
      </c>
      <c r="AA33" s="1242" t="e">
        <f t="shared" si="3"/>
        <v>#N/A</v>
      </c>
      <c r="AB33" s="1242" t="e">
        <f t="shared" si="4"/>
        <v>#N/A</v>
      </c>
      <c r="AC33" s="1242" t="e">
        <f t="shared" si="5"/>
        <v>#N/A</v>
      </c>
    </row>
    <row r="34" spans="1:29" s="101" customFormat="1" ht="15">
      <c r="A34" s="403"/>
      <c r="B34" s="357" t="s">
        <v>1816</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519"/>
      <c r="Q34" s="523" t="str">
        <f t="shared" si="11"/>
        <v>物业管理</v>
      </c>
      <c r="R34" s="654" t="s">
        <v>14</v>
      </c>
      <c r="S34" s="655">
        <f t="shared" si="12"/>
        <v>100</v>
      </c>
      <c r="T34" s="654" t="s">
        <v>14</v>
      </c>
      <c r="U34" s="655">
        <f t="shared" si="13"/>
        <v>100</v>
      </c>
      <c r="V34" s="654" t="s">
        <v>14</v>
      </c>
      <c r="W34" s="655">
        <f t="shared" si="14"/>
        <v>100</v>
      </c>
      <c r="X34" s="656"/>
      <c r="Y34" s="3519"/>
      <c r="Z34" s="50" t="str">
        <f t="shared" si="15"/>
        <v>物业管理</v>
      </c>
      <c r="AA34" s="50">
        <f t="shared" si="3"/>
        <v>1</v>
      </c>
      <c r="AB34" s="50">
        <f t="shared" si="4"/>
        <v>1</v>
      </c>
      <c r="AC34" s="50">
        <f t="shared" si="5"/>
        <v>1</v>
      </c>
    </row>
    <row r="35" spans="1:29" ht="15">
      <c r="A35" s="402"/>
      <c r="B35" s="357" t="s">
        <v>1784</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519" t="s">
        <v>1693</v>
      </c>
      <c r="Q35" s="1241" t="str">
        <f t="shared" si="11"/>
        <v>市政基础设施</v>
      </c>
      <c r="R35" s="657" t="s">
        <v>14</v>
      </c>
      <c r="S35" s="658">
        <f t="shared" si="12"/>
        <v>100</v>
      </c>
      <c r="T35" s="657" t="s">
        <v>14</v>
      </c>
      <c r="U35" s="658">
        <f t="shared" si="13"/>
        <v>100</v>
      </c>
      <c r="V35" s="657" t="s">
        <v>14</v>
      </c>
      <c r="W35" s="658">
        <f t="shared" si="14"/>
        <v>100</v>
      </c>
      <c r="X35" s="1243"/>
      <c r="Y35" s="3519" t="s">
        <v>1693</v>
      </c>
      <c r="Z35" s="1242" t="str">
        <f t="shared" si="15"/>
        <v>市政基础设施</v>
      </c>
      <c r="AA35" s="1242">
        <f t="shared" si="3"/>
        <v>1</v>
      </c>
      <c r="AB35" s="1242">
        <f t="shared" si="4"/>
        <v>1</v>
      </c>
      <c r="AC35" s="1242">
        <f t="shared" si="5"/>
        <v>1</v>
      </c>
    </row>
    <row r="36" spans="1:29" ht="15">
      <c r="A36" s="402"/>
      <c r="B36" s="357" t="s">
        <v>1789</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519"/>
      <c r="Q36" s="1241" t="str">
        <f t="shared" si="11"/>
        <v>内部装修</v>
      </c>
      <c r="R36" s="657" t="s">
        <v>14</v>
      </c>
      <c r="S36" s="658">
        <f t="shared" si="12"/>
        <v>100</v>
      </c>
      <c r="T36" s="657" t="s">
        <v>14</v>
      </c>
      <c r="U36" s="658">
        <f t="shared" si="13"/>
        <v>100</v>
      </c>
      <c r="V36" s="657" t="s">
        <v>14</v>
      </c>
      <c r="W36" s="658">
        <f t="shared" si="14"/>
        <v>100</v>
      </c>
      <c r="X36" s="1243"/>
      <c r="Y36" s="3519"/>
      <c r="Z36" s="1242" t="str">
        <f t="shared" si="15"/>
        <v>内部装修</v>
      </c>
      <c r="AA36" s="1242">
        <f t="shared" si="3"/>
        <v>1</v>
      </c>
      <c r="AB36" s="1242">
        <f t="shared" si="4"/>
        <v>1</v>
      </c>
      <c r="AC36" s="1242">
        <f t="shared" si="5"/>
        <v>1</v>
      </c>
    </row>
    <row r="37" spans="1:29" ht="15">
      <c r="A37" s="402"/>
      <c r="B37" s="357" t="s">
        <v>1825</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519"/>
      <c r="Q37" s="1241" t="str">
        <f t="shared" si="11"/>
        <v>内部装修状况</v>
      </c>
      <c r="R37" s="657" t="s">
        <v>14</v>
      </c>
      <c r="S37" s="658">
        <f t="shared" si="12"/>
        <v>100</v>
      </c>
      <c r="T37" s="657" t="s">
        <v>14</v>
      </c>
      <c r="U37" s="658">
        <f t="shared" si="13"/>
        <v>100</v>
      </c>
      <c r="V37" s="657" t="s">
        <v>14</v>
      </c>
      <c r="W37" s="658">
        <f t="shared" si="14"/>
        <v>100</v>
      </c>
      <c r="X37" s="1243"/>
      <c r="Y37" s="3519"/>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519"/>
      <c r="Q38" s="524">
        <f t="shared" si="11"/>
        <v>111</v>
      </c>
      <c r="R38" s="659" t="s">
        <v>14</v>
      </c>
      <c r="S38" s="660">
        <f t="shared" si="12"/>
        <v>100</v>
      </c>
      <c r="T38" s="659" t="s">
        <v>14</v>
      </c>
      <c r="U38" s="660">
        <f t="shared" si="13"/>
        <v>100</v>
      </c>
      <c r="V38" s="659" t="s">
        <v>14</v>
      </c>
      <c r="W38" s="660">
        <f t="shared" si="14"/>
        <v>100</v>
      </c>
      <c r="X38" s="661"/>
      <c r="Y38" s="3519"/>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519"/>
      <c r="Q39" s="1241">
        <f t="shared" si="11"/>
        <v>111</v>
      </c>
      <c r="R39" s="657" t="s">
        <v>14</v>
      </c>
      <c r="S39" s="658">
        <f t="shared" si="12"/>
        <v>100</v>
      </c>
      <c r="T39" s="657" t="s">
        <v>14</v>
      </c>
      <c r="U39" s="658">
        <f t="shared" si="13"/>
        <v>100</v>
      </c>
      <c r="V39" s="657" t="s">
        <v>14</v>
      </c>
      <c r="W39" s="658">
        <f t="shared" si="14"/>
        <v>100</v>
      </c>
      <c r="X39" s="1243"/>
      <c r="Y39" s="3519"/>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520"/>
      <c r="Q40" s="1241">
        <f t="shared" si="11"/>
        <v>111</v>
      </c>
      <c r="R40" s="657" t="s">
        <v>14</v>
      </c>
      <c r="S40" s="658">
        <f t="shared" si="12"/>
        <v>100</v>
      </c>
      <c r="T40" s="657" t="s">
        <v>14</v>
      </c>
      <c r="U40" s="658">
        <f t="shared" si="13"/>
        <v>100</v>
      </c>
      <c r="V40" s="657" t="s">
        <v>14</v>
      </c>
      <c r="W40" s="658">
        <f t="shared" si="14"/>
        <v>100</v>
      </c>
      <c r="X40" s="1243"/>
      <c r="Y40" s="3520"/>
      <c r="Z40" s="1242">
        <f t="shared" si="15"/>
        <v>111</v>
      </c>
      <c r="AA40" s="1242">
        <f t="shared" si="3"/>
        <v>1</v>
      </c>
      <c r="AB40" s="1242">
        <f t="shared" si="4"/>
        <v>1</v>
      </c>
      <c r="AC40" s="1242">
        <f t="shared" si="5"/>
        <v>1</v>
      </c>
    </row>
    <row r="41" spans="1:29" ht="15">
      <c r="A41" s="409" t="s">
        <v>1705</v>
      </c>
      <c r="B41" s="410"/>
      <c r="C41" s="1059" t="s">
        <v>0</v>
      </c>
      <c r="D41" s="411"/>
      <c r="E41" s="412"/>
      <c r="F41" s="413"/>
      <c r="G41" s="414"/>
      <c r="H41" s="415"/>
      <c r="I41" s="412"/>
      <c r="J41" s="415"/>
      <c r="K41" s="664"/>
      <c r="L41" s="853"/>
      <c r="M41" s="841"/>
      <c r="N41" s="841"/>
      <c r="O41" s="841"/>
      <c r="P41" s="3512" t="str">
        <f>A41</f>
        <v>成交单价（元/平方米）</v>
      </c>
      <c r="Q41" s="3512"/>
      <c r="R41" s="3513">
        <f>E41</f>
        <v>0</v>
      </c>
      <c r="S41" s="3513"/>
      <c r="T41" s="3513">
        <f>G41</f>
        <v>0</v>
      </c>
      <c r="U41" s="3513"/>
      <c r="V41" s="3513">
        <f>I41</f>
        <v>0</v>
      </c>
      <c r="W41" s="3513"/>
      <c r="X41" s="378"/>
      <c r="Y41" s="663"/>
      <c r="Z41" s="378"/>
      <c r="AA41" s="378"/>
      <c r="AB41" s="378"/>
      <c r="AC41" s="378"/>
    </row>
    <row r="42" spans="1:29" ht="15.75" thickBot="1">
      <c r="A42" s="416" t="s">
        <v>1790</v>
      </c>
      <c r="B42" s="417"/>
      <c r="C42" s="1060" t="e">
        <f>R43</f>
        <v>#DIV/0!</v>
      </c>
      <c r="D42" s="2118" t="s">
        <v>2133</v>
      </c>
      <c r="E42" s="1061" t="e">
        <f>R42</f>
        <v>#DIV/0!</v>
      </c>
      <c r="F42" s="2119"/>
      <c r="G42" s="1060" t="e">
        <f>T42</f>
        <v>#DIV/0!</v>
      </c>
      <c r="H42" s="2119"/>
      <c r="I42" s="1061" t="e">
        <f>V42</f>
        <v>#DIV/0!</v>
      </c>
      <c r="J42" s="2119"/>
      <c r="K42" s="2121">
        <f>F42+H42+J42</f>
        <v>0</v>
      </c>
      <c r="L42" s="853"/>
      <c r="M42" s="841"/>
      <c r="N42" s="841"/>
      <c r="O42" s="841"/>
      <c r="P42" s="3512" t="str">
        <f>A42</f>
        <v>比较价值（元/平方米）</v>
      </c>
      <c r="Q42" s="3512"/>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378"/>
      <c r="Y42" s="378"/>
      <c r="Z42" s="378"/>
      <c r="AA42" s="378"/>
      <c r="AB42" s="378"/>
      <c r="AC42" s="378"/>
    </row>
    <row r="43" spans="1:29" ht="15.75" thickBot="1">
      <c r="A43" s="420" t="s">
        <v>1791</v>
      </c>
      <c r="B43" s="421"/>
      <c r="C43" s="344" t="e">
        <f>R43</f>
        <v>#DIV/0!</v>
      </c>
      <c r="D43" s="344"/>
      <c r="E43" s="344"/>
      <c r="F43" s="344"/>
      <c r="G43" s="344"/>
      <c r="H43" s="344"/>
      <c r="I43" s="344"/>
      <c r="J43" s="344"/>
      <c r="K43" s="665"/>
      <c r="L43" s="853"/>
      <c r="M43" s="841"/>
      <c r="N43" s="841"/>
      <c r="O43" s="841"/>
      <c r="P43" s="3509" t="str">
        <f>A43</f>
        <v>估价对象XX用房的比较价值（楼面单价，元/平方米）</v>
      </c>
      <c r="Q43" s="3510"/>
      <c r="R43" s="3511" t="e">
        <f>IF(F1="售价",ROUND(IF(D42="简单平均",AVERAGE(R42:V42),R42*F42+T42*H42+V42*J42),0),ROUND(IF(D42="简单平均",AVERAGE(R42:V42),R42*F42+T42*H42+V42*J42),1))</f>
        <v>#DIV/0!</v>
      </c>
      <c r="S43" s="3511"/>
      <c r="T43" s="3511"/>
      <c r="U43" s="3511"/>
      <c r="V43" s="3511"/>
      <c r="W43" s="3511"/>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1795</v>
      </c>
      <c r="B51" s="378"/>
      <c r="C51" s="649"/>
      <c r="D51" s="649"/>
      <c r="E51" s="649"/>
      <c r="F51" s="650"/>
      <c r="G51" s="650"/>
      <c r="H51" s="649"/>
      <c r="I51" s="649"/>
      <c r="J51" s="649"/>
      <c r="K51" s="867"/>
      <c r="L51" s="868"/>
      <c r="M51" s="866"/>
      <c r="N51" s="866"/>
      <c r="O51" s="866"/>
      <c r="P51" s="431"/>
      <c r="Q51" s="432"/>
    </row>
    <row r="52" spans="1:17" s="435" customFormat="1" ht="15">
      <c r="A52" s="433" t="s">
        <v>1676</v>
      </c>
      <c r="B52" s="434"/>
      <c r="C52" s="1081" t="str">
        <f>YEAR(C7)&amp;"-"&amp;MONTH(C7)</f>
        <v>2025-10</v>
      </c>
      <c r="D52" s="1082">
        <f>EDATE(C52,-1)</f>
        <v>45901</v>
      </c>
      <c r="E52" s="1082">
        <f t="shared" ref="E52:O52" si="16">EDATE(D52,-1)</f>
        <v>45870</v>
      </c>
      <c r="F52" s="1082">
        <f t="shared" si="16"/>
        <v>45839</v>
      </c>
      <c r="G52" s="1082">
        <f t="shared" si="16"/>
        <v>45809</v>
      </c>
      <c r="H52" s="1082">
        <f t="shared" si="16"/>
        <v>45778</v>
      </c>
      <c r="I52" s="1082">
        <f t="shared" si="16"/>
        <v>45748</v>
      </c>
      <c r="J52" s="1082">
        <f t="shared" si="16"/>
        <v>45717</v>
      </c>
      <c r="K52" s="1082">
        <f t="shared" si="16"/>
        <v>45689</v>
      </c>
      <c r="L52" s="1082">
        <f t="shared" si="16"/>
        <v>45658</v>
      </c>
      <c r="M52" s="1082">
        <f t="shared" si="16"/>
        <v>45627</v>
      </c>
      <c r="N52" s="1082">
        <f t="shared" si="16"/>
        <v>45597</v>
      </c>
      <c r="O52" s="1082">
        <f t="shared" si="16"/>
        <v>45566</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1713</v>
      </c>
      <c r="B54" s="443"/>
      <c r="C54" s="444"/>
      <c r="D54" s="445"/>
      <c r="E54" s="445"/>
      <c r="F54" s="445"/>
      <c r="G54" s="445"/>
      <c r="H54" s="445"/>
      <c r="I54" s="445"/>
      <c r="J54" s="445"/>
      <c r="K54" s="445"/>
      <c r="L54" s="445"/>
      <c r="M54" s="446"/>
      <c r="N54" s="2513"/>
      <c r="O54" s="2514"/>
      <c r="P54" s="432"/>
      <c r="Q54" s="432"/>
    </row>
    <row r="55" spans="1:17" s="101" customFormat="1" ht="15">
      <c r="A55" s="448" t="s">
        <v>1678</v>
      </c>
      <c r="B55" s="437"/>
      <c r="C55" s="449" t="s">
        <v>1773</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1716</v>
      </c>
      <c r="B57" s="453" t="s">
        <v>1682</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1685</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1686</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1687</v>
      </c>
      <c r="B70" s="453" t="s">
        <v>1826</v>
      </c>
      <c r="C70" s="497" t="s">
        <v>1718</v>
      </c>
      <c r="D70" s="497" t="s">
        <v>1719</v>
      </c>
      <c r="E70" s="497" t="s">
        <v>1720</v>
      </c>
      <c r="F70" s="497" t="s">
        <v>1721</v>
      </c>
      <c r="G70" s="497" t="s">
        <v>1722</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1723</v>
      </c>
      <c r="C72" s="502" t="s">
        <v>1718</v>
      </c>
      <c r="D72" s="502" t="s">
        <v>1719</v>
      </c>
      <c r="E72" s="502" t="s">
        <v>1720</v>
      </c>
      <c r="F72" s="502" t="s">
        <v>1721</v>
      </c>
      <c r="G72" s="502" t="s">
        <v>1722</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1724</v>
      </c>
      <c r="C74" s="502" t="s">
        <v>1718</v>
      </c>
      <c r="D74" s="502" t="s">
        <v>1719</v>
      </c>
      <c r="E74" s="502" t="s">
        <v>1720</v>
      </c>
      <c r="F74" s="502" t="s">
        <v>1721</v>
      </c>
      <c r="G74" s="502" t="s">
        <v>1722</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1810</v>
      </c>
      <c r="C76" s="574" t="s">
        <v>1796</v>
      </c>
      <c r="D76" s="574" t="s">
        <v>1797</v>
      </c>
      <c r="E76" s="574" t="s">
        <v>1798</v>
      </c>
      <c r="F76" s="574" t="s">
        <v>1799</v>
      </c>
      <c r="G76" s="574" t="s">
        <v>1800</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1819</v>
      </c>
      <c r="C78" s="502" t="s">
        <v>1718</v>
      </c>
      <c r="D78" s="502" t="s">
        <v>1719</v>
      </c>
      <c r="E78" s="502" t="s">
        <v>1720</v>
      </c>
      <c r="F78" s="502" t="s">
        <v>1721</v>
      </c>
      <c r="G78" s="502" t="s">
        <v>1722</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1691</v>
      </c>
      <c r="B88" s="453" t="s">
        <v>1733</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1734</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1735</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1737</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1738</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1739</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1741</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1827</v>
      </c>
      <c r="C106" s="502" t="s">
        <v>1718</v>
      </c>
      <c r="D106" s="502" t="s">
        <v>1719</v>
      </c>
      <c r="E106" s="502" t="s">
        <v>1720</v>
      </c>
      <c r="F106" s="502" t="s">
        <v>1721</v>
      </c>
      <c r="G106" s="502" t="s">
        <v>1722</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3315</v>
      </c>
      <c r="C1" s="1119" t="s">
        <v>1659</v>
      </c>
      <c r="D1" s="1120"/>
      <c r="E1" s="3103"/>
      <c r="F1" s="1712"/>
      <c r="G1" s="1122" t="s">
        <v>1764</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1461</v>
      </c>
      <c r="B3" s="529" t="e">
        <f>IF(AND(C2="——",B37="元/平方米"),C39,ROUND(B2*10000/D3,0))</f>
        <v>#DIV/0!</v>
      </c>
      <c r="C3" s="337" t="s">
        <v>1765</v>
      </c>
      <c r="D3" s="336">
        <f>SUMIF('数据-汇总表'!$C19:$C33,D1,'数据-汇总表'!$E19:$E33)</f>
        <v>0</v>
      </c>
      <c r="E3" s="337" t="s">
        <v>1829</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31" t="s">
        <v>1772</v>
      </c>
      <c r="Q4" s="3532"/>
      <c r="R4" s="3537" t="s">
        <v>1768</v>
      </c>
      <c r="S4" s="3538"/>
      <c r="T4" s="3537" t="s">
        <v>1769</v>
      </c>
      <c r="U4" s="3538"/>
      <c r="V4" s="3513" t="s">
        <v>1770</v>
      </c>
      <c r="W4" s="3513"/>
      <c r="X4" s="1243"/>
      <c r="Y4" s="3537" t="s">
        <v>1772</v>
      </c>
      <c r="Z4" s="3538"/>
      <c r="AA4" s="3524" t="s">
        <v>1768</v>
      </c>
      <c r="AB4" s="3525" t="s">
        <v>1769</v>
      </c>
      <c r="AC4" s="3524" t="s">
        <v>1770</v>
      </c>
    </row>
    <row r="5" spans="1:29" ht="15">
      <c r="A5" s="341"/>
      <c r="B5" s="342"/>
      <c r="C5" s="3545" t="s">
        <v>1670</v>
      </c>
      <c r="D5" s="3546"/>
      <c r="E5" s="3552" t="s">
        <v>1671</v>
      </c>
      <c r="F5" s="3553"/>
      <c r="G5" s="3545" t="s">
        <v>1672</v>
      </c>
      <c r="H5" s="3546"/>
      <c r="I5" s="3545" t="s">
        <v>1673</v>
      </c>
      <c r="J5" s="3546"/>
      <c r="K5" s="530"/>
      <c r="L5" s="2461"/>
      <c r="M5" s="2462"/>
      <c r="N5" s="2462"/>
      <c r="O5" s="2462"/>
      <c r="P5" s="3533"/>
      <c r="Q5" s="3534"/>
      <c r="R5" s="3539"/>
      <c r="S5" s="3540"/>
      <c r="T5" s="3539"/>
      <c r="U5" s="3540"/>
      <c r="V5" s="3513"/>
      <c r="W5" s="3513"/>
      <c r="X5" s="1243"/>
      <c r="Y5" s="3539"/>
      <c r="Z5" s="3540"/>
      <c r="AA5" s="3525"/>
      <c r="AB5" s="3525"/>
      <c r="AC5" s="3525"/>
    </row>
    <row r="6" spans="1:29" ht="15.75" thickBot="1">
      <c r="A6" s="343"/>
      <c r="B6" s="344"/>
      <c r="C6" s="3543" t="s">
        <v>1674</v>
      </c>
      <c r="D6" s="3544"/>
      <c r="E6" s="3550" t="s">
        <v>1674</v>
      </c>
      <c r="F6" s="3551"/>
      <c r="G6" s="3543" t="s">
        <v>1674</v>
      </c>
      <c r="H6" s="3544"/>
      <c r="I6" s="3543" t="s">
        <v>1674</v>
      </c>
      <c r="J6" s="3544"/>
      <c r="K6" s="530" t="s">
        <v>1675</v>
      </c>
      <c r="L6" s="2461"/>
      <c r="M6" s="2462"/>
      <c r="N6" s="2462"/>
      <c r="O6" s="2462"/>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SUMIF(48:48,YEAR(E7)&amp;"-"&amp;MONTH(E7),49:49)</f>
        <v>0</v>
      </c>
      <c r="G7" s="349"/>
      <c r="H7" s="348">
        <f>SUMIF(48:48,YEAR(G7)&amp;"-"&amp;MONTH(G7),49:49)</f>
        <v>0</v>
      </c>
      <c r="I7" s="349"/>
      <c r="J7" s="348">
        <f>SUMIF(48:48,YEAR(I7)&amp;"-"&amp;MONTH(I7),49:49)</f>
        <v>0</v>
      </c>
      <c r="K7" s="38"/>
      <c r="L7" s="2463"/>
      <c r="M7" s="2416"/>
      <c r="N7" s="2416"/>
      <c r="O7" s="2416"/>
      <c r="P7" s="3547" t="s">
        <v>1677</v>
      </c>
      <c r="Q7" s="3549"/>
      <c r="R7" s="654" t="s">
        <v>14</v>
      </c>
      <c r="S7" s="655">
        <f t="shared" ref="S7:S14" si="0">F7</f>
        <v>0</v>
      </c>
      <c r="T7" s="654" t="s">
        <v>14</v>
      </c>
      <c r="U7" s="655">
        <f t="shared" ref="U7:U14" si="1">H7</f>
        <v>0</v>
      </c>
      <c r="V7" s="654" t="s">
        <v>14</v>
      </c>
      <c r="W7" s="655">
        <f t="shared" ref="W7:W14" si="2">J7</f>
        <v>0</v>
      </c>
      <c r="X7" s="656"/>
      <c r="Y7" s="3547" t="s">
        <v>1677</v>
      </c>
      <c r="Z7" s="3548"/>
      <c r="AA7" s="50" t="e">
        <f>D7/F7</f>
        <v>#DIV/0!</v>
      </c>
      <c r="AB7" s="50" t="e">
        <f>D7/H7</f>
        <v>#DIV/0!</v>
      </c>
      <c r="AC7" s="50" t="e">
        <f>D7/J7</f>
        <v>#DIV/0!</v>
      </c>
    </row>
    <row r="8" spans="1:29" s="101" customFormat="1" ht="15.75" thickBot="1">
      <c r="A8" s="345" t="s">
        <v>1678</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547" t="s">
        <v>1680</v>
      </c>
      <c r="Q8" s="3548"/>
      <c r="R8" s="654" t="s">
        <v>14</v>
      </c>
      <c r="S8" s="655">
        <f t="shared" si="0"/>
        <v>100</v>
      </c>
      <c r="T8" s="654" t="s">
        <v>14</v>
      </c>
      <c r="U8" s="655">
        <f t="shared" si="1"/>
        <v>100</v>
      </c>
      <c r="V8" s="654" t="s">
        <v>14</v>
      </c>
      <c r="W8" s="655">
        <f t="shared" si="2"/>
        <v>100</v>
      </c>
      <c r="X8" s="656"/>
      <c r="Y8" s="3547" t="s">
        <v>1680</v>
      </c>
      <c r="Z8" s="3548"/>
      <c r="AA8" s="50">
        <f t="shared" ref="AA8:AA36" si="3">D8/F8</f>
        <v>1</v>
      </c>
      <c r="AB8" s="50">
        <f t="shared" ref="AB8:AB36" si="4">D8/H8</f>
        <v>1</v>
      </c>
      <c r="AC8" s="50">
        <f t="shared" ref="AC8:AC36" si="5">D8/J8</f>
        <v>1</v>
      </c>
    </row>
    <row r="9" spans="1:29" s="101" customFormat="1">
      <c r="A9" s="57" t="s">
        <v>1681</v>
      </c>
      <c r="B9" s="557" t="s">
        <v>1682</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512" t="s">
        <v>1683</v>
      </c>
      <c r="Q9" s="523" t="str">
        <f t="shared" ref="Q9:Q14" si="6">B9</f>
        <v>用途</v>
      </c>
      <c r="R9" s="654" t="s">
        <v>14</v>
      </c>
      <c r="S9" s="655">
        <f t="shared" si="0"/>
        <v>100</v>
      </c>
      <c r="T9" s="654" t="s">
        <v>14</v>
      </c>
      <c r="U9" s="655">
        <f t="shared" si="1"/>
        <v>100</v>
      </c>
      <c r="V9" s="654" t="s">
        <v>14</v>
      </c>
      <c r="W9" s="655">
        <f t="shared" si="2"/>
        <v>100</v>
      </c>
      <c r="X9" s="656"/>
      <c r="Y9" s="3368" t="s">
        <v>1684</v>
      </c>
      <c r="Z9" s="50" t="str">
        <f t="shared" ref="Z9:Z14" si="7">Q9</f>
        <v>用途</v>
      </c>
      <c r="AA9" s="50">
        <f t="shared" si="3"/>
        <v>1</v>
      </c>
      <c r="AB9" s="50">
        <f t="shared" si="4"/>
        <v>1</v>
      </c>
      <c r="AC9" s="50">
        <f t="shared" si="5"/>
        <v>1</v>
      </c>
    </row>
    <row r="10" spans="1:29" s="359" customFormat="1" ht="27">
      <c r="A10" s="558"/>
      <c r="B10" s="559" t="s">
        <v>1685</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512"/>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512"/>
      <c r="Q11" s="523">
        <f t="shared" si="6"/>
        <v>111</v>
      </c>
      <c r="R11" s="654" t="s">
        <v>14</v>
      </c>
      <c r="S11" s="655">
        <f t="shared" si="0"/>
        <v>100</v>
      </c>
      <c r="T11" s="654" t="s">
        <v>14</v>
      </c>
      <c r="U11" s="655">
        <f t="shared" si="1"/>
        <v>100</v>
      </c>
      <c r="V11" s="654" t="s">
        <v>14</v>
      </c>
      <c r="W11" s="655">
        <f t="shared" si="2"/>
        <v>100</v>
      </c>
      <c r="X11" s="656"/>
      <c r="Y11" s="3368"/>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512"/>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512"/>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50">
        <f t="shared" si="5"/>
        <v>1</v>
      </c>
    </row>
    <row r="14" spans="1:29" ht="15">
      <c r="A14" s="338" t="s">
        <v>1687</v>
      </c>
      <c r="B14" s="547" t="s">
        <v>1830</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514" t="s">
        <v>1688</v>
      </c>
      <c r="Q14" s="1241" t="str">
        <f t="shared" si="6"/>
        <v>交通便捷度</v>
      </c>
      <c r="R14" s="657" t="s">
        <v>14</v>
      </c>
      <c r="S14" s="658">
        <f t="shared" si="0"/>
        <v>100</v>
      </c>
      <c r="T14" s="657" t="s">
        <v>14</v>
      </c>
      <c r="U14" s="658">
        <f t="shared" si="1"/>
        <v>100</v>
      </c>
      <c r="V14" s="657" t="s">
        <v>14</v>
      </c>
      <c r="W14" s="658">
        <f t="shared" si="2"/>
        <v>100</v>
      </c>
      <c r="X14" s="1243"/>
      <c r="Y14" s="3514" t="s">
        <v>1688</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515"/>
      <c r="Q15" s="1241"/>
      <c r="R15" s="657"/>
      <c r="S15" s="658"/>
      <c r="T15" s="657"/>
      <c r="U15" s="658"/>
      <c r="V15" s="657"/>
      <c r="W15" s="658"/>
      <c r="X15" s="1243"/>
      <c r="Y15" s="3515"/>
      <c r="Z15" s="1242"/>
      <c r="AA15" s="1242">
        <v>1</v>
      </c>
      <c r="AB15" s="1242">
        <v>1</v>
      </c>
      <c r="AC15" s="1242">
        <v>1</v>
      </c>
    </row>
    <row r="16" spans="1:29" ht="15">
      <c r="A16" s="341"/>
      <c r="B16" s="549" t="s">
        <v>1809</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515"/>
      <c r="Q16" s="1241" t="str">
        <f>B16</f>
        <v>公共配套设施</v>
      </c>
      <c r="R16" s="657" t="s">
        <v>14</v>
      </c>
      <c r="S16" s="658">
        <f>F16</f>
        <v>100</v>
      </c>
      <c r="T16" s="657" t="s">
        <v>14</v>
      </c>
      <c r="U16" s="658">
        <f>H16</f>
        <v>100</v>
      </c>
      <c r="V16" s="657" t="s">
        <v>14</v>
      </c>
      <c r="W16" s="658">
        <f>J16</f>
        <v>100</v>
      </c>
      <c r="X16" s="1243"/>
      <c r="Y16" s="3515"/>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515"/>
      <c r="Q17" s="1241"/>
      <c r="R17" s="657"/>
      <c r="S17" s="658"/>
      <c r="T17" s="657"/>
      <c r="U17" s="658"/>
      <c r="V17" s="657"/>
      <c r="W17" s="658"/>
      <c r="X17" s="1243"/>
      <c r="Y17" s="3515"/>
      <c r="Z17" s="1242"/>
      <c r="AA17" s="1242">
        <v>1</v>
      </c>
      <c r="AB17" s="1242">
        <v>1</v>
      </c>
      <c r="AC17" s="1242">
        <v>1</v>
      </c>
    </row>
    <row r="18" spans="1:29" ht="15">
      <c r="A18" s="341"/>
      <c r="B18" s="550" t="s">
        <v>1810</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515"/>
      <c r="Q18" s="1241" t="str">
        <f>B18</f>
        <v>基础设施水平</v>
      </c>
      <c r="R18" s="657" t="s">
        <v>14</v>
      </c>
      <c r="S18" s="658">
        <f>F18</f>
        <v>100</v>
      </c>
      <c r="T18" s="657" t="s">
        <v>14</v>
      </c>
      <c r="U18" s="658">
        <f>H18</f>
        <v>100</v>
      </c>
      <c r="V18" s="657" t="s">
        <v>14</v>
      </c>
      <c r="W18" s="658">
        <f>J18</f>
        <v>100</v>
      </c>
      <c r="X18" s="1243"/>
      <c r="Y18" s="3515"/>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515"/>
      <c r="Q19" s="1241"/>
      <c r="R19" s="657"/>
      <c r="S19" s="658"/>
      <c r="T19" s="657"/>
      <c r="U19" s="658"/>
      <c r="V19" s="657"/>
      <c r="W19" s="658"/>
      <c r="X19" s="1243"/>
      <c r="Y19" s="3515"/>
      <c r="Z19" s="1242"/>
      <c r="AA19" s="1242">
        <v>1</v>
      </c>
      <c r="AB19" s="1242">
        <v>1</v>
      </c>
      <c r="AC19" s="1242">
        <v>1</v>
      </c>
    </row>
    <row r="20" spans="1:29" ht="15">
      <c r="A20" s="341"/>
      <c r="B20" s="549" t="s">
        <v>1831</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515"/>
      <c r="Q20" s="1241" t="str">
        <f>B20</f>
        <v>自然及人文环境</v>
      </c>
      <c r="R20" s="657" t="s">
        <v>14</v>
      </c>
      <c r="S20" s="658">
        <f>F20</f>
        <v>100</v>
      </c>
      <c r="T20" s="657" t="s">
        <v>14</v>
      </c>
      <c r="U20" s="658">
        <f>H20</f>
        <v>100</v>
      </c>
      <c r="V20" s="657" t="s">
        <v>14</v>
      </c>
      <c r="W20" s="658">
        <f>J20</f>
        <v>100</v>
      </c>
      <c r="X20" s="1243"/>
      <c r="Y20" s="3515"/>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515"/>
      <c r="Q21" s="1241"/>
      <c r="R21" s="657"/>
      <c r="S21" s="658"/>
      <c r="T21" s="657"/>
      <c r="U21" s="658"/>
      <c r="V21" s="657"/>
      <c r="W21" s="658"/>
      <c r="X21" s="1243"/>
      <c r="Y21" s="3515"/>
      <c r="Z21" s="1242"/>
      <c r="AA21" s="1242">
        <v>1</v>
      </c>
      <c r="AB21" s="1242">
        <v>1</v>
      </c>
      <c r="AC21" s="1242">
        <v>1</v>
      </c>
    </row>
    <row r="22" spans="1:29" ht="15">
      <c r="A22" s="341"/>
      <c r="B22" s="549" t="s">
        <v>1832</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515"/>
      <c r="Q22" s="1241" t="str">
        <f>B22</f>
        <v>楼层</v>
      </c>
      <c r="R22" s="657" t="s">
        <v>14</v>
      </c>
      <c r="S22" s="658">
        <f>F22</f>
        <v>100</v>
      </c>
      <c r="T22" s="657" t="s">
        <v>14</v>
      </c>
      <c r="U22" s="658">
        <f>H22</f>
        <v>100</v>
      </c>
      <c r="V22" s="657" t="s">
        <v>14</v>
      </c>
      <c r="W22" s="658">
        <f>J22</f>
        <v>100</v>
      </c>
      <c r="X22" s="1243"/>
      <c r="Y22" s="3515"/>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515"/>
      <c r="Q23" s="1241">
        <f>B23</f>
        <v>111</v>
      </c>
      <c r="R23" s="657" t="s">
        <v>14</v>
      </c>
      <c r="S23" s="658">
        <f>F23</f>
        <v>100</v>
      </c>
      <c r="T23" s="657" t="s">
        <v>14</v>
      </c>
      <c r="U23" s="658">
        <f>H23</f>
        <v>100</v>
      </c>
      <c r="V23" s="657" t="s">
        <v>14</v>
      </c>
      <c r="W23" s="658">
        <f>J23</f>
        <v>100</v>
      </c>
      <c r="X23" s="1243"/>
      <c r="Y23" s="3515"/>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515"/>
      <c r="Q24" s="1241">
        <f t="shared" ref="Q24:Q36" si="11">B24</f>
        <v>111</v>
      </c>
      <c r="R24" s="657" t="s">
        <v>14</v>
      </c>
      <c r="S24" s="658">
        <f>F24</f>
        <v>100</v>
      </c>
      <c r="T24" s="657" t="s">
        <v>14</v>
      </c>
      <c r="U24" s="658">
        <f>H24</f>
        <v>100</v>
      </c>
      <c r="V24" s="657" t="s">
        <v>14</v>
      </c>
      <c r="W24" s="658">
        <f>J24</f>
        <v>100</v>
      </c>
      <c r="X24" s="1243"/>
      <c r="Y24" s="3515"/>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515"/>
      <c r="Q25" s="523">
        <f t="shared" si="11"/>
        <v>111</v>
      </c>
      <c r="R25" s="654" t="s">
        <v>14</v>
      </c>
      <c r="S25" s="655">
        <f>F25</f>
        <v>100</v>
      </c>
      <c r="T25" s="654" t="s">
        <v>14</v>
      </c>
      <c r="U25" s="655">
        <f>H25</f>
        <v>100</v>
      </c>
      <c r="V25" s="654" t="s">
        <v>14</v>
      </c>
      <c r="W25" s="655">
        <f>J25</f>
        <v>100</v>
      </c>
      <c r="X25" s="656"/>
      <c r="Y25" s="3515"/>
      <c r="Z25" s="50">
        <f>Q25</f>
        <v>111</v>
      </c>
      <c r="AA25" s="1242">
        <f>D25/F25</f>
        <v>1</v>
      </c>
      <c r="AB25" s="1242">
        <f>D25/H25</f>
        <v>1</v>
      </c>
      <c r="AC25" s="1242">
        <f>D25/J25</f>
        <v>1</v>
      </c>
    </row>
    <row r="26" spans="1:29" ht="28.5">
      <c r="A26" s="567" t="s">
        <v>1691</v>
      </c>
      <c r="B26" s="59" t="s">
        <v>1833</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569" t="s">
        <v>1693</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519" t="s">
        <v>1693</v>
      </c>
      <c r="Z26" s="1242" t="str">
        <f t="shared" ref="Z26:Z36" si="15">Q26</f>
        <v>配套类型</v>
      </c>
      <c r="AA26" s="1242" t="e">
        <f t="shared" si="3"/>
        <v>#DIV/0!</v>
      </c>
      <c r="AB26" s="1242" t="e">
        <f t="shared" si="4"/>
        <v>#DIV/0!</v>
      </c>
      <c r="AC26" s="1242" t="e">
        <f t="shared" si="5"/>
        <v>#DIV/0!</v>
      </c>
    </row>
    <row r="27" spans="1:29" s="401" customFormat="1" ht="15">
      <c r="A27" s="568"/>
      <c r="B27" s="113" t="s">
        <v>1834</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519"/>
      <c r="Q27" s="524" t="str">
        <f t="shared" si="11"/>
        <v>项目停车位配比</v>
      </c>
      <c r="R27" s="659" t="s">
        <v>14</v>
      </c>
      <c r="S27" s="660">
        <f t="shared" si="12"/>
        <v>100</v>
      </c>
      <c r="T27" s="659" t="s">
        <v>14</v>
      </c>
      <c r="U27" s="660">
        <f t="shared" si="13"/>
        <v>100</v>
      </c>
      <c r="V27" s="659" t="s">
        <v>14</v>
      </c>
      <c r="W27" s="660">
        <f t="shared" si="14"/>
        <v>100</v>
      </c>
      <c r="X27" s="661"/>
      <c r="Y27" s="3519"/>
      <c r="Z27" s="662" t="str">
        <f t="shared" si="15"/>
        <v>项目停车位配比</v>
      </c>
      <c r="AA27" s="1242">
        <f t="shared" si="3"/>
        <v>1</v>
      </c>
      <c r="AB27" s="1242">
        <f t="shared" si="4"/>
        <v>1</v>
      </c>
      <c r="AC27" s="1242">
        <f t="shared" si="5"/>
        <v>1</v>
      </c>
    </row>
    <row r="28" spans="1:29" ht="15">
      <c r="A28" s="570"/>
      <c r="B28" s="113" t="s">
        <v>1835</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519"/>
      <c r="Q28" s="1241" t="str">
        <f t="shared" si="11"/>
        <v>公共部分装修</v>
      </c>
      <c r="R28" s="657" t="s">
        <v>14</v>
      </c>
      <c r="S28" s="658">
        <f t="shared" si="12"/>
        <v>100</v>
      </c>
      <c r="T28" s="657" t="s">
        <v>14</v>
      </c>
      <c r="U28" s="658">
        <f t="shared" si="13"/>
        <v>100</v>
      </c>
      <c r="V28" s="657" t="s">
        <v>14</v>
      </c>
      <c r="W28" s="658">
        <f t="shared" si="14"/>
        <v>100</v>
      </c>
      <c r="X28" s="1243"/>
      <c r="Y28" s="3519"/>
      <c r="Z28" s="1242" t="str">
        <f t="shared" si="15"/>
        <v>公共部分装修</v>
      </c>
      <c r="AA28" s="1242">
        <f t="shared" si="3"/>
        <v>1</v>
      </c>
      <c r="AB28" s="1242">
        <f t="shared" si="4"/>
        <v>1</v>
      </c>
      <c r="AC28" s="1242">
        <f t="shared" si="5"/>
        <v>1</v>
      </c>
    </row>
    <row r="29" spans="1:29" ht="15">
      <c r="A29" s="570"/>
      <c r="B29" s="113" t="s">
        <v>1836</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519"/>
      <c r="Q29" s="1241" t="str">
        <f t="shared" si="11"/>
        <v>成新率</v>
      </c>
      <c r="R29" s="657" t="s">
        <v>14</v>
      </c>
      <c r="S29" s="658" t="e">
        <f t="shared" si="12"/>
        <v>#N/A</v>
      </c>
      <c r="T29" s="657" t="s">
        <v>14</v>
      </c>
      <c r="U29" s="658" t="e">
        <f t="shared" si="13"/>
        <v>#N/A</v>
      </c>
      <c r="V29" s="657" t="s">
        <v>14</v>
      </c>
      <c r="W29" s="658" t="e">
        <f t="shared" si="14"/>
        <v>#N/A</v>
      </c>
      <c r="X29" s="1243"/>
      <c r="Y29" s="3519"/>
      <c r="Z29" s="1242" t="str">
        <f t="shared" si="15"/>
        <v>成新率</v>
      </c>
      <c r="AA29" s="1242" t="e">
        <f t="shared" si="3"/>
        <v>#N/A</v>
      </c>
      <c r="AB29" s="1242" t="e">
        <f t="shared" si="4"/>
        <v>#N/A</v>
      </c>
      <c r="AC29" s="1242" t="e">
        <f t="shared" si="5"/>
        <v>#N/A</v>
      </c>
    </row>
    <row r="30" spans="1:29" ht="15">
      <c r="A30" s="570"/>
      <c r="B30" s="113" t="s">
        <v>1837</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519"/>
      <c r="Q30" s="1241" t="str">
        <f t="shared" si="11"/>
        <v>物业等级</v>
      </c>
      <c r="R30" s="657" t="s">
        <v>14</v>
      </c>
      <c r="S30" s="658">
        <f t="shared" si="12"/>
        <v>100</v>
      </c>
      <c r="T30" s="657" t="s">
        <v>14</v>
      </c>
      <c r="U30" s="658">
        <f t="shared" si="13"/>
        <v>100</v>
      </c>
      <c r="V30" s="657" t="s">
        <v>14</v>
      </c>
      <c r="W30" s="658">
        <f t="shared" si="14"/>
        <v>100</v>
      </c>
      <c r="X30" s="1243"/>
      <c r="Y30" s="3519"/>
      <c r="Z30" s="1242" t="str">
        <f t="shared" si="15"/>
        <v>物业等级</v>
      </c>
      <c r="AA30" s="1242">
        <f t="shared" si="3"/>
        <v>1</v>
      </c>
      <c r="AB30" s="1242">
        <f t="shared" si="4"/>
        <v>1</v>
      </c>
      <c r="AC30" s="1242">
        <f t="shared" si="5"/>
        <v>1</v>
      </c>
    </row>
    <row r="31" spans="1:29" s="101" customFormat="1" ht="15">
      <c r="A31" s="572"/>
      <c r="B31" s="113" t="s">
        <v>1838</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519"/>
      <c r="Q31" s="523" t="str">
        <f t="shared" si="11"/>
        <v>停车位面积</v>
      </c>
      <c r="R31" s="654" t="s">
        <v>14</v>
      </c>
      <c r="S31" s="655" t="e">
        <f t="shared" si="12"/>
        <v>#N/A</v>
      </c>
      <c r="T31" s="654" t="s">
        <v>14</v>
      </c>
      <c r="U31" s="655" t="e">
        <f t="shared" si="13"/>
        <v>#N/A</v>
      </c>
      <c r="V31" s="654" t="s">
        <v>14</v>
      </c>
      <c r="W31" s="655" t="e">
        <f t="shared" si="14"/>
        <v>#N/A</v>
      </c>
      <c r="X31" s="656"/>
      <c r="Y31" s="3519"/>
      <c r="Z31" s="50" t="str">
        <f t="shared" si="15"/>
        <v>停车位面积</v>
      </c>
      <c r="AA31" s="50" t="e">
        <f t="shared" si="3"/>
        <v>#N/A</v>
      </c>
      <c r="AB31" s="50" t="e">
        <f t="shared" si="4"/>
        <v>#N/A</v>
      </c>
      <c r="AC31" s="50" t="e">
        <f t="shared" si="5"/>
        <v>#N/A</v>
      </c>
    </row>
    <row r="32" spans="1:29" ht="15">
      <c r="A32" s="570"/>
      <c r="B32" s="113" t="s">
        <v>1839</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519" t="s">
        <v>1693</v>
      </c>
      <c r="Q32" s="1241" t="str">
        <f t="shared" si="11"/>
        <v>车位类型</v>
      </c>
      <c r="R32" s="657" t="s">
        <v>14</v>
      </c>
      <c r="S32" s="658">
        <f t="shared" si="12"/>
        <v>100</v>
      </c>
      <c r="T32" s="657" t="s">
        <v>14</v>
      </c>
      <c r="U32" s="658">
        <f t="shared" si="13"/>
        <v>100</v>
      </c>
      <c r="V32" s="657" t="s">
        <v>14</v>
      </c>
      <c r="W32" s="658">
        <f t="shared" si="14"/>
        <v>100</v>
      </c>
      <c r="X32" s="1243"/>
      <c r="Y32" s="3519" t="s">
        <v>1693</v>
      </c>
      <c r="Z32" s="1242" t="str">
        <f t="shared" si="15"/>
        <v>车位类型</v>
      </c>
      <c r="AA32" s="1242">
        <f t="shared" si="3"/>
        <v>1</v>
      </c>
      <c r="AB32" s="1242">
        <f t="shared" si="4"/>
        <v>1</v>
      </c>
      <c r="AC32" s="1242">
        <f t="shared" si="5"/>
        <v>1</v>
      </c>
    </row>
    <row r="33" spans="1:29" ht="15">
      <c r="A33" s="570"/>
      <c r="B33" s="113" t="s">
        <v>1840</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519"/>
      <c r="Q33" s="1241" t="str">
        <f t="shared" si="11"/>
        <v>是否直接入户</v>
      </c>
      <c r="R33" s="657" t="s">
        <v>14</v>
      </c>
      <c r="S33" s="658">
        <f t="shared" si="12"/>
        <v>100</v>
      </c>
      <c r="T33" s="657" t="s">
        <v>14</v>
      </c>
      <c r="U33" s="658">
        <f t="shared" si="13"/>
        <v>100</v>
      </c>
      <c r="V33" s="657" t="s">
        <v>14</v>
      </c>
      <c r="W33" s="658">
        <f t="shared" si="14"/>
        <v>100</v>
      </c>
      <c r="X33" s="1243"/>
      <c r="Y33" s="3519"/>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519"/>
      <c r="Q34" s="1241">
        <f t="shared" si="11"/>
        <v>111</v>
      </c>
      <c r="R34" s="657" t="s">
        <v>14</v>
      </c>
      <c r="S34" s="658">
        <f t="shared" si="12"/>
        <v>100</v>
      </c>
      <c r="T34" s="657" t="s">
        <v>14</v>
      </c>
      <c r="U34" s="658">
        <f t="shared" si="13"/>
        <v>100</v>
      </c>
      <c r="V34" s="657" t="s">
        <v>14</v>
      </c>
      <c r="W34" s="658">
        <f t="shared" si="14"/>
        <v>100</v>
      </c>
      <c r="X34" s="1243"/>
      <c r="Y34" s="3519"/>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519"/>
      <c r="Q35" s="524">
        <f t="shared" si="11"/>
        <v>111</v>
      </c>
      <c r="R35" s="659" t="s">
        <v>14</v>
      </c>
      <c r="S35" s="660">
        <f t="shared" si="12"/>
        <v>100</v>
      </c>
      <c r="T35" s="659" t="s">
        <v>14</v>
      </c>
      <c r="U35" s="660">
        <f t="shared" si="13"/>
        <v>100</v>
      </c>
      <c r="V35" s="659" t="s">
        <v>14</v>
      </c>
      <c r="W35" s="660">
        <f t="shared" si="14"/>
        <v>100</v>
      </c>
      <c r="X35" s="661"/>
      <c r="Y35" s="3519"/>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519"/>
      <c r="Q36" s="1241">
        <f t="shared" si="11"/>
        <v>111</v>
      </c>
      <c r="R36" s="657" t="s">
        <v>14</v>
      </c>
      <c r="S36" s="658">
        <f t="shared" si="12"/>
        <v>100</v>
      </c>
      <c r="T36" s="657" t="s">
        <v>14</v>
      </c>
      <c r="U36" s="658">
        <f t="shared" si="13"/>
        <v>100</v>
      </c>
      <c r="V36" s="657" t="s">
        <v>14</v>
      </c>
      <c r="W36" s="658">
        <f t="shared" si="14"/>
        <v>100</v>
      </c>
      <c r="X36" s="1243"/>
      <c r="Y36" s="3519"/>
      <c r="Z36" s="1242">
        <f t="shared" si="15"/>
        <v>111</v>
      </c>
      <c r="AA36" s="1242">
        <f t="shared" si="3"/>
        <v>1</v>
      </c>
      <c r="AB36" s="1242">
        <f t="shared" si="4"/>
        <v>1</v>
      </c>
      <c r="AC36" s="1242">
        <f t="shared" si="5"/>
        <v>1</v>
      </c>
    </row>
    <row r="37" spans="1:29" ht="15">
      <c r="A37" s="409" t="s">
        <v>1841</v>
      </c>
      <c r="B37" s="1798" t="s">
        <v>3336</v>
      </c>
      <c r="C37" s="1059" t="s">
        <v>0</v>
      </c>
      <c r="D37" s="411"/>
      <c r="E37" s="412"/>
      <c r="F37" s="413"/>
      <c r="G37" s="414"/>
      <c r="H37" s="415"/>
      <c r="I37" s="412"/>
      <c r="J37" s="415"/>
      <c r="K37" s="538"/>
      <c r="L37" s="2469"/>
      <c r="M37" s="2462"/>
      <c r="N37" s="2462"/>
      <c r="O37" s="2462"/>
      <c r="P37" s="3512" t="str">
        <f>A37</f>
        <v>成交单价</v>
      </c>
      <c r="Q37" s="3512"/>
      <c r="R37" s="3513">
        <f>E37</f>
        <v>0</v>
      </c>
      <c r="S37" s="3513"/>
      <c r="T37" s="3513">
        <f>G37</f>
        <v>0</v>
      </c>
      <c r="U37" s="3513"/>
      <c r="V37" s="3513">
        <f>I37</f>
        <v>0</v>
      </c>
      <c r="W37" s="3513"/>
      <c r="X37" s="378"/>
      <c r="Y37" s="663"/>
      <c r="Z37" s="378"/>
      <c r="AA37" s="378"/>
      <c r="AB37" s="378"/>
      <c r="AC37" s="378"/>
    </row>
    <row r="38" spans="1:29" ht="15.75" thickBot="1">
      <c r="A38" s="416" t="s">
        <v>1842</v>
      </c>
      <c r="B38" s="417" t="str">
        <f>B37</f>
        <v>元/平方米</v>
      </c>
      <c r="C38" s="1060" t="e">
        <f>R39</f>
        <v>#DIV/0!</v>
      </c>
      <c r="D38" s="2118" t="s">
        <v>2133</v>
      </c>
      <c r="E38" s="1061" t="e">
        <f>R38</f>
        <v>#DIV/0!</v>
      </c>
      <c r="F38" s="2119"/>
      <c r="G38" s="1060" t="e">
        <f>T38</f>
        <v>#DIV/0!</v>
      </c>
      <c r="H38" s="2119"/>
      <c r="I38" s="1061" t="e">
        <f>V38</f>
        <v>#DIV/0!</v>
      </c>
      <c r="J38" s="2119"/>
      <c r="K38" s="2121">
        <f>F38+H38+J38</f>
        <v>0</v>
      </c>
      <c r="L38" s="2469"/>
      <c r="M38" s="2462"/>
      <c r="N38" s="2462"/>
      <c r="O38" s="2462"/>
      <c r="P38" s="3512" t="str">
        <f>A38</f>
        <v>比较价值（元/平方米）</v>
      </c>
      <c r="Q38" s="3512"/>
      <c r="R38" s="3513" t="e">
        <f>IF(F1="售价",ROUND(PRODUCT(R37,AA7:AA36),0),ROUND(PRODUCT(R37,AA7:AA36),1))</f>
        <v>#DIV/0!</v>
      </c>
      <c r="S38" s="3513"/>
      <c r="T38" s="3513" t="e">
        <f>IF(F1="售价",ROUND(PRODUCT(T37,AB7:AB36),0),ROUND(PRODUCT(T37,AB7:AB36),1))</f>
        <v>#DIV/0!</v>
      </c>
      <c r="U38" s="3513"/>
      <c r="V38" s="3513" t="e">
        <f>IF(F1="售价",ROUND(PRODUCT(V37,AC7:AC36),0),ROUND(PRODUCT(V37,AC7:AC36),1))</f>
        <v>#DIV/0!</v>
      </c>
      <c r="W38" s="3513"/>
      <c r="X38" s="378"/>
      <c r="Y38" s="378"/>
      <c r="Z38" s="378"/>
      <c r="AA38" s="378"/>
      <c r="AB38" s="378"/>
      <c r="AC38" s="378"/>
    </row>
    <row r="39" spans="1:29" ht="15.75" thickBot="1">
      <c r="A39" s="420" t="s">
        <v>1843</v>
      </c>
      <c r="B39" s="421"/>
      <c r="C39" s="344" t="e">
        <f>R39</f>
        <v>#DIV/0!</v>
      </c>
      <c r="D39" s="344"/>
      <c r="E39" s="344"/>
      <c r="F39" s="344"/>
      <c r="G39" s="344"/>
      <c r="H39" s="344"/>
      <c r="I39" s="344"/>
      <c r="J39" s="344"/>
      <c r="K39" s="539"/>
      <c r="L39" s="2469"/>
      <c r="M39" s="2462"/>
      <c r="N39" s="2462"/>
      <c r="O39" s="2462"/>
      <c r="P39" s="3509" t="str">
        <f>A39</f>
        <v>估价对象XX用房的比较价值（楼面单价，元/平方米）</v>
      </c>
      <c r="Q39" s="3510"/>
      <c r="R39" s="3570" t="e">
        <f>IF(F1="售价",ROUND(IF(D38="简单平均",AVERAGE(R38:W38),R38*F38+T38*H38+V38*J38),0),ROUND(IF(D38="简单平均",AVERAGE(R38:V38),R38*F38+T38*H38+V38*J38),1))</f>
        <v>#DIV/0!</v>
      </c>
      <c r="S39" s="3570"/>
      <c r="T39" s="3570"/>
      <c r="U39" s="3570"/>
      <c r="V39" s="3570"/>
      <c r="W39" s="3570"/>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1844</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1845</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1846</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1847</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1848</v>
      </c>
      <c r="B48" s="434"/>
      <c r="C48" s="1081" t="str">
        <f>YEAR(C7)&amp;"-"&amp;MONTH(C7)</f>
        <v>2025-10</v>
      </c>
      <c r="D48" s="1082">
        <f>EDATE(C48,-1)</f>
        <v>45901</v>
      </c>
      <c r="E48" s="1082">
        <f t="shared" ref="E48:O48" si="16">EDATE(D48,-1)</f>
        <v>45870</v>
      </c>
      <c r="F48" s="1082">
        <f t="shared" si="16"/>
        <v>45839</v>
      </c>
      <c r="G48" s="1082">
        <f t="shared" si="16"/>
        <v>45809</v>
      </c>
      <c r="H48" s="1082">
        <f t="shared" si="16"/>
        <v>45778</v>
      </c>
      <c r="I48" s="1082">
        <f t="shared" si="16"/>
        <v>45748</v>
      </c>
      <c r="J48" s="1082">
        <f t="shared" si="16"/>
        <v>45717</v>
      </c>
      <c r="K48" s="1082">
        <f t="shared" si="16"/>
        <v>45689</v>
      </c>
      <c r="L48" s="1082">
        <f t="shared" si="16"/>
        <v>45658</v>
      </c>
      <c r="M48" s="1082">
        <f t="shared" si="16"/>
        <v>45627</v>
      </c>
      <c r="N48" s="1082">
        <f t="shared" si="16"/>
        <v>45597</v>
      </c>
      <c r="O48" s="1082">
        <f t="shared" si="16"/>
        <v>45566</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1713</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1678</v>
      </c>
      <c r="B51" s="437"/>
      <c r="C51" s="449" t="s">
        <v>1773</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1716</v>
      </c>
      <c r="B53" s="453" t="s">
        <v>1682</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1685</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1687</v>
      </c>
      <c r="B63" s="453" t="s">
        <v>1723</v>
      </c>
      <c r="C63" s="497" t="s">
        <v>1718</v>
      </c>
      <c r="D63" s="497" t="s">
        <v>1719</v>
      </c>
      <c r="E63" s="497" t="s">
        <v>1720</v>
      </c>
      <c r="F63" s="497" t="s">
        <v>1721</v>
      </c>
      <c r="G63" s="497" t="s">
        <v>1722</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1724</v>
      </c>
      <c r="C65" s="502" t="s">
        <v>1718</v>
      </c>
      <c r="D65" s="502" t="s">
        <v>1719</v>
      </c>
      <c r="E65" s="502" t="s">
        <v>1720</v>
      </c>
      <c r="F65" s="502" t="s">
        <v>1721</v>
      </c>
      <c r="G65" s="502" t="s">
        <v>1722</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1810</v>
      </c>
      <c r="C67" s="574" t="s">
        <v>1796</v>
      </c>
      <c r="D67" s="574" t="s">
        <v>1797</v>
      </c>
      <c r="E67" s="574" t="s">
        <v>1798</v>
      </c>
      <c r="F67" s="574" t="s">
        <v>1799</v>
      </c>
      <c r="G67" s="574" t="s">
        <v>1800</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1730</v>
      </c>
      <c r="C69" s="502" t="s">
        <v>1718</v>
      </c>
      <c r="D69" s="502" t="s">
        <v>1719</v>
      </c>
      <c r="E69" s="502" t="s">
        <v>1720</v>
      </c>
      <c r="F69" s="502" t="s">
        <v>1721</v>
      </c>
      <c r="G69" s="502" t="s">
        <v>1722</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1849</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1691</v>
      </c>
      <c r="B79" s="453" t="s">
        <v>1850</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1851</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1737</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1852</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1853</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1854</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1855</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1856</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3316</v>
      </c>
      <c r="C1" s="1119" t="s">
        <v>1659</v>
      </c>
      <c r="D1" s="1120"/>
      <c r="E1" s="3103"/>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IF(C2="——",C37,ROUND(B2*10000/D3,0))</f>
        <v>#DIV/0!</v>
      </c>
      <c r="C3" s="337" t="s">
        <v>1765</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31" t="s">
        <v>1772</v>
      </c>
      <c r="Q4" s="3532"/>
      <c r="R4" s="3537" t="s">
        <v>1768</v>
      </c>
      <c r="S4" s="3538"/>
      <c r="T4" s="3537" t="s">
        <v>1769</v>
      </c>
      <c r="U4" s="3538"/>
      <c r="V4" s="3513" t="s">
        <v>1770</v>
      </c>
      <c r="W4" s="3513"/>
      <c r="X4" s="1243"/>
      <c r="Y4" s="3537" t="s">
        <v>1772</v>
      </c>
      <c r="Z4" s="3538"/>
      <c r="AA4" s="3524" t="s">
        <v>1768</v>
      </c>
      <c r="AB4" s="3525" t="s">
        <v>1769</v>
      </c>
      <c r="AC4" s="3524" t="s">
        <v>1770</v>
      </c>
    </row>
    <row r="5" spans="1:29" ht="15">
      <c r="A5" s="341"/>
      <c r="B5" s="342"/>
      <c r="C5" s="3545" t="s">
        <v>1670</v>
      </c>
      <c r="D5" s="3546"/>
      <c r="E5" s="3552" t="s">
        <v>1671</v>
      </c>
      <c r="F5" s="3553"/>
      <c r="G5" s="3545" t="s">
        <v>1672</v>
      </c>
      <c r="H5" s="3546"/>
      <c r="I5" s="3545" t="s">
        <v>1673</v>
      </c>
      <c r="J5" s="3546"/>
      <c r="K5" s="530"/>
      <c r="L5" s="2461"/>
      <c r="M5" s="2462"/>
      <c r="N5" s="2462"/>
      <c r="O5" s="2462"/>
      <c r="P5" s="3533"/>
      <c r="Q5" s="3534"/>
      <c r="R5" s="3539"/>
      <c r="S5" s="3540"/>
      <c r="T5" s="3539"/>
      <c r="U5" s="3540"/>
      <c r="V5" s="3513"/>
      <c r="W5" s="3513"/>
      <c r="X5" s="1243"/>
      <c r="Y5" s="3539"/>
      <c r="Z5" s="3540"/>
      <c r="AA5" s="3525"/>
      <c r="AB5" s="3525"/>
      <c r="AC5" s="3525"/>
    </row>
    <row r="6" spans="1:29" ht="15.75" thickBot="1">
      <c r="A6" s="343"/>
      <c r="B6" s="344"/>
      <c r="C6" s="3543" t="s">
        <v>1674</v>
      </c>
      <c r="D6" s="3544"/>
      <c r="E6" s="3550" t="s">
        <v>1674</v>
      </c>
      <c r="F6" s="3551"/>
      <c r="G6" s="3543" t="s">
        <v>1674</v>
      </c>
      <c r="H6" s="3544"/>
      <c r="I6" s="3543" t="s">
        <v>1674</v>
      </c>
      <c r="J6" s="3544"/>
      <c r="K6" s="530" t="s">
        <v>1675</v>
      </c>
      <c r="L6" s="2461"/>
      <c r="M6" s="2462"/>
      <c r="N6" s="2462"/>
      <c r="O6" s="2462"/>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SUMIF(46:46,YEAR(E7)&amp;"-"&amp;MONTH(E7),47:47)</f>
        <v>0</v>
      </c>
      <c r="G7" s="1799"/>
      <c r="H7" s="348">
        <f>SUMIF(46:46,YEAR(G7)&amp;"-"&amp;MONTH(G7),47:47)</f>
        <v>0</v>
      </c>
      <c r="I7" s="349"/>
      <c r="J7" s="348">
        <f>SUMIF(46:46,YEAR(I7)&amp;"-"&amp;MONTH(I7),47:47)</f>
        <v>0</v>
      </c>
      <c r="K7" s="38"/>
      <c r="L7" s="2463"/>
      <c r="M7" s="2416"/>
      <c r="N7" s="2416"/>
      <c r="O7" s="2416"/>
      <c r="P7" s="3547" t="s">
        <v>1677</v>
      </c>
      <c r="Q7" s="3549"/>
      <c r="R7" s="654" t="s">
        <v>14</v>
      </c>
      <c r="S7" s="655">
        <f t="shared" ref="S7:S14" si="0">F7</f>
        <v>0</v>
      </c>
      <c r="T7" s="654" t="s">
        <v>14</v>
      </c>
      <c r="U7" s="655">
        <f t="shared" ref="U7:U14" si="1">H7</f>
        <v>0</v>
      </c>
      <c r="V7" s="654" t="s">
        <v>14</v>
      </c>
      <c r="W7" s="655">
        <f t="shared" ref="W7:W14" si="2">J7</f>
        <v>0</v>
      </c>
      <c r="X7" s="656"/>
      <c r="Y7" s="3547" t="s">
        <v>1677</v>
      </c>
      <c r="Z7" s="3548"/>
      <c r="AA7" s="50" t="e">
        <f>D7/F7</f>
        <v>#DIV/0!</v>
      </c>
      <c r="AB7" s="50" t="e">
        <f>D7/H7</f>
        <v>#DIV/0!</v>
      </c>
      <c r="AC7" s="50" t="e">
        <f>D7/J7</f>
        <v>#DIV/0!</v>
      </c>
    </row>
    <row r="8" spans="1:29" s="101" customFormat="1" ht="15.75" thickBot="1">
      <c r="A8" s="345" t="s">
        <v>1678</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547" t="s">
        <v>1680</v>
      </c>
      <c r="Q8" s="3548"/>
      <c r="R8" s="654" t="s">
        <v>14</v>
      </c>
      <c r="S8" s="655">
        <f t="shared" si="0"/>
        <v>100</v>
      </c>
      <c r="T8" s="654" t="s">
        <v>14</v>
      </c>
      <c r="U8" s="655">
        <f t="shared" si="1"/>
        <v>100</v>
      </c>
      <c r="V8" s="654" t="s">
        <v>14</v>
      </c>
      <c r="W8" s="655">
        <f t="shared" si="2"/>
        <v>100</v>
      </c>
      <c r="X8" s="656"/>
      <c r="Y8" s="3547" t="s">
        <v>1680</v>
      </c>
      <c r="Z8" s="3548"/>
      <c r="AA8" s="50">
        <f t="shared" ref="AA8:AA34" si="3">D8/F8</f>
        <v>1</v>
      </c>
      <c r="AB8" s="50">
        <f t="shared" ref="AB8:AB34" si="4">D8/H8</f>
        <v>1</v>
      </c>
      <c r="AC8" s="50">
        <f t="shared" ref="AC8:AC34" si="5">D8/J8</f>
        <v>1</v>
      </c>
    </row>
    <row r="9" spans="1:29" s="101" customFormat="1">
      <c r="A9" s="352" t="s">
        <v>1681</v>
      </c>
      <c r="B9" s="60" t="s">
        <v>1682</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512" t="s">
        <v>1683</v>
      </c>
      <c r="Q9" s="523" t="str">
        <f t="shared" ref="Q9:Q14" si="6">B9</f>
        <v>用途</v>
      </c>
      <c r="R9" s="654" t="s">
        <v>14</v>
      </c>
      <c r="S9" s="655">
        <f t="shared" si="0"/>
        <v>100</v>
      </c>
      <c r="T9" s="654" t="s">
        <v>14</v>
      </c>
      <c r="U9" s="655">
        <f t="shared" si="1"/>
        <v>100</v>
      </c>
      <c r="V9" s="654" t="s">
        <v>14</v>
      </c>
      <c r="W9" s="655">
        <f t="shared" si="2"/>
        <v>100</v>
      </c>
      <c r="X9" s="656"/>
      <c r="Y9" s="3368" t="s">
        <v>1684</v>
      </c>
      <c r="Z9" s="50" t="str">
        <f t="shared" ref="Z9:Z14" si="7">Q9</f>
        <v>用途</v>
      </c>
      <c r="AA9" s="50">
        <f t="shared" si="3"/>
        <v>1</v>
      </c>
      <c r="AB9" s="50">
        <f t="shared" si="4"/>
        <v>1</v>
      </c>
      <c r="AC9" s="50">
        <f t="shared" si="5"/>
        <v>1</v>
      </c>
    </row>
    <row r="10" spans="1:29" s="359" customFormat="1" ht="27">
      <c r="A10" s="356"/>
      <c r="B10" s="357" t="s">
        <v>1685</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512"/>
      <c r="Q10" s="523" t="str">
        <f t="shared" si="6"/>
        <v>土地使用年限（年）</v>
      </c>
      <c r="R10" s="654" t="s">
        <v>14</v>
      </c>
      <c r="S10" s="655">
        <f t="shared" si="0"/>
        <v>100</v>
      </c>
      <c r="T10" s="654" t="s">
        <v>14</v>
      </c>
      <c r="U10" s="655">
        <f t="shared" si="1"/>
        <v>100</v>
      </c>
      <c r="V10" s="654" t="s">
        <v>14</v>
      </c>
      <c r="W10" s="655">
        <f t="shared" si="2"/>
        <v>100</v>
      </c>
      <c r="X10" s="656"/>
      <c r="Y10" s="3368"/>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512"/>
      <c r="Q11" s="523">
        <f t="shared" si="6"/>
        <v>111</v>
      </c>
      <c r="R11" s="654" t="s">
        <v>14</v>
      </c>
      <c r="S11" s="655">
        <f t="shared" si="0"/>
        <v>100</v>
      </c>
      <c r="T11" s="654" t="s">
        <v>14</v>
      </c>
      <c r="U11" s="655">
        <f t="shared" si="1"/>
        <v>100</v>
      </c>
      <c r="V11" s="654" t="s">
        <v>14</v>
      </c>
      <c r="W11" s="655">
        <f t="shared" si="2"/>
        <v>100</v>
      </c>
      <c r="X11" s="656"/>
      <c r="Y11" s="336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512"/>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512"/>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50">
        <f t="shared" si="5"/>
        <v>1</v>
      </c>
    </row>
    <row r="14" spans="1:29" ht="15">
      <c r="A14" s="372" t="s">
        <v>1687</v>
      </c>
      <c r="B14" s="58" t="s">
        <v>1830</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514" t="s">
        <v>1688</v>
      </c>
      <c r="Q14" s="1241" t="str">
        <f t="shared" si="6"/>
        <v>交通便捷度</v>
      </c>
      <c r="R14" s="657" t="s">
        <v>14</v>
      </c>
      <c r="S14" s="658">
        <f t="shared" si="0"/>
        <v>100</v>
      </c>
      <c r="T14" s="657" t="s">
        <v>14</v>
      </c>
      <c r="U14" s="658">
        <f t="shared" si="1"/>
        <v>100</v>
      </c>
      <c r="V14" s="657" t="s">
        <v>14</v>
      </c>
      <c r="W14" s="658">
        <f t="shared" si="2"/>
        <v>100</v>
      </c>
      <c r="X14" s="1243"/>
      <c r="Y14" s="3514" t="s">
        <v>1688</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515"/>
      <c r="Q15" s="1241"/>
      <c r="R15" s="657"/>
      <c r="S15" s="658"/>
      <c r="T15" s="657"/>
      <c r="U15" s="658"/>
      <c r="V15" s="657"/>
      <c r="W15" s="658"/>
      <c r="X15" s="1243"/>
      <c r="Y15" s="3515"/>
      <c r="Z15" s="1242"/>
      <c r="AA15" s="1242">
        <v>1</v>
      </c>
      <c r="AB15" s="1242">
        <v>1</v>
      </c>
      <c r="AC15" s="1242">
        <v>1</v>
      </c>
    </row>
    <row r="16" spans="1:29" ht="15">
      <c r="A16" s="360"/>
      <c r="B16" s="383" t="s">
        <v>1809</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515"/>
      <c r="Q16" s="1241" t="str">
        <f>B16</f>
        <v>公共配套设施</v>
      </c>
      <c r="R16" s="657" t="s">
        <v>14</v>
      </c>
      <c r="S16" s="658">
        <f>F16</f>
        <v>100</v>
      </c>
      <c r="T16" s="657" t="s">
        <v>14</v>
      </c>
      <c r="U16" s="658">
        <f>H16</f>
        <v>100</v>
      </c>
      <c r="V16" s="657" t="s">
        <v>14</v>
      </c>
      <c r="W16" s="658">
        <f>J16</f>
        <v>100</v>
      </c>
      <c r="X16" s="1243"/>
      <c r="Y16" s="3515"/>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515"/>
      <c r="Q17" s="1241"/>
      <c r="R17" s="657"/>
      <c r="S17" s="658"/>
      <c r="T17" s="657"/>
      <c r="U17" s="658"/>
      <c r="V17" s="657"/>
      <c r="W17" s="658"/>
      <c r="X17" s="1243"/>
      <c r="Y17" s="3515"/>
      <c r="Z17" s="1242"/>
      <c r="AA17" s="1242">
        <v>1</v>
      </c>
      <c r="AB17" s="1242">
        <v>1</v>
      </c>
      <c r="AC17" s="1242">
        <v>1</v>
      </c>
    </row>
    <row r="18" spans="1:29" ht="15">
      <c r="A18" s="360"/>
      <c r="B18" s="579" t="s">
        <v>1810</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515"/>
      <c r="Q18" s="1241" t="str">
        <f>B18</f>
        <v>基础设施水平</v>
      </c>
      <c r="R18" s="657" t="s">
        <v>14</v>
      </c>
      <c r="S18" s="658">
        <f>F18</f>
        <v>100</v>
      </c>
      <c r="T18" s="657" t="s">
        <v>14</v>
      </c>
      <c r="U18" s="658">
        <f>H18</f>
        <v>100</v>
      </c>
      <c r="V18" s="657" t="s">
        <v>14</v>
      </c>
      <c r="W18" s="658">
        <f>J18</f>
        <v>100</v>
      </c>
      <c r="X18" s="1243"/>
      <c r="Y18" s="3515"/>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515"/>
      <c r="Q19" s="1241"/>
      <c r="R19" s="657"/>
      <c r="S19" s="658"/>
      <c r="T19" s="657"/>
      <c r="U19" s="658"/>
      <c r="V19" s="657"/>
      <c r="W19" s="658"/>
      <c r="X19" s="1243"/>
      <c r="Y19" s="3515"/>
      <c r="Z19" s="1242"/>
      <c r="AA19" s="1242">
        <v>1</v>
      </c>
      <c r="AB19" s="1242">
        <v>1</v>
      </c>
      <c r="AC19" s="1242">
        <v>1</v>
      </c>
    </row>
    <row r="20" spans="1:29" ht="15">
      <c r="A20" s="360"/>
      <c r="B20" s="383" t="s">
        <v>1831</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515"/>
      <c r="Q20" s="1241" t="str">
        <f>B20</f>
        <v>自然及人文环境</v>
      </c>
      <c r="R20" s="657" t="s">
        <v>14</v>
      </c>
      <c r="S20" s="658">
        <f>F20</f>
        <v>100</v>
      </c>
      <c r="T20" s="657" t="s">
        <v>14</v>
      </c>
      <c r="U20" s="658">
        <f>H20</f>
        <v>100</v>
      </c>
      <c r="V20" s="657" t="s">
        <v>14</v>
      </c>
      <c r="W20" s="658">
        <f>J20</f>
        <v>100</v>
      </c>
      <c r="X20" s="1243"/>
      <c r="Y20" s="3515"/>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515"/>
      <c r="Q21" s="1241"/>
      <c r="R21" s="657"/>
      <c r="S21" s="658"/>
      <c r="T21" s="657"/>
      <c r="U21" s="658"/>
      <c r="V21" s="657"/>
      <c r="W21" s="658"/>
      <c r="X21" s="1243"/>
      <c r="Y21" s="3515"/>
      <c r="Z21" s="1242"/>
      <c r="AA21" s="1242">
        <v>1</v>
      </c>
      <c r="AB21" s="1242">
        <v>1</v>
      </c>
      <c r="AC21" s="1242">
        <v>1</v>
      </c>
    </row>
    <row r="22" spans="1:29" ht="15">
      <c r="A22" s="360"/>
      <c r="B22" s="383" t="s">
        <v>1832</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515"/>
      <c r="Q22" s="1241" t="str">
        <f>B22</f>
        <v>楼层</v>
      </c>
      <c r="R22" s="657" t="s">
        <v>14</v>
      </c>
      <c r="S22" s="658">
        <f>F22</f>
        <v>100</v>
      </c>
      <c r="T22" s="657" t="s">
        <v>14</v>
      </c>
      <c r="U22" s="658">
        <f>H22</f>
        <v>100</v>
      </c>
      <c r="V22" s="657" t="s">
        <v>14</v>
      </c>
      <c r="W22" s="658">
        <f>J22</f>
        <v>100</v>
      </c>
      <c r="X22" s="1243"/>
      <c r="Y22" s="3515"/>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515"/>
      <c r="Q23" s="1241">
        <f>B23</f>
        <v>111</v>
      </c>
      <c r="R23" s="657" t="s">
        <v>14</v>
      </c>
      <c r="S23" s="658">
        <f>F23</f>
        <v>100</v>
      </c>
      <c r="T23" s="657" t="s">
        <v>14</v>
      </c>
      <c r="U23" s="658">
        <f>H23</f>
        <v>100</v>
      </c>
      <c r="V23" s="657" t="s">
        <v>14</v>
      </c>
      <c r="W23" s="658">
        <f>J23</f>
        <v>100</v>
      </c>
      <c r="X23" s="1243"/>
      <c r="Y23" s="3515"/>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515"/>
      <c r="Q24" s="1241">
        <f t="shared" ref="Q24:Q34" si="11">B24</f>
        <v>111</v>
      </c>
      <c r="R24" s="657" t="s">
        <v>14</v>
      </c>
      <c r="S24" s="658">
        <f>F24</f>
        <v>100</v>
      </c>
      <c r="T24" s="657" t="s">
        <v>14</v>
      </c>
      <c r="U24" s="658">
        <f>H24</f>
        <v>100</v>
      </c>
      <c r="V24" s="657" t="s">
        <v>14</v>
      </c>
      <c r="W24" s="658">
        <f>J24</f>
        <v>100</v>
      </c>
      <c r="X24" s="1243"/>
      <c r="Y24" s="3515"/>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515"/>
      <c r="Q25" s="523">
        <f t="shared" si="11"/>
        <v>111</v>
      </c>
      <c r="R25" s="654" t="s">
        <v>14</v>
      </c>
      <c r="S25" s="655">
        <f>F25</f>
        <v>100</v>
      </c>
      <c r="T25" s="654" t="s">
        <v>14</v>
      </c>
      <c r="U25" s="655">
        <f>H25</f>
        <v>100</v>
      </c>
      <c r="V25" s="654" t="s">
        <v>14</v>
      </c>
      <c r="W25" s="655">
        <f>J25</f>
        <v>100</v>
      </c>
      <c r="X25" s="656"/>
      <c r="Y25" s="3515"/>
      <c r="Z25" s="50">
        <f>Q25</f>
        <v>111</v>
      </c>
      <c r="AA25" s="1242">
        <f>D25/F25</f>
        <v>1</v>
      </c>
      <c r="AB25" s="1242">
        <f>D25/H25</f>
        <v>1</v>
      </c>
      <c r="AC25" s="1242">
        <f>D25/J25</f>
        <v>1</v>
      </c>
    </row>
    <row r="26" spans="1:29" ht="28.5">
      <c r="A26" s="397" t="s">
        <v>1691</v>
      </c>
      <c r="B26" s="60" t="s">
        <v>1835</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569" t="s">
        <v>1693</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519" t="s">
        <v>1693</v>
      </c>
      <c r="Z26" s="1242" t="str">
        <f t="shared" ref="Z26:Z34" si="15">Q26</f>
        <v>公共部分装修</v>
      </c>
      <c r="AA26" s="1242">
        <f t="shared" si="3"/>
        <v>1</v>
      </c>
      <c r="AB26" s="1242">
        <f t="shared" si="4"/>
        <v>1</v>
      </c>
      <c r="AC26" s="1242">
        <f t="shared" si="5"/>
        <v>1</v>
      </c>
    </row>
    <row r="27" spans="1:29" s="401" customFormat="1" ht="15">
      <c r="A27" s="399"/>
      <c r="B27" s="357" t="s">
        <v>1836</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519"/>
      <c r="Q27" s="524" t="str">
        <f t="shared" si="11"/>
        <v>成新率</v>
      </c>
      <c r="R27" s="659" t="s">
        <v>14</v>
      </c>
      <c r="S27" s="660" t="e">
        <f t="shared" si="12"/>
        <v>#N/A</v>
      </c>
      <c r="T27" s="659" t="s">
        <v>14</v>
      </c>
      <c r="U27" s="660" t="e">
        <f t="shared" si="13"/>
        <v>#N/A</v>
      </c>
      <c r="V27" s="659" t="s">
        <v>14</v>
      </c>
      <c r="W27" s="660" t="e">
        <f t="shared" si="14"/>
        <v>#N/A</v>
      </c>
      <c r="X27" s="661"/>
      <c r="Y27" s="3519"/>
      <c r="Z27" s="662" t="str">
        <f t="shared" si="15"/>
        <v>成新率</v>
      </c>
      <c r="AA27" s="1242" t="e">
        <f t="shared" si="3"/>
        <v>#N/A</v>
      </c>
      <c r="AB27" s="1242" t="e">
        <f t="shared" si="4"/>
        <v>#N/A</v>
      </c>
      <c r="AC27" s="1242" t="e">
        <f t="shared" si="5"/>
        <v>#N/A</v>
      </c>
    </row>
    <row r="28" spans="1:29" ht="15">
      <c r="A28" s="402"/>
      <c r="B28" s="357" t="s">
        <v>1837</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519"/>
      <c r="Q28" s="1241" t="str">
        <f t="shared" si="11"/>
        <v>物业等级</v>
      </c>
      <c r="R28" s="657" t="s">
        <v>14</v>
      </c>
      <c r="S28" s="658">
        <f t="shared" si="12"/>
        <v>100</v>
      </c>
      <c r="T28" s="657" t="s">
        <v>14</v>
      </c>
      <c r="U28" s="658">
        <f t="shared" si="13"/>
        <v>100</v>
      </c>
      <c r="V28" s="657" t="s">
        <v>14</v>
      </c>
      <c r="W28" s="658">
        <f t="shared" si="14"/>
        <v>100</v>
      </c>
      <c r="X28" s="1243"/>
      <c r="Y28" s="3519"/>
      <c r="Z28" s="1242" t="str">
        <f t="shared" si="15"/>
        <v>物业等级</v>
      </c>
      <c r="AA28" s="1242">
        <f t="shared" si="3"/>
        <v>1</v>
      </c>
      <c r="AB28" s="1242">
        <f t="shared" si="4"/>
        <v>1</v>
      </c>
      <c r="AC28" s="1242">
        <f t="shared" si="5"/>
        <v>1</v>
      </c>
    </row>
    <row r="29" spans="1:29" ht="15">
      <c r="A29" s="402"/>
      <c r="B29" s="357" t="s">
        <v>1857</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519"/>
      <c r="Q29" s="1241" t="str">
        <f t="shared" si="11"/>
        <v>有无电梯</v>
      </c>
      <c r="R29" s="657" t="s">
        <v>14</v>
      </c>
      <c r="S29" s="658">
        <f t="shared" si="12"/>
        <v>100</v>
      </c>
      <c r="T29" s="657" t="s">
        <v>14</v>
      </c>
      <c r="U29" s="658">
        <f t="shared" si="13"/>
        <v>100</v>
      </c>
      <c r="V29" s="657" t="s">
        <v>14</v>
      </c>
      <c r="W29" s="658">
        <f t="shared" si="14"/>
        <v>100</v>
      </c>
      <c r="X29" s="1243"/>
      <c r="Y29" s="3519"/>
      <c r="Z29" s="1242" t="str">
        <f t="shared" si="15"/>
        <v>有无电梯</v>
      </c>
      <c r="AA29" s="1242">
        <f t="shared" si="3"/>
        <v>1</v>
      </c>
      <c r="AB29" s="1242">
        <f t="shared" si="4"/>
        <v>1</v>
      </c>
      <c r="AC29" s="1242">
        <f t="shared" si="5"/>
        <v>1</v>
      </c>
    </row>
    <row r="30" spans="1:29" ht="15">
      <c r="A30" s="402"/>
      <c r="B30" s="357" t="s">
        <v>1858</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519"/>
      <c r="Q30" s="1241" t="str">
        <f t="shared" si="11"/>
        <v>建筑面积</v>
      </c>
      <c r="R30" s="657" t="s">
        <v>14</v>
      </c>
      <c r="S30" s="658" t="e">
        <f t="shared" si="12"/>
        <v>#N/A</v>
      </c>
      <c r="T30" s="657" t="s">
        <v>14</v>
      </c>
      <c r="U30" s="658" t="e">
        <f t="shared" si="13"/>
        <v>#N/A</v>
      </c>
      <c r="V30" s="657" t="s">
        <v>14</v>
      </c>
      <c r="W30" s="658" t="e">
        <f t="shared" si="14"/>
        <v>#N/A</v>
      </c>
      <c r="X30" s="1243"/>
      <c r="Y30" s="3519"/>
      <c r="Z30" s="1242" t="str">
        <f t="shared" si="15"/>
        <v>建筑面积</v>
      </c>
      <c r="AA30" s="1242" t="e">
        <f t="shared" si="3"/>
        <v>#N/A</v>
      </c>
      <c r="AB30" s="1242" t="e">
        <f t="shared" si="4"/>
        <v>#N/A</v>
      </c>
      <c r="AC30" s="1242" t="e">
        <f t="shared" si="5"/>
        <v>#N/A</v>
      </c>
    </row>
    <row r="31" spans="1:29" s="101" customFormat="1" ht="15">
      <c r="A31" s="403"/>
      <c r="B31" s="357" t="s">
        <v>1859</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519"/>
      <c r="Q31" s="523" t="str">
        <f t="shared" si="11"/>
        <v>是否封闭</v>
      </c>
      <c r="R31" s="654" t="s">
        <v>14</v>
      </c>
      <c r="S31" s="655">
        <f t="shared" si="12"/>
        <v>100</v>
      </c>
      <c r="T31" s="654" t="s">
        <v>14</v>
      </c>
      <c r="U31" s="655">
        <f t="shared" si="13"/>
        <v>100</v>
      </c>
      <c r="V31" s="654" t="s">
        <v>14</v>
      </c>
      <c r="W31" s="655">
        <f t="shared" si="14"/>
        <v>100</v>
      </c>
      <c r="X31" s="656"/>
      <c r="Y31" s="3519"/>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519" t="s">
        <v>1693</v>
      </c>
      <c r="Q32" s="1241">
        <f t="shared" si="11"/>
        <v>111</v>
      </c>
      <c r="R32" s="657" t="s">
        <v>14</v>
      </c>
      <c r="S32" s="658">
        <f t="shared" si="12"/>
        <v>100</v>
      </c>
      <c r="T32" s="657" t="s">
        <v>14</v>
      </c>
      <c r="U32" s="658">
        <f t="shared" si="13"/>
        <v>100</v>
      </c>
      <c r="V32" s="657" t="s">
        <v>14</v>
      </c>
      <c r="W32" s="658">
        <f t="shared" si="14"/>
        <v>100</v>
      </c>
      <c r="X32" s="1243"/>
      <c r="Y32" s="3519" t="s">
        <v>1693</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519"/>
      <c r="Q33" s="1241">
        <f t="shared" si="11"/>
        <v>111</v>
      </c>
      <c r="R33" s="657" t="s">
        <v>14</v>
      </c>
      <c r="S33" s="658">
        <f t="shared" si="12"/>
        <v>100</v>
      </c>
      <c r="T33" s="657" t="s">
        <v>14</v>
      </c>
      <c r="U33" s="658">
        <f t="shared" si="13"/>
        <v>100</v>
      </c>
      <c r="V33" s="657" t="s">
        <v>14</v>
      </c>
      <c r="W33" s="658">
        <f t="shared" si="14"/>
        <v>100</v>
      </c>
      <c r="X33" s="1243"/>
      <c r="Y33" s="3519"/>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519"/>
      <c r="Q34" s="1241">
        <f t="shared" si="11"/>
        <v>111</v>
      </c>
      <c r="R34" s="657" t="s">
        <v>14</v>
      </c>
      <c r="S34" s="658">
        <f t="shared" si="12"/>
        <v>100</v>
      </c>
      <c r="T34" s="657" t="s">
        <v>14</v>
      </c>
      <c r="U34" s="658">
        <f t="shared" si="13"/>
        <v>100</v>
      </c>
      <c r="V34" s="657" t="s">
        <v>14</v>
      </c>
      <c r="W34" s="658">
        <f t="shared" si="14"/>
        <v>100</v>
      </c>
      <c r="X34" s="1243"/>
      <c r="Y34" s="3519"/>
      <c r="Z34" s="1242">
        <f t="shared" si="15"/>
        <v>111</v>
      </c>
      <c r="AA34" s="1242">
        <f t="shared" si="3"/>
        <v>1</v>
      </c>
      <c r="AB34" s="1242">
        <f t="shared" si="4"/>
        <v>1</v>
      </c>
      <c r="AC34" s="1242">
        <f t="shared" si="5"/>
        <v>1</v>
      </c>
    </row>
    <row r="35" spans="1:30" ht="15">
      <c r="A35" s="409" t="s">
        <v>1705</v>
      </c>
      <c r="B35" s="410"/>
      <c r="C35" s="1059" t="s">
        <v>0</v>
      </c>
      <c r="D35" s="411"/>
      <c r="E35" s="412"/>
      <c r="F35" s="413"/>
      <c r="G35" s="414"/>
      <c r="H35" s="415"/>
      <c r="I35" s="412"/>
      <c r="J35" s="415"/>
      <c r="K35" s="664"/>
      <c r="L35" s="2469"/>
      <c r="M35" s="2462"/>
      <c r="N35" s="2462"/>
      <c r="O35" s="2462"/>
      <c r="P35" s="3512" t="str">
        <f>A35</f>
        <v>成交单价（元/平方米）</v>
      </c>
      <c r="Q35" s="3512"/>
      <c r="R35" s="3513">
        <f>E35</f>
        <v>0</v>
      </c>
      <c r="S35" s="3513"/>
      <c r="T35" s="3513">
        <f>G35</f>
        <v>0</v>
      </c>
      <c r="U35" s="3513"/>
      <c r="V35" s="3513">
        <f>I35</f>
        <v>0</v>
      </c>
      <c r="W35" s="3513"/>
      <c r="X35" s="378"/>
      <c r="Y35" s="663"/>
      <c r="Z35" s="378"/>
      <c r="AA35" s="378"/>
      <c r="AB35" s="378"/>
      <c r="AC35" s="378"/>
    </row>
    <row r="36" spans="1:30" ht="15.75" thickBot="1">
      <c r="A36" s="416" t="s">
        <v>1790</v>
      </c>
      <c r="B36" s="417"/>
      <c r="C36" s="1060" t="e">
        <f>R37</f>
        <v>#DIV/0!</v>
      </c>
      <c r="D36" s="2118" t="s">
        <v>2133</v>
      </c>
      <c r="E36" s="1061" t="e">
        <f>R36</f>
        <v>#DIV/0!</v>
      </c>
      <c r="F36" s="2119"/>
      <c r="G36" s="1060" t="e">
        <f>T36</f>
        <v>#DIV/0!</v>
      </c>
      <c r="H36" s="2119"/>
      <c r="I36" s="1061" t="e">
        <f>V36</f>
        <v>#DIV/0!</v>
      </c>
      <c r="J36" s="2119"/>
      <c r="K36" s="2121">
        <f>F36+H36+J36</f>
        <v>0</v>
      </c>
      <c r="L36" s="2469"/>
      <c r="M36" s="2462"/>
      <c r="N36" s="2462"/>
      <c r="O36" s="2462"/>
      <c r="P36" s="3512" t="str">
        <f>A36</f>
        <v>比较价值（元/平方米）</v>
      </c>
      <c r="Q36" s="3512"/>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378"/>
      <c r="Y36" s="378"/>
      <c r="Z36" s="378"/>
      <c r="AA36" s="378"/>
      <c r="AB36" s="378"/>
      <c r="AC36" s="378"/>
    </row>
    <row r="37" spans="1:30" ht="15.75" thickBot="1">
      <c r="A37" s="420" t="s">
        <v>1791</v>
      </c>
      <c r="B37" s="421"/>
      <c r="C37" s="344" t="e">
        <f>R37</f>
        <v>#DIV/0!</v>
      </c>
      <c r="D37" s="344"/>
      <c r="E37" s="344"/>
      <c r="F37" s="344"/>
      <c r="G37" s="344"/>
      <c r="H37" s="344"/>
      <c r="I37" s="344"/>
      <c r="J37" s="344"/>
      <c r="K37" s="665"/>
      <c r="L37" s="2469"/>
      <c r="M37" s="2462"/>
      <c r="N37" s="2462"/>
      <c r="O37" s="2462"/>
      <c r="P37" s="3509" t="str">
        <f>A37</f>
        <v>估价对象XX用房的比较价值（楼面单价，元/平方米）</v>
      </c>
      <c r="Q37" s="3510"/>
      <c r="R37" s="3570" t="e">
        <f>IF(F1="售价",ROUND(IF(D36="简单平均",AVERAGE(R36:W36),R36*F36+T36*H36+V36*J36),0),ROUND(IF(D36="简单平均",AVERAGE(R36:V36),R36*F36+T36*H36+V36*J36),1))</f>
        <v>#DIV/0!</v>
      </c>
      <c r="S37" s="3570"/>
      <c r="T37" s="3570"/>
      <c r="U37" s="3570"/>
      <c r="V37" s="3570"/>
      <c r="W37" s="3570"/>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1792</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1793</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1794</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1795</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1676</v>
      </c>
      <c r="B46" s="434"/>
      <c r="C46" s="1081" t="str">
        <f>YEAR(C7)&amp;"-"&amp;MONTH(C7)</f>
        <v>2025-10</v>
      </c>
      <c r="D46" s="1082">
        <f>EDATE(C46,-1)</f>
        <v>45901</v>
      </c>
      <c r="E46" s="1082">
        <f t="shared" ref="E46:O46" si="16">EDATE(D46,-1)</f>
        <v>45870</v>
      </c>
      <c r="F46" s="1082">
        <f t="shared" si="16"/>
        <v>45839</v>
      </c>
      <c r="G46" s="1082">
        <f t="shared" si="16"/>
        <v>45809</v>
      </c>
      <c r="H46" s="1082">
        <f t="shared" si="16"/>
        <v>45778</v>
      </c>
      <c r="I46" s="1082">
        <f t="shared" si="16"/>
        <v>45748</v>
      </c>
      <c r="J46" s="1082">
        <f t="shared" si="16"/>
        <v>45717</v>
      </c>
      <c r="K46" s="1082">
        <f t="shared" si="16"/>
        <v>45689</v>
      </c>
      <c r="L46" s="1082">
        <f t="shared" si="16"/>
        <v>45658</v>
      </c>
      <c r="M46" s="1082">
        <f t="shared" si="16"/>
        <v>45627</v>
      </c>
      <c r="N46" s="1082">
        <f t="shared" si="16"/>
        <v>45597</v>
      </c>
      <c r="O46" s="1082">
        <f t="shared" si="16"/>
        <v>45566</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1713</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1678</v>
      </c>
      <c r="B49" s="437"/>
      <c r="C49" s="449" t="s">
        <v>1773</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1716</v>
      </c>
      <c r="B51" s="453" t="s">
        <v>1682</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1685</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1687</v>
      </c>
      <c r="B61" s="453" t="s">
        <v>1723</v>
      </c>
      <c r="C61" s="497" t="s">
        <v>1718</v>
      </c>
      <c r="D61" s="497" t="s">
        <v>1719</v>
      </c>
      <c r="E61" s="497" t="s">
        <v>1720</v>
      </c>
      <c r="F61" s="497" t="s">
        <v>1721</v>
      </c>
      <c r="G61" s="497" t="s">
        <v>1722</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1860</v>
      </c>
      <c r="C63" s="502" t="s">
        <v>1718</v>
      </c>
      <c r="D63" s="502" t="s">
        <v>1719</v>
      </c>
      <c r="E63" s="502" t="s">
        <v>1720</v>
      </c>
      <c r="F63" s="502" t="s">
        <v>1721</v>
      </c>
      <c r="G63" s="502" t="s">
        <v>1722</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1810</v>
      </c>
      <c r="C65" s="574" t="s">
        <v>1796</v>
      </c>
      <c r="D65" s="574" t="s">
        <v>1797</v>
      </c>
      <c r="E65" s="574" t="s">
        <v>1798</v>
      </c>
      <c r="F65" s="574" t="s">
        <v>1799</v>
      </c>
      <c r="G65" s="574" t="s">
        <v>1800</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1730</v>
      </c>
      <c r="C67" s="502" t="s">
        <v>1718</v>
      </c>
      <c r="D67" s="502" t="s">
        <v>1719</v>
      </c>
      <c r="E67" s="502" t="s">
        <v>1720</v>
      </c>
      <c r="F67" s="502" t="s">
        <v>1721</v>
      </c>
      <c r="G67" s="502" t="s">
        <v>1722</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1849</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1691</v>
      </c>
      <c r="B77" s="453" t="s">
        <v>1737</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1852</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1853</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1861</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1862</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1863</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W27" sqref="W27"/>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1865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31" t="s">
        <v>1772</v>
      </c>
      <c r="Q4" s="3532"/>
      <c r="R4" s="3537" t="s">
        <v>1768</v>
      </c>
      <c r="S4" s="3538"/>
      <c r="T4" s="3537" t="s">
        <v>1769</v>
      </c>
      <c r="U4" s="3538"/>
      <c r="V4" s="3513" t="s">
        <v>1770</v>
      </c>
      <c r="W4" s="3513"/>
      <c r="X4" s="1243"/>
      <c r="Y4" s="3537" t="s">
        <v>1772</v>
      </c>
      <c r="Z4" s="3538"/>
      <c r="AA4" s="3524" t="s">
        <v>1768</v>
      </c>
      <c r="AB4" s="3525" t="s">
        <v>1769</v>
      </c>
      <c r="AC4" s="3524" t="s">
        <v>1770</v>
      </c>
    </row>
    <row r="5" spans="1:29" ht="15">
      <c r="A5" s="341"/>
      <c r="B5" s="342"/>
      <c r="C5" s="3545" t="s">
        <v>1670</v>
      </c>
      <c r="D5" s="3546"/>
      <c r="E5" s="3552" t="s">
        <v>1671</v>
      </c>
      <c r="F5" s="3553"/>
      <c r="G5" s="3545" t="s">
        <v>1672</v>
      </c>
      <c r="H5" s="3546"/>
      <c r="I5" s="3545" t="s">
        <v>1673</v>
      </c>
      <c r="J5" s="3546"/>
      <c r="K5" s="530"/>
      <c r="L5" s="2461"/>
      <c r="M5" s="2462"/>
      <c r="N5" s="2462"/>
      <c r="O5" s="2462"/>
      <c r="P5" s="3533"/>
      <c r="Q5" s="3534"/>
      <c r="R5" s="3539"/>
      <c r="S5" s="3540"/>
      <c r="T5" s="3539"/>
      <c r="U5" s="3540"/>
      <c r="V5" s="3513"/>
      <c r="W5" s="3513"/>
      <c r="X5" s="1243"/>
      <c r="Y5" s="3539"/>
      <c r="Z5" s="3540"/>
      <c r="AA5" s="3525"/>
      <c r="AB5" s="3525"/>
      <c r="AC5" s="3525"/>
    </row>
    <row r="6" spans="1:29" ht="15.75" thickBot="1">
      <c r="A6" s="343"/>
      <c r="B6" s="344"/>
      <c r="C6" s="3543" t="s">
        <v>1674</v>
      </c>
      <c r="D6" s="3544"/>
      <c r="E6" s="3550" t="s">
        <v>1674</v>
      </c>
      <c r="F6" s="3551"/>
      <c r="G6" s="3543" t="s">
        <v>1674</v>
      </c>
      <c r="H6" s="3544"/>
      <c r="I6" s="3543" t="s">
        <v>1674</v>
      </c>
      <c r="J6" s="3544"/>
      <c r="K6" s="530" t="s">
        <v>1675</v>
      </c>
      <c r="L6" s="2461"/>
      <c r="M6" s="2462"/>
      <c r="N6" s="2462"/>
      <c r="O6" s="2462"/>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547" t="s">
        <v>1677</v>
      </c>
      <c r="Q7" s="3549"/>
      <c r="R7" s="654" t="s">
        <v>14</v>
      </c>
      <c r="S7" s="655">
        <f t="shared" ref="S7:S15" si="0">F7</f>
        <v>0</v>
      </c>
      <c r="T7" s="654" t="s">
        <v>14</v>
      </c>
      <c r="U7" s="655">
        <f t="shared" ref="U7:U15" si="1">H7</f>
        <v>0</v>
      </c>
      <c r="V7" s="654" t="s">
        <v>14</v>
      </c>
      <c r="W7" s="655">
        <f t="shared" ref="W7:W15" si="2">J7</f>
        <v>0</v>
      </c>
      <c r="X7" s="656"/>
      <c r="Y7" s="3547" t="s">
        <v>1677</v>
      </c>
      <c r="Z7" s="3548"/>
      <c r="AA7" s="50" t="e">
        <f>D7/F7</f>
        <v>#DIV/0!</v>
      </c>
      <c r="AB7" s="50" t="e">
        <f>D7/H7</f>
        <v>#DIV/0!</v>
      </c>
      <c r="AC7" s="50" t="e">
        <f>D7/J7</f>
        <v>#DIV/0!</v>
      </c>
    </row>
    <row r="8" spans="1:29" s="101" customFormat="1" ht="15.75" thickBot="1">
      <c r="A8" s="345" t="s">
        <v>1678</v>
      </c>
      <c r="B8" s="346"/>
      <c r="C8" s="351" t="s">
        <v>1679</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547" t="s">
        <v>1680</v>
      </c>
      <c r="Q8" s="3548"/>
      <c r="R8" s="654" t="s">
        <v>14</v>
      </c>
      <c r="S8" s="655">
        <f t="shared" si="0"/>
        <v>0</v>
      </c>
      <c r="T8" s="654" t="s">
        <v>14</v>
      </c>
      <c r="U8" s="655">
        <f t="shared" si="1"/>
        <v>0</v>
      </c>
      <c r="V8" s="654" t="s">
        <v>14</v>
      </c>
      <c r="W8" s="655">
        <f t="shared" si="2"/>
        <v>0</v>
      </c>
      <c r="X8" s="656"/>
      <c r="Y8" s="3547" t="s">
        <v>1680</v>
      </c>
      <c r="Z8" s="3548"/>
      <c r="AA8" s="50" t="e">
        <f t="shared" ref="AA8:AA45" si="3">D8/F8</f>
        <v>#DIV/0!</v>
      </c>
      <c r="AB8" s="50" t="e">
        <f t="shared" ref="AB8:AB45" si="4">D8/H8</f>
        <v>#DIV/0!</v>
      </c>
      <c r="AC8" s="50" t="e">
        <f t="shared" ref="AC8:AC45" si="5">D8/J8</f>
        <v>#DIV/0!</v>
      </c>
    </row>
    <row r="9" spans="1:29" s="101" customFormat="1">
      <c r="A9" s="352" t="s">
        <v>1681</v>
      </c>
      <c r="B9" s="60" t="s">
        <v>1682</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512"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96"/>
      <c r="F10" s="113">
        <f>ROUND(100/'数据-取费表'!G16,0)</f>
        <v>104</v>
      </c>
      <c r="G10" s="395"/>
      <c r="H10" s="113">
        <f>ROUND(100/'数据-取费表'!G16,0)</f>
        <v>104</v>
      </c>
      <c r="I10" s="395"/>
      <c r="J10" s="113">
        <f>ROUND(100/'数据-取费表'!G16,0)</f>
        <v>104</v>
      </c>
      <c r="K10" s="585"/>
      <c r="L10" s="2464"/>
      <c r="M10" s="2465"/>
      <c r="N10" s="2465"/>
      <c r="O10" s="2516"/>
      <c r="P10" s="3512"/>
      <c r="Q10" s="523" t="str">
        <f t="shared" si="6"/>
        <v>土地使用年限（年）</v>
      </c>
      <c r="R10" s="654" t="s">
        <v>14</v>
      </c>
      <c r="S10" s="655">
        <f t="shared" si="0"/>
        <v>104</v>
      </c>
      <c r="T10" s="654" t="s">
        <v>14</v>
      </c>
      <c r="U10" s="655">
        <f t="shared" si="1"/>
        <v>104</v>
      </c>
      <c r="V10" s="654" t="s">
        <v>14</v>
      </c>
      <c r="W10" s="655">
        <f t="shared" si="2"/>
        <v>104</v>
      </c>
      <c r="X10" s="656"/>
      <c r="Y10" s="3368"/>
      <c r="Z10" s="50" t="str">
        <f t="shared" si="7"/>
        <v>土地使用年限（年）</v>
      </c>
      <c r="AA10" s="50">
        <f t="shared" si="3"/>
        <v>0.96153846153846156</v>
      </c>
      <c r="AB10" s="50">
        <f t="shared" si="4"/>
        <v>0.96153846153846156</v>
      </c>
      <c r="AC10" s="50">
        <f t="shared" si="5"/>
        <v>0.96153846153846156</v>
      </c>
    </row>
    <row r="11" spans="1:29" ht="15">
      <c r="A11" s="360"/>
      <c r="B11" s="357" t="s">
        <v>1686</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512"/>
      <c r="Q11" s="523" t="str">
        <f t="shared" si="6"/>
        <v>容积率</v>
      </c>
      <c r="R11" s="654" t="s">
        <v>14</v>
      </c>
      <c r="S11" s="655" t="e">
        <f t="shared" si="0"/>
        <v>#N/A</v>
      </c>
      <c r="T11" s="654" t="s">
        <v>14</v>
      </c>
      <c r="U11" s="655" t="e">
        <f t="shared" si="1"/>
        <v>#N/A</v>
      </c>
      <c r="V11" s="654" t="s">
        <v>14</v>
      </c>
      <c r="W11" s="655" t="e">
        <f t="shared" si="2"/>
        <v>#N/A</v>
      </c>
      <c r="X11" s="656"/>
      <c r="Y11" s="3368"/>
      <c r="Z11" s="50" t="str">
        <f t="shared" si="7"/>
        <v>容积率</v>
      </c>
      <c r="AA11" s="50" t="e">
        <f t="shared" si="3"/>
        <v>#N/A</v>
      </c>
      <c r="AB11" s="50" t="e">
        <f t="shared" si="4"/>
        <v>#N/A</v>
      </c>
      <c r="AC11" s="50" t="e">
        <f t="shared" si="5"/>
        <v>#N/A</v>
      </c>
    </row>
    <row r="12" spans="1:29" s="101" customFormat="1" ht="15">
      <c r="A12" s="363"/>
      <c r="B12" s="440" t="s">
        <v>1867</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512"/>
      <c r="Q12" s="523" t="str">
        <f t="shared" si="6"/>
        <v>配建</v>
      </c>
      <c r="R12" s="654" t="s">
        <v>14</v>
      </c>
      <c r="S12" s="655">
        <f t="shared" si="0"/>
        <v>100</v>
      </c>
      <c r="T12" s="654" t="s">
        <v>14</v>
      </c>
      <c r="U12" s="655">
        <f t="shared" si="1"/>
        <v>100</v>
      </c>
      <c r="V12" s="654" t="s">
        <v>14</v>
      </c>
      <c r="W12" s="655">
        <f t="shared" si="2"/>
        <v>100</v>
      </c>
      <c r="X12" s="656"/>
      <c r="Y12" s="3368"/>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512"/>
      <c r="Q13" s="523">
        <f t="shared" si="6"/>
        <v>111</v>
      </c>
      <c r="R13" s="654" t="s">
        <v>14</v>
      </c>
      <c r="S13" s="655">
        <f t="shared" si="0"/>
        <v>100</v>
      </c>
      <c r="T13" s="654" t="s">
        <v>14</v>
      </c>
      <c r="U13" s="655">
        <f t="shared" si="1"/>
        <v>100</v>
      </c>
      <c r="V13" s="654" t="s">
        <v>14</v>
      </c>
      <c r="W13" s="655">
        <f t="shared" si="2"/>
        <v>100</v>
      </c>
      <c r="X13" s="656"/>
      <c r="Y13" s="3368"/>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512"/>
      <c r="Q14" s="523">
        <f t="shared" si="6"/>
        <v>111</v>
      </c>
      <c r="R14" s="654" t="s">
        <v>14</v>
      </c>
      <c r="S14" s="655">
        <f t="shared" si="0"/>
        <v>100</v>
      </c>
      <c r="T14" s="654" t="s">
        <v>14</v>
      </c>
      <c r="U14" s="655">
        <f t="shared" si="1"/>
        <v>100</v>
      </c>
      <c r="V14" s="654" t="s">
        <v>14</v>
      </c>
      <c r="W14" s="655">
        <f t="shared" si="2"/>
        <v>100</v>
      </c>
      <c r="X14" s="656"/>
      <c r="Y14" s="3368"/>
      <c r="Z14" s="50">
        <f t="shared" si="7"/>
        <v>111</v>
      </c>
      <c r="AA14" s="50">
        <f>D14/F14</f>
        <v>1</v>
      </c>
      <c r="AB14" s="50">
        <f>D14/H14</f>
        <v>1</v>
      </c>
      <c r="AC14" s="50">
        <f>D14/J14</f>
        <v>1</v>
      </c>
    </row>
    <row r="15" spans="1:29" ht="15">
      <c r="A15" s="372" t="s">
        <v>1687</v>
      </c>
      <c r="B15" s="58" t="s">
        <v>1254</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514" t="s">
        <v>1688</v>
      </c>
      <c r="Q15" s="1241" t="str">
        <f t="shared" si="6"/>
        <v>居住社区成熟度</v>
      </c>
      <c r="R15" s="657" t="s">
        <v>14</v>
      </c>
      <c r="S15" s="658">
        <f t="shared" si="0"/>
        <v>100</v>
      </c>
      <c r="T15" s="657" t="s">
        <v>14</v>
      </c>
      <c r="U15" s="658">
        <f t="shared" si="1"/>
        <v>100</v>
      </c>
      <c r="V15" s="657" t="s">
        <v>14</v>
      </c>
      <c r="W15" s="658">
        <f t="shared" si="2"/>
        <v>100</v>
      </c>
      <c r="X15" s="1243"/>
      <c r="Y15" s="3514" t="s">
        <v>1688</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515"/>
      <c r="Q16" s="1241"/>
      <c r="R16" s="657"/>
      <c r="S16" s="658"/>
      <c r="T16" s="657"/>
      <c r="U16" s="658"/>
      <c r="V16" s="657"/>
      <c r="W16" s="658"/>
      <c r="X16" s="1243"/>
      <c r="Y16" s="3515"/>
      <c r="Z16" s="1242"/>
      <c r="AA16" s="1242">
        <v>1</v>
      </c>
      <c r="AB16" s="1242">
        <v>1</v>
      </c>
      <c r="AC16" s="1242">
        <v>1</v>
      </c>
    </row>
    <row r="17" spans="1:29" ht="15">
      <c r="A17" s="360"/>
      <c r="B17" s="383" t="s">
        <v>1774</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515"/>
      <c r="Q17" s="1241" t="str">
        <f>B17</f>
        <v>商业繁华度</v>
      </c>
      <c r="R17" s="657" t="s">
        <v>14</v>
      </c>
      <c r="S17" s="658">
        <f>F17</f>
        <v>100</v>
      </c>
      <c r="T17" s="657" t="s">
        <v>14</v>
      </c>
      <c r="U17" s="658">
        <f>H17</f>
        <v>100</v>
      </c>
      <c r="V17" s="657" t="s">
        <v>14</v>
      </c>
      <c r="W17" s="658">
        <f>J17</f>
        <v>100</v>
      </c>
      <c r="X17" s="1243"/>
      <c r="Y17" s="3515"/>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515"/>
      <c r="Q18" s="1241"/>
      <c r="R18" s="657"/>
      <c r="S18" s="658"/>
      <c r="T18" s="657"/>
      <c r="U18" s="658"/>
      <c r="V18" s="657"/>
      <c r="W18" s="658"/>
      <c r="X18" s="1243"/>
      <c r="Y18" s="3515"/>
      <c r="Z18" s="1242"/>
      <c r="AA18" s="1242">
        <v>1</v>
      </c>
      <c r="AB18" s="1242">
        <v>1</v>
      </c>
      <c r="AC18" s="1242">
        <v>1</v>
      </c>
    </row>
    <row r="19" spans="1:29" ht="15">
      <c r="A19" s="360"/>
      <c r="B19" s="383" t="s">
        <v>1808</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515"/>
      <c r="Q19" s="1241" t="str">
        <f>B19</f>
        <v>办公集聚程度</v>
      </c>
      <c r="R19" s="657" t="s">
        <v>14</v>
      </c>
      <c r="S19" s="658">
        <f>F19</f>
        <v>100</v>
      </c>
      <c r="T19" s="657" t="s">
        <v>14</v>
      </c>
      <c r="U19" s="658">
        <f>H19</f>
        <v>100</v>
      </c>
      <c r="V19" s="657" t="s">
        <v>14</v>
      </c>
      <c r="W19" s="658">
        <f>J19</f>
        <v>100</v>
      </c>
      <c r="X19" s="1243"/>
      <c r="Y19" s="3515"/>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515"/>
      <c r="Q20" s="1241"/>
      <c r="R20" s="657"/>
      <c r="S20" s="658"/>
      <c r="T20" s="657"/>
      <c r="U20" s="658"/>
      <c r="V20" s="657"/>
      <c r="W20" s="658"/>
      <c r="X20" s="1243"/>
      <c r="Y20" s="3515"/>
      <c r="Z20" s="1242"/>
      <c r="AA20" s="1242">
        <v>1</v>
      </c>
      <c r="AB20" s="1242">
        <v>1</v>
      </c>
      <c r="AC20" s="1242">
        <v>1</v>
      </c>
    </row>
    <row r="21" spans="1:29" ht="15">
      <c r="A21" s="360"/>
      <c r="B21" s="383" t="s">
        <v>1830</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515"/>
      <c r="Q21" s="1241" t="str">
        <f>B21</f>
        <v>交通便捷度</v>
      </c>
      <c r="R21" s="657" t="s">
        <v>14</v>
      </c>
      <c r="S21" s="658">
        <f>F21</f>
        <v>100</v>
      </c>
      <c r="T21" s="657" t="s">
        <v>14</v>
      </c>
      <c r="U21" s="658">
        <f>H21</f>
        <v>100</v>
      </c>
      <c r="V21" s="657" t="s">
        <v>14</v>
      </c>
      <c r="W21" s="658">
        <f>J21</f>
        <v>100</v>
      </c>
      <c r="X21" s="1243"/>
      <c r="Y21" s="3515"/>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515"/>
      <c r="Q22" s="1241"/>
      <c r="R22" s="657"/>
      <c r="S22" s="658"/>
      <c r="T22" s="657"/>
      <c r="U22" s="658"/>
      <c r="V22" s="657"/>
      <c r="W22" s="658"/>
      <c r="X22" s="1243"/>
      <c r="Y22" s="3515"/>
      <c r="Z22" s="1242"/>
      <c r="AA22" s="1242">
        <v>1</v>
      </c>
      <c r="AB22" s="1242">
        <v>1</v>
      </c>
      <c r="AC22" s="1242">
        <v>1</v>
      </c>
    </row>
    <row r="23" spans="1:29" ht="15">
      <c r="A23" s="341"/>
      <c r="B23" s="383" t="s">
        <v>1868</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515"/>
      <c r="Q23" s="1241" t="str">
        <f t="shared" ref="Q23:Q37" si="8">B23</f>
        <v>区域土地利用方向</v>
      </c>
      <c r="R23" s="657" t="s">
        <v>14</v>
      </c>
      <c r="S23" s="658">
        <f>F23</f>
        <v>100</v>
      </c>
      <c r="T23" s="657" t="s">
        <v>14</v>
      </c>
      <c r="U23" s="658">
        <f>H23</f>
        <v>100</v>
      </c>
      <c r="V23" s="657" t="s">
        <v>14</v>
      </c>
      <c r="W23" s="658">
        <f>J23</f>
        <v>100</v>
      </c>
      <c r="X23" s="1243"/>
      <c r="Y23" s="3515"/>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515"/>
      <c r="Q24" s="1241"/>
      <c r="R24" s="657"/>
      <c r="S24" s="658"/>
      <c r="T24" s="657"/>
      <c r="U24" s="658"/>
      <c r="V24" s="657"/>
      <c r="W24" s="658"/>
      <c r="X24" s="1243"/>
      <c r="Y24" s="3515"/>
      <c r="Z24" s="1242"/>
      <c r="AA24" s="1242"/>
      <c r="AB24" s="1242"/>
      <c r="AC24" s="1242"/>
    </row>
    <row r="25" spans="1:29" ht="27">
      <c r="A25" s="341"/>
      <c r="B25" s="579" t="s">
        <v>1869</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515"/>
      <c r="Q25" s="1241" t="str">
        <f t="shared" si="8"/>
        <v>自然及人文环境状况</v>
      </c>
      <c r="R25" s="657" t="s">
        <v>14</v>
      </c>
      <c r="S25" s="658">
        <f>F25</f>
        <v>100</v>
      </c>
      <c r="T25" s="657" t="s">
        <v>14</v>
      </c>
      <c r="U25" s="658">
        <f>H25</f>
        <v>100</v>
      </c>
      <c r="V25" s="657" t="s">
        <v>14</v>
      </c>
      <c r="W25" s="658">
        <f>J25</f>
        <v>100</v>
      </c>
      <c r="X25" s="1243"/>
      <c r="Y25" s="3515"/>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515"/>
      <c r="Q26" s="1241"/>
      <c r="R26" s="657"/>
      <c r="S26" s="658"/>
      <c r="T26" s="657"/>
      <c r="U26" s="658"/>
      <c r="V26" s="657"/>
      <c r="W26" s="658"/>
      <c r="X26" s="1243"/>
      <c r="Y26" s="3515"/>
      <c r="Z26" s="1242"/>
      <c r="AA26" s="1242">
        <v>1</v>
      </c>
      <c r="AB26" s="1242">
        <v>1</v>
      </c>
      <c r="AC26" s="1242">
        <v>1</v>
      </c>
    </row>
    <row r="27" spans="1:29" s="101" customFormat="1" ht="15">
      <c r="A27" s="436"/>
      <c r="B27" s="579" t="s">
        <v>1775</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515"/>
      <c r="Q27" s="523" t="str">
        <f t="shared" si="8"/>
        <v>公共配套设施</v>
      </c>
      <c r="R27" s="654" t="s">
        <v>14</v>
      </c>
      <c r="S27" s="655">
        <f>F27</f>
        <v>100</v>
      </c>
      <c r="T27" s="654" t="s">
        <v>14</v>
      </c>
      <c r="U27" s="655">
        <f>H27</f>
        <v>100</v>
      </c>
      <c r="V27" s="654" t="s">
        <v>14</v>
      </c>
      <c r="W27" s="655">
        <f>J27</f>
        <v>100</v>
      </c>
      <c r="X27" s="656"/>
      <c r="Y27" s="3515"/>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515"/>
      <c r="Q28" s="523"/>
      <c r="R28" s="654"/>
      <c r="S28" s="655"/>
      <c r="T28" s="654"/>
      <c r="U28" s="655"/>
      <c r="V28" s="654"/>
      <c r="W28" s="655"/>
      <c r="X28" s="656"/>
      <c r="Y28" s="3515"/>
      <c r="Z28" s="50"/>
      <c r="AA28" s="1242">
        <v>1</v>
      </c>
      <c r="AB28" s="1242">
        <v>1</v>
      </c>
      <c r="AC28" s="1242">
        <v>1</v>
      </c>
    </row>
    <row r="29" spans="1:29" s="101" customFormat="1" ht="15">
      <c r="A29" s="436"/>
      <c r="B29" s="579" t="s">
        <v>1776</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515"/>
      <c r="Q29" s="523" t="str">
        <f t="shared" ref="Q29" si="9">B29</f>
        <v>基础设施水平</v>
      </c>
      <c r="R29" s="654" t="s">
        <v>14</v>
      </c>
      <c r="S29" s="655">
        <f>F29</f>
        <v>100</v>
      </c>
      <c r="T29" s="654" t="s">
        <v>14</v>
      </c>
      <c r="U29" s="655">
        <f>H29</f>
        <v>100</v>
      </c>
      <c r="V29" s="654" t="s">
        <v>14</v>
      </c>
      <c r="W29" s="655">
        <f>J29</f>
        <v>100</v>
      </c>
      <c r="X29" s="656"/>
      <c r="Y29" s="3515"/>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515"/>
      <c r="Q30" s="523"/>
      <c r="R30" s="654"/>
      <c r="S30" s="655"/>
      <c r="T30" s="654"/>
      <c r="U30" s="655"/>
      <c r="V30" s="654"/>
      <c r="W30" s="655"/>
      <c r="X30" s="656"/>
      <c r="Y30" s="3515"/>
      <c r="Z30" s="50"/>
      <c r="AA30" s="1242">
        <v>1</v>
      </c>
      <c r="AB30" s="1242">
        <v>1</v>
      </c>
      <c r="AC30" s="1242">
        <v>1</v>
      </c>
    </row>
    <row r="31" spans="1:29" ht="15">
      <c r="A31" s="360"/>
      <c r="B31" s="388" t="s">
        <v>1777</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515"/>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515"/>
      <c r="Z31" s="1242" t="str">
        <f t="shared" ref="Z31:Z45" si="13">Q31</f>
        <v>临街状况</v>
      </c>
      <c r="AA31" s="1242">
        <f t="shared" si="3"/>
        <v>1</v>
      </c>
      <c r="AB31" s="1242">
        <f t="shared" si="4"/>
        <v>1</v>
      </c>
      <c r="AC31" s="1242">
        <f t="shared" si="5"/>
        <v>1</v>
      </c>
    </row>
    <row r="32" spans="1:29" ht="27">
      <c r="A32" s="360"/>
      <c r="B32" s="579" t="s">
        <v>1812</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515"/>
      <c r="Q32" s="1241" t="str">
        <f t="shared" si="8"/>
        <v>毗邻道路的类型与等级</v>
      </c>
      <c r="R32" s="657" t="s">
        <v>14</v>
      </c>
      <c r="S32" s="658">
        <f t="shared" si="10"/>
        <v>100</v>
      </c>
      <c r="T32" s="657" t="s">
        <v>14</v>
      </c>
      <c r="U32" s="658">
        <f t="shared" si="11"/>
        <v>100</v>
      </c>
      <c r="V32" s="657" t="s">
        <v>14</v>
      </c>
      <c r="W32" s="658">
        <f t="shared" si="12"/>
        <v>100</v>
      </c>
      <c r="X32" s="1243"/>
      <c r="Y32" s="3515"/>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515"/>
      <c r="Q33" s="1241"/>
      <c r="R33" s="657"/>
      <c r="S33" s="658"/>
      <c r="T33" s="657"/>
      <c r="U33" s="658"/>
      <c r="V33" s="657"/>
      <c r="W33" s="658"/>
      <c r="X33" s="1243"/>
      <c r="Y33" s="3515"/>
      <c r="Z33" s="1242"/>
      <c r="AA33" s="1242">
        <v>1</v>
      </c>
      <c r="AB33" s="1242">
        <v>1</v>
      </c>
      <c r="AC33" s="1242">
        <v>1</v>
      </c>
    </row>
    <row r="34" spans="1:29" ht="15">
      <c r="A34" s="360"/>
      <c r="B34" s="357" t="s">
        <v>1870</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515"/>
      <c r="Q34" s="1241" t="str">
        <f t="shared" si="8"/>
        <v>土地级别</v>
      </c>
      <c r="R34" s="657" t="s">
        <v>14</v>
      </c>
      <c r="S34" s="658">
        <f t="shared" si="10"/>
        <v>100</v>
      </c>
      <c r="T34" s="657" t="s">
        <v>14</v>
      </c>
      <c r="U34" s="658">
        <f t="shared" si="11"/>
        <v>100</v>
      </c>
      <c r="V34" s="657" t="s">
        <v>14</v>
      </c>
      <c r="W34" s="658">
        <f t="shared" si="12"/>
        <v>100</v>
      </c>
      <c r="X34" s="1243"/>
      <c r="Y34" s="3515"/>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515"/>
      <c r="Q35" s="1241">
        <f t="shared" si="8"/>
        <v>111</v>
      </c>
      <c r="R35" s="657" t="s">
        <v>14</v>
      </c>
      <c r="S35" s="658">
        <f t="shared" si="10"/>
        <v>100</v>
      </c>
      <c r="T35" s="657" t="s">
        <v>14</v>
      </c>
      <c r="U35" s="658">
        <f t="shared" si="11"/>
        <v>100</v>
      </c>
      <c r="V35" s="657" t="s">
        <v>14</v>
      </c>
      <c r="W35" s="658">
        <f t="shared" si="12"/>
        <v>100</v>
      </c>
      <c r="X35" s="1243"/>
      <c r="Y35" s="3515"/>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569" t="s">
        <v>1693</v>
      </c>
      <c r="Q36" s="1241">
        <f t="shared" si="8"/>
        <v>111</v>
      </c>
      <c r="R36" s="657" t="s">
        <v>14</v>
      </c>
      <c r="S36" s="658">
        <f t="shared" si="10"/>
        <v>100</v>
      </c>
      <c r="T36" s="657" t="s">
        <v>14</v>
      </c>
      <c r="U36" s="658">
        <f t="shared" si="11"/>
        <v>100</v>
      </c>
      <c r="V36" s="657" t="s">
        <v>14</v>
      </c>
      <c r="W36" s="658">
        <f t="shared" si="12"/>
        <v>100</v>
      </c>
      <c r="X36" s="1243"/>
      <c r="Y36" s="3519" t="s">
        <v>1693</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519"/>
      <c r="Q37" s="1241">
        <f t="shared" si="8"/>
        <v>111</v>
      </c>
      <c r="R37" s="659" t="s">
        <v>14</v>
      </c>
      <c r="S37" s="660">
        <f t="shared" si="10"/>
        <v>100</v>
      </c>
      <c r="T37" s="659" t="s">
        <v>14</v>
      </c>
      <c r="U37" s="660">
        <f t="shared" si="11"/>
        <v>100</v>
      </c>
      <c r="V37" s="659" t="s">
        <v>14</v>
      </c>
      <c r="W37" s="660">
        <f t="shared" si="12"/>
        <v>100</v>
      </c>
      <c r="X37" s="661"/>
      <c r="Y37" s="3519"/>
      <c r="Z37" s="662">
        <f t="shared" si="13"/>
        <v>111</v>
      </c>
      <c r="AA37" s="1242">
        <f t="shared" si="3"/>
        <v>1</v>
      </c>
      <c r="AB37" s="1242">
        <f t="shared" si="4"/>
        <v>1</v>
      </c>
      <c r="AC37" s="1242">
        <f t="shared" si="5"/>
        <v>1</v>
      </c>
    </row>
    <row r="38" spans="1:29" ht="15">
      <c r="A38" s="402" t="s">
        <v>1691</v>
      </c>
      <c r="B38" s="388" t="s">
        <v>1871</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519"/>
      <c r="Q38" s="1241" t="str">
        <f>B38</f>
        <v>宗地面积</v>
      </c>
      <c r="R38" s="657" t="s">
        <v>14</v>
      </c>
      <c r="S38" s="658" t="e">
        <f t="shared" si="10"/>
        <v>#N/A</v>
      </c>
      <c r="T38" s="657" t="s">
        <v>14</v>
      </c>
      <c r="U38" s="658" t="e">
        <f t="shared" si="11"/>
        <v>#N/A</v>
      </c>
      <c r="V38" s="657" t="s">
        <v>14</v>
      </c>
      <c r="W38" s="658" t="e">
        <f t="shared" si="12"/>
        <v>#N/A</v>
      </c>
      <c r="X38" s="1243"/>
      <c r="Y38" s="3519"/>
      <c r="Z38" s="1242" t="str">
        <f t="shared" si="13"/>
        <v>宗地面积</v>
      </c>
      <c r="AA38" s="1242" t="e">
        <f t="shared" si="3"/>
        <v>#N/A</v>
      </c>
      <c r="AB38" s="1242" t="e">
        <f t="shared" si="4"/>
        <v>#N/A</v>
      </c>
      <c r="AC38" s="1242" t="e">
        <f t="shared" si="5"/>
        <v>#N/A</v>
      </c>
    </row>
    <row r="39" spans="1:29" ht="15">
      <c r="A39" s="402"/>
      <c r="B39" s="357" t="s">
        <v>1872</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519"/>
      <c r="Q39" s="1241" t="str">
        <f t="shared" ref="Q39:Q45" si="14">B39</f>
        <v>宗地形状</v>
      </c>
      <c r="R39" s="657" t="s">
        <v>14</v>
      </c>
      <c r="S39" s="658">
        <f t="shared" si="10"/>
        <v>100</v>
      </c>
      <c r="T39" s="657" t="s">
        <v>14</v>
      </c>
      <c r="U39" s="658">
        <f t="shared" si="11"/>
        <v>100</v>
      </c>
      <c r="V39" s="657" t="s">
        <v>14</v>
      </c>
      <c r="W39" s="658">
        <f t="shared" si="12"/>
        <v>100</v>
      </c>
      <c r="X39" s="1243"/>
      <c r="Y39" s="3519"/>
      <c r="Z39" s="1242" t="str">
        <f t="shared" si="13"/>
        <v>宗地形状</v>
      </c>
      <c r="AA39" s="1242">
        <f t="shared" si="3"/>
        <v>1</v>
      </c>
      <c r="AB39" s="1242">
        <f t="shared" si="4"/>
        <v>1</v>
      </c>
      <c r="AC39" s="1242">
        <f t="shared" si="5"/>
        <v>1</v>
      </c>
    </row>
    <row r="40" spans="1:29" ht="15">
      <c r="A40" s="402"/>
      <c r="B40" s="357" t="s">
        <v>1873</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519"/>
      <c r="Q40" s="1241" t="str">
        <f t="shared" si="14"/>
        <v>临街宽度及深度</v>
      </c>
      <c r="R40" s="657" t="s">
        <v>14</v>
      </c>
      <c r="S40" s="658">
        <f t="shared" si="10"/>
        <v>100</v>
      </c>
      <c r="T40" s="657" t="s">
        <v>14</v>
      </c>
      <c r="U40" s="658">
        <f t="shared" si="11"/>
        <v>100</v>
      </c>
      <c r="V40" s="657" t="s">
        <v>14</v>
      </c>
      <c r="W40" s="658">
        <f t="shared" si="12"/>
        <v>100</v>
      </c>
      <c r="X40" s="1243"/>
      <c r="Y40" s="3519"/>
      <c r="Z40" s="1242" t="str">
        <f t="shared" si="13"/>
        <v>临街宽度及深度</v>
      </c>
      <c r="AA40" s="1242">
        <f t="shared" si="3"/>
        <v>1</v>
      </c>
      <c r="AB40" s="1242">
        <f t="shared" si="4"/>
        <v>1</v>
      </c>
      <c r="AC40" s="1242">
        <f t="shared" si="5"/>
        <v>1</v>
      </c>
    </row>
    <row r="41" spans="1:29" s="101" customFormat="1" ht="15">
      <c r="A41" s="403"/>
      <c r="B41" s="357" t="s">
        <v>1874</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519"/>
      <c r="Q41" s="1241" t="str">
        <f t="shared" si="14"/>
        <v>宗地开发程度</v>
      </c>
      <c r="R41" s="654" t="s">
        <v>14</v>
      </c>
      <c r="S41" s="655">
        <f t="shared" si="10"/>
        <v>100</v>
      </c>
      <c r="T41" s="654" t="s">
        <v>14</v>
      </c>
      <c r="U41" s="655">
        <f t="shared" si="11"/>
        <v>100</v>
      </c>
      <c r="V41" s="654" t="s">
        <v>14</v>
      </c>
      <c r="W41" s="655">
        <f t="shared" si="12"/>
        <v>100</v>
      </c>
      <c r="X41" s="656"/>
      <c r="Y41" s="3519"/>
      <c r="Z41" s="50" t="str">
        <f t="shared" si="13"/>
        <v>宗地开发程度</v>
      </c>
      <c r="AA41" s="50">
        <f t="shared" si="3"/>
        <v>1</v>
      </c>
      <c r="AB41" s="50">
        <f t="shared" si="4"/>
        <v>1</v>
      </c>
      <c r="AC41" s="50">
        <f t="shared" si="5"/>
        <v>1</v>
      </c>
    </row>
    <row r="42" spans="1:29" ht="15">
      <c r="A42" s="402"/>
      <c r="B42" s="357" t="s">
        <v>1875</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519" t="s">
        <v>1693</v>
      </c>
      <c r="Q42" s="1241" t="str">
        <f t="shared" si="14"/>
        <v>工程地质条件</v>
      </c>
      <c r="R42" s="657" t="s">
        <v>14</v>
      </c>
      <c r="S42" s="658">
        <f t="shared" si="10"/>
        <v>100</v>
      </c>
      <c r="T42" s="657" t="s">
        <v>14</v>
      </c>
      <c r="U42" s="658">
        <f t="shared" si="11"/>
        <v>100</v>
      </c>
      <c r="V42" s="657" t="s">
        <v>14</v>
      </c>
      <c r="W42" s="658">
        <f t="shared" si="12"/>
        <v>100</v>
      </c>
      <c r="X42" s="1243"/>
      <c r="Y42" s="3519" t="s">
        <v>1693</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519"/>
      <c r="Q43" s="1241">
        <f t="shared" si="14"/>
        <v>111</v>
      </c>
      <c r="R43" s="657" t="s">
        <v>14</v>
      </c>
      <c r="S43" s="658">
        <f t="shared" si="10"/>
        <v>100</v>
      </c>
      <c r="T43" s="657" t="s">
        <v>14</v>
      </c>
      <c r="U43" s="658">
        <f t="shared" si="11"/>
        <v>100</v>
      </c>
      <c r="V43" s="657" t="s">
        <v>14</v>
      </c>
      <c r="W43" s="658">
        <f t="shared" si="12"/>
        <v>100</v>
      </c>
      <c r="X43" s="1243"/>
      <c r="Y43" s="3519"/>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519"/>
      <c r="Q44" s="1241">
        <f t="shared" si="14"/>
        <v>111</v>
      </c>
      <c r="R44" s="657" t="s">
        <v>14</v>
      </c>
      <c r="S44" s="658">
        <f t="shared" si="10"/>
        <v>100</v>
      </c>
      <c r="T44" s="657" t="s">
        <v>14</v>
      </c>
      <c r="U44" s="658">
        <f t="shared" si="11"/>
        <v>100</v>
      </c>
      <c r="V44" s="657" t="s">
        <v>14</v>
      </c>
      <c r="W44" s="658">
        <f t="shared" si="12"/>
        <v>100</v>
      </c>
      <c r="X44" s="1243"/>
      <c r="Y44" s="3519"/>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519"/>
      <c r="Q45" s="1241">
        <f t="shared" si="14"/>
        <v>111</v>
      </c>
      <c r="R45" s="659" t="s">
        <v>14</v>
      </c>
      <c r="S45" s="660">
        <f t="shared" si="10"/>
        <v>100</v>
      </c>
      <c r="T45" s="659" t="s">
        <v>14</v>
      </c>
      <c r="U45" s="660">
        <f t="shared" si="11"/>
        <v>100</v>
      </c>
      <c r="V45" s="659" t="s">
        <v>14</v>
      </c>
      <c r="W45" s="660">
        <f t="shared" si="12"/>
        <v>100</v>
      </c>
      <c r="X45" s="661"/>
      <c r="Y45" s="3519"/>
      <c r="Z45" s="662">
        <f t="shared" si="13"/>
        <v>111</v>
      </c>
      <c r="AA45" s="1242">
        <f t="shared" si="3"/>
        <v>1</v>
      </c>
      <c r="AB45" s="1242">
        <f t="shared" si="4"/>
        <v>1</v>
      </c>
      <c r="AC45" s="1242">
        <f t="shared" si="5"/>
        <v>1</v>
      </c>
    </row>
    <row r="46" spans="1:29" ht="15">
      <c r="A46" s="409" t="s">
        <v>1841</v>
      </c>
      <c r="B46" s="1807" t="s">
        <v>1876</v>
      </c>
      <c r="C46" s="595" t="s">
        <v>0</v>
      </c>
      <c r="D46" s="411"/>
      <c r="E46" s="412"/>
      <c r="F46" s="413"/>
      <c r="G46" s="414"/>
      <c r="H46" s="415"/>
      <c r="I46" s="412"/>
      <c r="J46" s="415"/>
      <c r="K46" s="664"/>
      <c r="L46" s="2469"/>
      <c r="M46" s="2462"/>
      <c r="N46" s="2462"/>
      <c r="O46" s="2462"/>
      <c r="P46" s="3512" t="str">
        <f>A46</f>
        <v>成交单价</v>
      </c>
      <c r="Q46" s="3512"/>
      <c r="R46" s="3513">
        <f>E46</f>
        <v>0</v>
      </c>
      <c r="S46" s="3513"/>
      <c r="T46" s="3513">
        <f>G46</f>
        <v>0</v>
      </c>
      <c r="U46" s="3513"/>
      <c r="V46" s="3513">
        <f>I46</f>
        <v>0</v>
      </c>
      <c r="W46" s="3513"/>
      <c r="X46" s="378"/>
      <c r="Y46" s="663"/>
      <c r="Z46" s="378"/>
      <c r="AA46" s="378"/>
      <c r="AB46" s="378"/>
      <c r="AC46" s="378"/>
    </row>
    <row r="47" spans="1:29" ht="15.75" thickBot="1">
      <c r="A47" s="416" t="s">
        <v>1790</v>
      </c>
      <c r="B47" s="596"/>
      <c r="C47" s="419" t="e">
        <f>R48</f>
        <v>#DIV/0!</v>
      </c>
      <c r="D47" s="2118" t="s">
        <v>2133</v>
      </c>
      <c r="E47" s="419" t="e">
        <f>R47</f>
        <v>#DIV/0!</v>
      </c>
      <c r="F47" s="2119"/>
      <c r="G47" s="418" t="e">
        <f>T47</f>
        <v>#DIV/0!</v>
      </c>
      <c r="H47" s="2119"/>
      <c r="I47" s="419" t="e">
        <f>V47</f>
        <v>#DIV/0!</v>
      </c>
      <c r="J47" s="2119"/>
      <c r="K47" s="2121">
        <f>F47+H47+J47</f>
        <v>0</v>
      </c>
      <c r="L47" s="2469"/>
      <c r="M47" s="2462"/>
      <c r="N47" s="2462"/>
      <c r="O47" s="2462"/>
      <c r="P47" s="3512" t="str">
        <f>A47</f>
        <v>比较价值（元/平方米）</v>
      </c>
      <c r="Q47" s="3512"/>
      <c r="R47" s="3571" t="e">
        <f>ROUND(PRODUCT(R46,AA7:AA45),0)</f>
        <v>#DIV/0!</v>
      </c>
      <c r="S47" s="3571"/>
      <c r="T47" s="3571" t="e">
        <f>ROUND(PRODUCT(T46,AB7:AB45),0)</f>
        <v>#DIV/0!</v>
      </c>
      <c r="U47" s="3571"/>
      <c r="V47" s="3571" t="e">
        <f>ROUND(PRODUCT(V46,AC7:AC45),0)</f>
        <v>#DIV/0!</v>
      </c>
      <c r="W47" s="3571"/>
      <c r="X47" s="378"/>
      <c r="Y47" s="378"/>
      <c r="Z47" s="378"/>
      <c r="AA47" s="378"/>
      <c r="AB47" s="378"/>
      <c r="AC47" s="378"/>
    </row>
    <row r="48" spans="1:29" ht="15.75" thickBot="1">
      <c r="A48" s="420" t="s">
        <v>1877</v>
      </c>
      <c r="B48" s="421"/>
      <c r="C48" s="422" t="e">
        <f>R48</f>
        <v>#DIV/0!</v>
      </c>
      <c r="D48" s="422"/>
      <c r="E48" s="422"/>
      <c r="F48" s="422"/>
      <c r="G48" s="422"/>
      <c r="H48" s="422"/>
      <c r="I48" s="422"/>
      <c r="J48" s="422"/>
      <c r="K48" s="665"/>
      <c r="L48" s="2469"/>
      <c r="M48" s="2462"/>
      <c r="N48" s="2462"/>
      <c r="O48" s="2462"/>
      <c r="P48" s="3509" t="str">
        <f>A48</f>
        <v>估价对象XX用房的比较价值（楼面单价，元/平方米）</v>
      </c>
      <c r="Q48" s="3510"/>
      <c r="R48" s="3572" t="e">
        <f>ROUND(IF(D47="简单平均",AVERAGE(R47:W47),R47*F47+T47*H47+V47*J47),0)</f>
        <v>#DIV/0!</v>
      </c>
      <c r="S48" s="3572"/>
      <c r="T48" s="3572"/>
      <c r="U48" s="3572"/>
      <c r="V48" s="3572"/>
      <c r="W48" s="3572"/>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1792</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1793</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1794</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1878</v>
      </c>
      <c r="B55" s="598" t="s">
        <v>1879</v>
      </c>
      <c r="C55" s="1808" t="s">
        <v>1880</v>
      </c>
      <c r="D55" s="1809" t="s">
        <v>1881</v>
      </c>
      <c r="E55" s="599" t="s">
        <v>1882</v>
      </c>
      <c r="F55" s="817" t="s">
        <v>1883</v>
      </c>
      <c r="G55" s="3527" t="s">
        <v>1884</v>
      </c>
      <c r="H55" s="3573"/>
      <c r="I55" s="121" t="s">
        <v>1885</v>
      </c>
      <c r="J55" s="1810">
        <f>项目基本情况!F35</f>
        <v>0</v>
      </c>
      <c r="K55" s="1811" t="s">
        <v>1886</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1887</v>
      </c>
      <c r="B56" s="602" t="e">
        <f>C48</f>
        <v>#DIV/0!</v>
      </c>
      <c r="C56" s="603">
        <v>1</v>
      </c>
      <c r="D56" s="870">
        <v>1</v>
      </c>
      <c r="E56" s="603">
        <f>'数据-汇总表'!E8+'数据-汇总表'!E9</f>
        <v>45214.01</v>
      </c>
      <c r="F56" s="813" t="e">
        <f t="shared" ref="F56:F64" si="15">ROUND(B56*E56/10000,0)</f>
        <v>#DIV/0!</v>
      </c>
      <c r="G56" s="3523"/>
      <c r="H56" s="3512"/>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1888</v>
      </c>
      <c r="B57" s="204" t="e">
        <f>ROUND($C$48*C57*D57,0)</f>
        <v>#DIV/0!</v>
      </c>
      <c r="C57" s="157">
        <f t="shared" ref="C57:C64" si="16">IF($C$55="北京市系数",I57,J57)</f>
        <v>0.6</v>
      </c>
      <c r="D57" s="871">
        <v>0.25</v>
      </c>
      <c r="E57" s="607"/>
      <c r="F57" s="813" t="e">
        <f t="shared" si="15"/>
        <v>#DIV/0!</v>
      </c>
      <c r="G57" s="2723" t="s">
        <v>1889</v>
      </c>
      <c r="H57" s="814" t="str">
        <f>项目基本情况!B37</f>
        <v>六级</v>
      </c>
      <c r="I57" s="818">
        <f>SUMIF(修正!A59:A70,H57,修正!B59:B70)</f>
        <v>0.6</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1890</v>
      </c>
      <c r="B58" s="204" t="e">
        <f t="shared" ref="B58:B64" si="17">ROUND($C$48*C58*D58,0)</f>
        <v>#DIV/0!</v>
      </c>
      <c r="C58" s="157">
        <f t="shared" si="16"/>
        <v>0.3</v>
      </c>
      <c r="D58" s="871">
        <v>0.25</v>
      </c>
      <c r="E58" s="607"/>
      <c r="F58" s="813" t="e">
        <f t="shared" si="15"/>
        <v>#DIV/0!</v>
      </c>
      <c r="G58" s="2724"/>
      <c r="H58" s="814" t="str">
        <f>项目基本情况!B37</f>
        <v>六级</v>
      </c>
      <c r="I58" s="818">
        <f>SUMIF(修正!A59:A70,H58,修正!C59:C70)</f>
        <v>0.3</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1891</v>
      </c>
      <c r="B59" s="204" t="e">
        <f t="shared" si="17"/>
        <v>#DIV/0!</v>
      </c>
      <c r="C59" s="157">
        <f t="shared" si="16"/>
        <v>0.25</v>
      </c>
      <c r="D59" s="871">
        <v>0.25</v>
      </c>
      <c r="E59" s="607"/>
      <c r="F59" s="813" t="e">
        <f t="shared" si="15"/>
        <v>#DIV/0!</v>
      </c>
      <c r="G59" s="2724"/>
      <c r="H59" s="814" t="str">
        <f>项目基本情况!B37</f>
        <v>六级</v>
      </c>
      <c r="I59" s="818">
        <f>SUMIF(修正!A59:A70,H59,修正!D59:D70)</f>
        <v>0.25</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1892</v>
      </c>
      <c r="B60" s="204" t="e">
        <f t="shared" si="17"/>
        <v>#DIV/0!</v>
      </c>
      <c r="C60" s="157">
        <f t="shared" si="16"/>
        <v>0.25</v>
      </c>
      <c r="D60" s="871">
        <v>0.25</v>
      </c>
      <c r="E60" s="203">
        <f>'数据-汇总表'!E11</f>
        <v>0</v>
      </c>
      <c r="F60" s="813" t="e">
        <f t="shared" si="15"/>
        <v>#DIV/0!</v>
      </c>
      <c r="G60" s="1812" t="s">
        <v>1893</v>
      </c>
      <c r="H60" s="814" t="str">
        <f>项目基本情况!C37</f>
        <v>六级</v>
      </c>
      <c r="I60" s="818">
        <f>SUMIF(修正!A59:A70,H60,修正!E59:E70)</f>
        <v>0.25</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1894</v>
      </c>
      <c r="B61" s="204" t="e">
        <f t="shared" si="17"/>
        <v>#DIV/0!</v>
      </c>
      <c r="C61" s="157">
        <f t="shared" si="16"/>
        <v>0.25</v>
      </c>
      <c r="D61" s="871">
        <v>0.25</v>
      </c>
      <c r="E61" s="203">
        <f>'数据-汇总表'!E12</f>
        <v>0</v>
      </c>
      <c r="F61" s="813" t="e">
        <f t="shared" si="15"/>
        <v>#DIV/0!</v>
      </c>
      <c r="G61" s="819" t="s">
        <v>1895</v>
      </c>
      <c r="H61" s="814" t="str">
        <f>IF(G61="商业",项目基本情况!B37,IF(G61="办公",项目基本情况!C37,IF(G61="住宅",项目基本情况!D37,项目基本情况!E37)))</f>
        <v>六级</v>
      </c>
      <c r="I61" s="818">
        <f>SUMIF(修正!A59:A70,H61,修正!F59:F70)</f>
        <v>0.25</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1896</v>
      </c>
      <c r="B62" s="204" t="e">
        <f t="shared" si="17"/>
        <v>#DIV/0!</v>
      </c>
      <c r="C62" s="157">
        <f t="shared" si="16"/>
        <v>0</v>
      </c>
      <c r="D62" s="871">
        <v>0.25</v>
      </c>
      <c r="E62" s="203">
        <f>'数据-汇总表'!E13</f>
        <v>0</v>
      </c>
      <c r="F62" s="813" t="e">
        <f t="shared" si="15"/>
        <v>#DIV/0!</v>
      </c>
      <c r="G62" s="819" t="s">
        <v>1897</v>
      </c>
      <c r="H62" s="814">
        <f>IF(G62="商业",项目基本情况!B37,IF(G62="办公",项目基本情况!C37,IF(G62="住宅",项目基本情况!D37,项目基本情况!E37)))</f>
        <v>0</v>
      </c>
      <c r="I62" s="818">
        <f>SUMIF(修正!A59:A70,H62,修正!G59:G70)</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1898</v>
      </c>
      <c r="B63" s="204" t="e">
        <f t="shared" si="17"/>
        <v>#DIV/0!</v>
      </c>
      <c r="C63" s="157">
        <f t="shared" si="16"/>
        <v>0.15</v>
      </c>
      <c r="D63" s="871">
        <v>0.25</v>
      </c>
      <c r="E63" s="203">
        <f>'数据-汇总表'!E14</f>
        <v>0</v>
      </c>
      <c r="F63" s="813" t="e">
        <f t="shared" si="15"/>
        <v>#DIV/0!</v>
      </c>
      <c r="G63" s="1812" t="s">
        <v>1889</v>
      </c>
      <c r="H63" s="814" t="str">
        <f>项目基本情况!B37</f>
        <v>六级</v>
      </c>
      <c r="I63" s="818">
        <f>SUMIF(修正!A59:A70,H63,修正!G59:G70)</f>
        <v>0.15</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1899</v>
      </c>
      <c r="B64" s="204" t="e">
        <f t="shared" si="17"/>
        <v>#DIV/0!</v>
      </c>
      <c r="C64" s="157">
        <f t="shared" si="16"/>
        <v>0.15</v>
      </c>
      <c r="D64" s="871">
        <v>0.25</v>
      </c>
      <c r="E64" s="203">
        <f>'数据-汇总表'!E15</f>
        <v>0</v>
      </c>
      <c r="F64" s="813" t="e">
        <f t="shared" si="15"/>
        <v>#DIV/0!</v>
      </c>
      <c r="G64" s="1813" t="s">
        <v>1893</v>
      </c>
      <c r="H64" s="824" t="str">
        <f>项目基本情况!C37</f>
        <v>六级</v>
      </c>
      <c r="I64" s="820">
        <f>SUMIF(修正!A59:A70,H64,修正!G59:G70)</f>
        <v>0.15</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1900</v>
      </c>
      <c r="B65" s="609" t="s">
        <v>22</v>
      </c>
      <c r="C65" s="609" t="s">
        <v>23</v>
      </c>
      <c r="D65" s="609" t="s">
        <v>392</v>
      </c>
      <c r="E65" s="609">
        <f>IF(B46="楼面地价",SUM(E56:E64),'数据-汇总表'!D3)</f>
        <v>45214.01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2025-10-1</v>
      </c>
      <c r="D67" s="646">
        <f>EDATE(C67,-3)</f>
        <v>45839</v>
      </c>
      <c r="E67" s="646">
        <f>EDATE(D67,-3)</f>
        <v>45748</v>
      </c>
      <c r="F67" s="646">
        <f t="shared" ref="F67:O67" si="18">EDATE(E67,-3)</f>
        <v>45658</v>
      </c>
      <c r="G67" s="646">
        <f t="shared" si="18"/>
        <v>45566</v>
      </c>
      <c r="H67" s="646">
        <f t="shared" si="18"/>
        <v>45474</v>
      </c>
      <c r="I67" s="646">
        <f t="shared" si="18"/>
        <v>45383</v>
      </c>
      <c r="J67" s="646">
        <f t="shared" si="18"/>
        <v>45292</v>
      </c>
      <c r="K67" s="646">
        <f t="shared" si="18"/>
        <v>45200</v>
      </c>
      <c r="L67" s="646">
        <f t="shared" si="18"/>
        <v>45108</v>
      </c>
      <c r="M67" s="646">
        <f t="shared" si="18"/>
        <v>45017</v>
      </c>
      <c r="N67" s="646">
        <f t="shared" si="18"/>
        <v>44927</v>
      </c>
      <c r="O67" s="646">
        <f t="shared" si="18"/>
        <v>44835</v>
      </c>
      <c r="P67" s="2462"/>
      <c r="Q67" s="2462"/>
      <c r="R67" s="2462"/>
      <c r="S67" s="2462"/>
      <c r="T67" s="2462"/>
      <c r="U67" s="2462"/>
      <c r="V67" s="2462"/>
      <c r="W67" s="2462"/>
      <c r="X67" s="2462"/>
      <c r="Y67" s="2462"/>
      <c r="Z67" s="2462"/>
      <c r="AA67" s="2462"/>
      <c r="AB67" s="2462"/>
      <c r="AC67" s="2462"/>
    </row>
    <row r="68" spans="1:29" ht="21.75" thickBot="1">
      <c r="A68" s="648" t="s">
        <v>1795</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1901</v>
      </c>
      <c r="B69" s="1024"/>
      <c r="C69" s="1079" t="str">
        <f>YEAR(C67)&amp;"-"&amp;ROUNDUP(MONTH(C67)/3,0)</f>
        <v>2025-4</v>
      </c>
      <c r="D69" s="1079" t="str">
        <f>YEAR(D67)&amp;"-"&amp;ROUNDUP(MONTH(D67)/3,0)</f>
        <v>2025-3</v>
      </c>
      <c r="E69" s="1079" t="str">
        <f t="shared" ref="E69:O69" si="19">YEAR(E67)&amp;"-"&amp;ROUNDUP(MONTH(E67)/3,0)</f>
        <v>2025-2</v>
      </c>
      <c r="F69" s="1079" t="str">
        <f t="shared" si="19"/>
        <v>2025-1</v>
      </c>
      <c r="G69" s="1079" t="str">
        <f t="shared" si="19"/>
        <v>2024-4</v>
      </c>
      <c r="H69" s="1079" t="str">
        <f t="shared" si="19"/>
        <v>2024-3</v>
      </c>
      <c r="I69" s="1079" t="str">
        <f t="shared" si="19"/>
        <v>2024-2</v>
      </c>
      <c r="J69" s="1079" t="str">
        <f t="shared" si="19"/>
        <v>2024-1</v>
      </c>
      <c r="K69" s="1079" t="str">
        <f t="shared" si="19"/>
        <v>2023-4</v>
      </c>
      <c r="L69" s="1079" t="str">
        <f t="shared" si="19"/>
        <v>2023-3</v>
      </c>
      <c r="M69" s="1079" t="str">
        <f t="shared" si="19"/>
        <v>2023-2</v>
      </c>
      <c r="N69" s="1079" t="str">
        <f t="shared" si="19"/>
        <v>2023-1</v>
      </c>
      <c r="O69" s="1079" t="str">
        <f t="shared" si="19"/>
        <v>2022-4</v>
      </c>
      <c r="P69" s="2485"/>
      <c r="Q69" s="2485"/>
      <c r="R69" s="2485"/>
      <c r="S69" s="2485"/>
      <c r="T69" s="2485"/>
      <c r="U69" s="2485"/>
      <c r="V69" s="2485"/>
      <c r="W69" s="2485"/>
      <c r="X69" s="2485"/>
      <c r="Y69" s="2485"/>
      <c r="Z69" s="2485"/>
      <c r="AA69" s="2485"/>
      <c r="AB69" s="2485"/>
      <c r="AC69" s="2485"/>
    </row>
    <row r="70" spans="1:29" s="101" customFormat="1" ht="30" customHeight="1">
      <c r="A70" s="1814" t="s">
        <v>1902</v>
      </c>
      <c r="B70" s="274" t="str">
        <f>"北京市平均增长率"&amp;TEXT(SUMIF('基准地价修正-商业'!N25:N29,A70,'基准地价修正-商业'!P25:P29),"0.00%")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1713</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1678</v>
      </c>
      <c r="B72" s="437"/>
      <c r="C72" s="449" t="s">
        <v>1773</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1716</v>
      </c>
      <c r="B74" s="453" t="s">
        <v>1682</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1685</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1686</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1687</v>
      </c>
      <c r="B87" s="453" t="s">
        <v>1717</v>
      </c>
      <c r="C87" s="497" t="s">
        <v>1718</v>
      </c>
      <c r="D87" s="497" t="s">
        <v>1719</v>
      </c>
      <c r="E87" s="497" t="s">
        <v>1720</v>
      </c>
      <c r="F87" s="497" t="s">
        <v>1721</v>
      </c>
      <c r="G87" s="497" t="s">
        <v>1722</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1903</v>
      </c>
      <c r="C89" s="502" t="s">
        <v>1718</v>
      </c>
      <c r="D89" s="502" t="s">
        <v>1719</v>
      </c>
      <c r="E89" s="502" t="s">
        <v>1720</v>
      </c>
      <c r="F89" s="502" t="s">
        <v>1721</v>
      </c>
      <c r="G89" s="502" t="s">
        <v>1722</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1818</v>
      </c>
      <c r="C91" s="502" t="s">
        <v>1718</v>
      </c>
      <c r="D91" s="502" t="s">
        <v>1719</v>
      </c>
      <c r="E91" s="502" t="s">
        <v>1720</v>
      </c>
      <c r="F91" s="502" t="s">
        <v>1721</v>
      </c>
      <c r="G91" s="502" t="s">
        <v>1722</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1723</v>
      </c>
      <c r="C93" s="502" t="s">
        <v>1718</v>
      </c>
      <c r="D93" s="502" t="s">
        <v>1719</v>
      </c>
      <c r="E93" s="502" t="s">
        <v>1720</v>
      </c>
      <c r="F93" s="502" t="s">
        <v>1721</v>
      </c>
      <c r="G93" s="502" t="s">
        <v>1722</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1904</v>
      </c>
      <c r="C95" s="502" t="s">
        <v>1718</v>
      </c>
      <c r="D95" s="502" t="s">
        <v>1719</v>
      </c>
      <c r="E95" s="502" t="s">
        <v>1720</v>
      </c>
      <c r="F95" s="502" t="s">
        <v>1721</v>
      </c>
      <c r="G95" s="502" t="s">
        <v>1722</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1905</v>
      </c>
      <c r="C97" s="497" t="s">
        <v>1718</v>
      </c>
      <c r="D97" s="497" t="s">
        <v>1719</v>
      </c>
      <c r="E97" s="497" t="s">
        <v>1720</v>
      </c>
      <c r="F97" s="497" t="s">
        <v>1721</v>
      </c>
      <c r="G97" s="497" t="s">
        <v>1722</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1775</v>
      </c>
      <c r="C99" s="497" t="s">
        <v>1718</v>
      </c>
      <c r="D99" s="497" t="s">
        <v>1719</v>
      </c>
      <c r="E99" s="497" t="s">
        <v>1720</v>
      </c>
      <c r="F99" s="497" t="s">
        <v>1721</v>
      </c>
      <c r="G99" s="497" t="s">
        <v>1722</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1776</v>
      </c>
      <c r="C101" s="574" t="s">
        <v>1796</v>
      </c>
      <c r="D101" s="574" t="s">
        <v>1797</v>
      </c>
      <c r="E101" s="574" t="s">
        <v>1798</v>
      </c>
      <c r="F101" s="574" t="s">
        <v>1799</v>
      </c>
      <c r="G101" s="574" t="s">
        <v>1800</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1906</v>
      </c>
      <c r="D103" s="463" t="s">
        <v>1907</v>
      </c>
      <c r="E103" s="463" t="s">
        <v>1908</v>
      </c>
      <c r="F103" s="463" t="s">
        <v>1909</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1812</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1870</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1691</v>
      </c>
      <c r="B115" s="453" t="s">
        <v>1910</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1911</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1912</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1913</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1914</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1915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527" t="s">
        <v>1767</v>
      </c>
      <c r="D4" s="3528"/>
      <c r="E4" s="3529" t="s">
        <v>1768</v>
      </c>
      <c r="F4" s="3530"/>
      <c r="G4" s="3527" t="s">
        <v>1769</v>
      </c>
      <c r="H4" s="3528"/>
      <c r="I4" s="3527" t="s">
        <v>1770</v>
      </c>
      <c r="J4" s="3528"/>
      <c r="K4" s="530" t="s">
        <v>1771</v>
      </c>
      <c r="L4" s="2461"/>
      <c r="M4" s="2462"/>
      <c r="N4" s="2462"/>
      <c r="O4" s="2462"/>
      <c r="P4" s="3531" t="s">
        <v>1772</v>
      </c>
      <c r="Q4" s="3532"/>
      <c r="R4" s="3537" t="s">
        <v>1768</v>
      </c>
      <c r="S4" s="3538"/>
      <c r="T4" s="3537" t="s">
        <v>1769</v>
      </c>
      <c r="U4" s="3538"/>
      <c r="V4" s="3513" t="s">
        <v>1770</v>
      </c>
      <c r="W4" s="3513"/>
      <c r="X4" s="1243"/>
      <c r="Y4" s="3537" t="s">
        <v>1772</v>
      </c>
      <c r="Z4" s="3538"/>
      <c r="AA4" s="3524" t="s">
        <v>1768</v>
      </c>
      <c r="AB4" s="3525" t="s">
        <v>1769</v>
      </c>
      <c r="AC4" s="3524" t="s">
        <v>1770</v>
      </c>
    </row>
    <row r="5" spans="1:29" ht="15">
      <c r="A5" s="341"/>
      <c r="B5" s="342"/>
      <c r="C5" s="3545" t="s">
        <v>1670</v>
      </c>
      <c r="D5" s="3546"/>
      <c r="E5" s="3552" t="s">
        <v>1671</v>
      </c>
      <c r="F5" s="3553"/>
      <c r="G5" s="3545" t="s">
        <v>1672</v>
      </c>
      <c r="H5" s="3546"/>
      <c r="I5" s="3545" t="s">
        <v>1673</v>
      </c>
      <c r="J5" s="3546"/>
      <c r="K5" s="530"/>
      <c r="L5" s="2461"/>
      <c r="M5" s="2462"/>
      <c r="N5" s="2462"/>
      <c r="O5" s="2462"/>
      <c r="P5" s="3533"/>
      <c r="Q5" s="3534"/>
      <c r="R5" s="3539"/>
      <c r="S5" s="3540"/>
      <c r="T5" s="3539"/>
      <c r="U5" s="3540"/>
      <c r="V5" s="3513"/>
      <c r="W5" s="3513"/>
      <c r="X5" s="1243"/>
      <c r="Y5" s="3539"/>
      <c r="Z5" s="3540"/>
      <c r="AA5" s="3525"/>
      <c r="AB5" s="3525"/>
      <c r="AC5" s="3525"/>
    </row>
    <row r="6" spans="1:29" ht="15.75" thickBot="1">
      <c r="A6" s="343"/>
      <c r="B6" s="344"/>
      <c r="C6" s="3574" t="s">
        <v>1916</v>
      </c>
      <c r="D6" s="3575"/>
      <c r="E6" s="3576" t="s">
        <v>1916</v>
      </c>
      <c r="F6" s="3577"/>
      <c r="G6" s="3574" t="s">
        <v>1916</v>
      </c>
      <c r="H6" s="3575"/>
      <c r="I6" s="3574" t="s">
        <v>1916</v>
      </c>
      <c r="J6" s="3575"/>
      <c r="K6" s="530" t="s">
        <v>1675</v>
      </c>
      <c r="L6" s="2461"/>
      <c r="M6" s="2462"/>
      <c r="N6" s="2462"/>
      <c r="O6" s="2462"/>
      <c r="P6" s="3535"/>
      <c r="Q6" s="3536"/>
      <c r="R6" s="3539"/>
      <c r="S6" s="3540"/>
      <c r="T6" s="3541"/>
      <c r="U6" s="3542"/>
      <c r="V6" s="3513"/>
      <c r="W6" s="3513"/>
      <c r="X6" s="1243"/>
      <c r="Y6" s="3541"/>
      <c r="Z6" s="3542"/>
      <c r="AA6" s="3526"/>
      <c r="AB6" s="3526"/>
      <c r="AC6" s="3526"/>
    </row>
    <row r="7" spans="1:29" s="101" customFormat="1" ht="15.75" thickBot="1">
      <c r="A7" s="345" t="s">
        <v>1676</v>
      </c>
      <c r="B7" s="346"/>
      <c r="C7" s="347">
        <f>'数据-取费表'!B2</f>
        <v>45952</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547" t="s">
        <v>1677</v>
      </c>
      <c r="Q7" s="3549"/>
      <c r="R7" s="654" t="s">
        <v>14</v>
      </c>
      <c r="S7" s="655">
        <f t="shared" ref="S7:S15" si="0">F7</f>
        <v>0</v>
      </c>
      <c r="T7" s="654" t="s">
        <v>14</v>
      </c>
      <c r="U7" s="655">
        <f t="shared" ref="U7:U15" si="1">H7</f>
        <v>0</v>
      </c>
      <c r="V7" s="654" t="s">
        <v>14</v>
      </c>
      <c r="W7" s="655">
        <f t="shared" ref="W7:W15" si="2">J7</f>
        <v>0</v>
      </c>
      <c r="X7" s="656"/>
      <c r="Y7" s="3547" t="s">
        <v>1677</v>
      </c>
      <c r="Z7" s="3548"/>
      <c r="AA7" s="50" t="e">
        <f>D7/F7</f>
        <v>#DIV/0!</v>
      </c>
      <c r="AB7" s="50" t="e">
        <f>D7/H7</f>
        <v>#DIV/0!</v>
      </c>
      <c r="AC7" s="50" t="e">
        <f>D7/J7</f>
        <v>#DIV/0!</v>
      </c>
    </row>
    <row r="8" spans="1:29" s="101" customFormat="1" ht="15.75" thickBot="1">
      <c r="A8" s="345" t="s">
        <v>1678</v>
      </c>
      <c r="B8" s="346"/>
      <c r="C8" s="351" t="s">
        <v>1679</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547" t="s">
        <v>1680</v>
      </c>
      <c r="Q8" s="3548"/>
      <c r="R8" s="654" t="s">
        <v>14</v>
      </c>
      <c r="S8" s="655">
        <f t="shared" si="0"/>
        <v>0</v>
      </c>
      <c r="T8" s="654" t="s">
        <v>14</v>
      </c>
      <c r="U8" s="655">
        <f t="shared" si="1"/>
        <v>0</v>
      </c>
      <c r="V8" s="654" t="s">
        <v>14</v>
      </c>
      <c r="W8" s="655">
        <f t="shared" si="2"/>
        <v>0</v>
      </c>
      <c r="X8" s="656"/>
      <c r="Y8" s="3547" t="s">
        <v>1680</v>
      </c>
      <c r="Z8" s="3548"/>
      <c r="AA8" s="50" t="e">
        <f t="shared" ref="AA8:AA40" si="3">D8/F8</f>
        <v>#DIV/0!</v>
      </c>
      <c r="AB8" s="50" t="e">
        <f t="shared" ref="AB8:AB40" si="4">D8/H8</f>
        <v>#DIV/0!</v>
      </c>
      <c r="AC8" s="50" t="e">
        <f t="shared" ref="AC8:AC40" si="5">D8/J8</f>
        <v>#DIV/0!</v>
      </c>
    </row>
    <row r="9" spans="1:29" s="101" customFormat="1">
      <c r="A9" s="352" t="s">
        <v>1681</v>
      </c>
      <c r="B9" s="60" t="s">
        <v>1682</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512" t="s">
        <v>1683</v>
      </c>
      <c r="Q9" s="523" t="str">
        <f t="shared" ref="Q9:Q15" si="6">B9</f>
        <v>用途</v>
      </c>
      <c r="R9" s="654" t="s">
        <v>14</v>
      </c>
      <c r="S9" s="655">
        <f t="shared" si="0"/>
        <v>100</v>
      </c>
      <c r="T9" s="654" t="s">
        <v>14</v>
      </c>
      <c r="U9" s="655">
        <f t="shared" si="1"/>
        <v>100</v>
      </c>
      <c r="V9" s="654" t="s">
        <v>14</v>
      </c>
      <c r="W9" s="655">
        <f t="shared" si="2"/>
        <v>100</v>
      </c>
      <c r="X9" s="656"/>
      <c r="Y9" s="336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64"/>
      <c r="F10" s="113">
        <f>ROUND(100/'数据-取费表'!G16,0)</f>
        <v>104</v>
      </c>
      <c r="G10" s="364"/>
      <c r="H10" s="113">
        <f>ROUND(100/'数据-取费表'!G16,0)</f>
        <v>104</v>
      </c>
      <c r="I10" s="364"/>
      <c r="J10" s="113">
        <f>ROUND(100/'数据-取费表'!G16,0)</f>
        <v>104</v>
      </c>
      <c r="K10" s="585"/>
      <c r="L10" s="2464"/>
      <c r="M10" s="2465"/>
      <c r="N10" s="2465"/>
      <c r="O10" s="2516"/>
      <c r="P10" s="3512"/>
      <c r="Q10" s="523" t="str">
        <f t="shared" si="6"/>
        <v>土地使用年限（年）</v>
      </c>
      <c r="R10" s="654" t="s">
        <v>14</v>
      </c>
      <c r="S10" s="655">
        <f t="shared" si="0"/>
        <v>104</v>
      </c>
      <c r="T10" s="654" t="s">
        <v>14</v>
      </c>
      <c r="U10" s="655">
        <f t="shared" si="1"/>
        <v>104</v>
      </c>
      <c r="V10" s="654" t="s">
        <v>14</v>
      </c>
      <c r="W10" s="655">
        <f t="shared" si="2"/>
        <v>104</v>
      </c>
      <c r="X10" s="656"/>
      <c r="Y10" s="3368"/>
      <c r="Z10" s="50" t="str">
        <f t="shared" si="7"/>
        <v>土地使用年限（年）</v>
      </c>
      <c r="AA10" s="50">
        <f t="shared" si="3"/>
        <v>0.96153846153846156</v>
      </c>
      <c r="AB10" s="50">
        <f t="shared" si="4"/>
        <v>0.96153846153846156</v>
      </c>
      <c r="AC10" s="50">
        <f t="shared" si="5"/>
        <v>0.96153846153846156</v>
      </c>
    </row>
    <row r="11" spans="1:29" ht="15">
      <c r="A11" s="360"/>
      <c r="B11" s="357" t="s">
        <v>1686</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512"/>
      <c r="Q11" s="523" t="str">
        <f t="shared" si="6"/>
        <v>容积率</v>
      </c>
      <c r="R11" s="654" t="s">
        <v>14</v>
      </c>
      <c r="S11" s="655" t="e">
        <f t="shared" si="0"/>
        <v>#N/A</v>
      </c>
      <c r="T11" s="654" t="s">
        <v>14</v>
      </c>
      <c r="U11" s="655" t="e">
        <f t="shared" si="1"/>
        <v>#N/A</v>
      </c>
      <c r="V11" s="654" t="s">
        <v>14</v>
      </c>
      <c r="W11" s="655" t="e">
        <f t="shared" si="2"/>
        <v>#N/A</v>
      </c>
      <c r="X11" s="656"/>
      <c r="Y11" s="336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512"/>
      <c r="Q12" s="523">
        <f t="shared" si="6"/>
        <v>111</v>
      </c>
      <c r="R12" s="654" t="s">
        <v>14</v>
      </c>
      <c r="S12" s="655">
        <f t="shared" si="0"/>
        <v>100</v>
      </c>
      <c r="T12" s="654" t="s">
        <v>14</v>
      </c>
      <c r="U12" s="655">
        <f t="shared" si="1"/>
        <v>100</v>
      </c>
      <c r="V12" s="654" t="s">
        <v>14</v>
      </c>
      <c r="W12" s="655">
        <f t="shared" si="2"/>
        <v>100</v>
      </c>
      <c r="X12" s="656"/>
      <c r="Y12" s="3368"/>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512"/>
      <c r="Q13" s="523">
        <f t="shared" si="6"/>
        <v>111</v>
      </c>
      <c r="R13" s="654" t="s">
        <v>14</v>
      </c>
      <c r="S13" s="655">
        <f t="shared" si="0"/>
        <v>100</v>
      </c>
      <c r="T13" s="654" t="s">
        <v>14</v>
      </c>
      <c r="U13" s="655">
        <f t="shared" si="1"/>
        <v>100</v>
      </c>
      <c r="V13" s="654" t="s">
        <v>14</v>
      </c>
      <c r="W13" s="655">
        <f t="shared" si="2"/>
        <v>100</v>
      </c>
      <c r="X13" s="656"/>
      <c r="Y13" s="3368"/>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512"/>
      <c r="Q14" s="523">
        <f t="shared" si="6"/>
        <v>111</v>
      </c>
      <c r="R14" s="654" t="s">
        <v>14</v>
      </c>
      <c r="S14" s="655">
        <f t="shared" si="0"/>
        <v>100</v>
      </c>
      <c r="T14" s="654" t="s">
        <v>14</v>
      </c>
      <c r="U14" s="655">
        <f t="shared" si="1"/>
        <v>100</v>
      </c>
      <c r="V14" s="654" t="s">
        <v>14</v>
      </c>
      <c r="W14" s="655">
        <f t="shared" si="2"/>
        <v>100</v>
      </c>
      <c r="X14" s="656"/>
      <c r="Y14" s="3368"/>
      <c r="Z14" s="50">
        <f t="shared" si="7"/>
        <v>111</v>
      </c>
      <c r="AA14" s="50">
        <f t="shared" si="3"/>
        <v>1</v>
      </c>
      <c r="AB14" s="50">
        <f t="shared" si="4"/>
        <v>1</v>
      </c>
      <c r="AC14" s="50">
        <f t="shared" si="5"/>
        <v>1</v>
      </c>
    </row>
    <row r="15" spans="1:29" ht="15">
      <c r="A15" s="372" t="s">
        <v>1687</v>
      </c>
      <c r="B15" s="547" t="s">
        <v>1917</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514" t="s">
        <v>1688</v>
      </c>
      <c r="Q15" s="1241" t="str">
        <f t="shared" si="6"/>
        <v>产业集聚程度</v>
      </c>
      <c r="R15" s="657" t="s">
        <v>14</v>
      </c>
      <c r="S15" s="658">
        <f t="shared" si="0"/>
        <v>100</v>
      </c>
      <c r="T15" s="657" t="s">
        <v>14</v>
      </c>
      <c r="U15" s="658">
        <f t="shared" si="1"/>
        <v>100</v>
      </c>
      <c r="V15" s="657" t="s">
        <v>14</v>
      </c>
      <c r="W15" s="658">
        <f t="shared" si="2"/>
        <v>100</v>
      </c>
      <c r="X15" s="1243"/>
      <c r="Y15" s="3514" t="s">
        <v>1688</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515"/>
      <c r="Q16" s="1241"/>
      <c r="R16" s="657"/>
      <c r="S16" s="658"/>
      <c r="T16" s="657"/>
      <c r="U16" s="658"/>
      <c r="V16" s="657"/>
      <c r="W16" s="658"/>
      <c r="X16" s="1243"/>
      <c r="Y16" s="3515"/>
      <c r="Z16" s="1242"/>
      <c r="AA16" s="1242">
        <v>1</v>
      </c>
      <c r="AB16" s="1242">
        <v>1</v>
      </c>
      <c r="AC16" s="1242">
        <v>1</v>
      </c>
    </row>
    <row r="17" spans="1:29" ht="15">
      <c r="A17" s="360"/>
      <c r="B17" s="549" t="s">
        <v>1830</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515"/>
      <c r="Q17" s="1241" t="str">
        <f>B17</f>
        <v>交通便捷度</v>
      </c>
      <c r="R17" s="657" t="s">
        <v>14</v>
      </c>
      <c r="S17" s="658">
        <f>F17</f>
        <v>100</v>
      </c>
      <c r="T17" s="657" t="s">
        <v>14</v>
      </c>
      <c r="U17" s="658">
        <f>H17</f>
        <v>100</v>
      </c>
      <c r="V17" s="657" t="s">
        <v>14</v>
      </c>
      <c r="W17" s="658">
        <f>J17</f>
        <v>100</v>
      </c>
      <c r="X17" s="1243"/>
      <c r="Y17" s="3515"/>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515"/>
      <c r="Q18" s="1241"/>
      <c r="R18" s="657"/>
      <c r="S18" s="658"/>
      <c r="T18" s="657"/>
      <c r="U18" s="658"/>
      <c r="V18" s="657"/>
      <c r="W18" s="658"/>
      <c r="X18" s="1243"/>
      <c r="Y18" s="3515"/>
      <c r="Z18" s="1242"/>
      <c r="AA18" s="1242">
        <v>1</v>
      </c>
      <c r="AB18" s="1242">
        <v>1</v>
      </c>
      <c r="AC18" s="1242">
        <v>1</v>
      </c>
    </row>
    <row r="19" spans="1:29" ht="15">
      <c r="A19" s="360"/>
      <c r="B19" s="549" t="s">
        <v>1868</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515"/>
      <c r="Q19" s="1241" t="str">
        <f t="shared" ref="Q19:Q33" si="8">B19</f>
        <v>区域土地利用方向</v>
      </c>
      <c r="R19" s="657" t="s">
        <v>14</v>
      </c>
      <c r="S19" s="658">
        <f>F19</f>
        <v>100</v>
      </c>
      <c r="T19" s="657" t="s">
        <v>14</v>
      </c>
      <c r="U19" s="658">
        <f>H19</f>
        <v>100</v>
      </c>
      <c r="V19" s="657" t="s">
        <v>14</v>
      </c>
      <c r="W19" s="658">
        <f>J19</f>
        <v>100</v>
      </c>
      <c r="X19" s="1243"/>
      <c r="Y19" s="3515"/>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515"/>
      <c r="Q20" s="1241"/>
      <c r="R20" s="657"/>
      <c r="S20" s="658"/>
      <c r="T20" s="657"/>
      <c r="U20" s="658"/>
      <c r="V20" s="657"/>
      <c r="W20" s="658"/>
      <c r="X20" s="1243"/>
      <c r="Y20" s="3515"/>
      <c r="Z20" s="1242"/>
      <c r="AA20" s="1242"/>
      <c r="AB20" s="1242"/>
      <c r="AC20" s="1242"/>
    </row>
    <row r="21" spans="1:29" ht="15">
      <c r="A21" s="341"/>
      <c r="B21" s="549" t="s">
        <v>1918</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515"/>
      <c r="Q21" s="1241" t="str">
        <f t="shared" si="8"/>
        <v>环境状况</v>
      </c>
      <c r="R21" s="657" t="s">
        <v>14</v>
      </c>
      <c r="S21" s="658">
        <f>F21</f>
        <v>100</v>
      </c>
      <c r="T21" s="657" t="s">
        <v>14</v>
      </c>
      <c r="U21" s="658">
        <f>H21</f>
        <v>100</v>
      </c>
      <c r="V21" s="657" t="s">
        <v>14</v>
      </c>
      <c r="W21" s="658">
        <f>J21</f>
        <v>100</v>
      </c>
      <c r="X21" s="1243"/>
      <c r="Y21" s="3515"/>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515"/>
      <c r="Q22" s="1241"/>
      <c r="R22" s="657"/>
      <c r="S22" s="658"/>
      <c r="T22" s="657"/>
      <c r="U22" s="658"/>
      <c r="V22" s="657"/>
      <c r="W22" s="658"/>
      <c r="X22" s="1243"/>
      <c r="Y22" s="3515"/>
      <c r="Z22" s="1242"/>
      <c r="AA22" s="1242">
        <v>1</v>
      </c>
      <c r="AB22" s="1242">
        <v>1</v>
      </c>
      <c r="AC22" s="1242">
        <v>1</v>
      </c>
    </row>
    <row r="23" spans="1:29" s="101" customFormat="1" ht="15">
      <c r="A23" s="436"/>
      <c r="B23" s="550" t="s">
        <v>1775</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515"/>
      <c r="Q23" s="523" t="str">
        <f t="shared" si="8"/>
        <v>公共配套设施</v>
      </c>
      <c r="R23" s="654" t="s">
        <v>14</v>
      </c>
      <c r="S23" s="655">
        <f>F23</f>
        <v>100</v>
      </c>
      <c r="T23" s="654" t="s">
        <v>14</v>
      </c>
      <c r="U23" s="655">
        <f>H23</f>
        <v>100</v>
      </c>
      <c r="V23" s="654" t="s">
        <v>14</v>
      </c>
      <c r="W23" s="655">
        <f>J23</f>
        <v>100</v>
      </c>
      <c r="X23" s="656"/>
      <c r="Y23" s="3515"/>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515"/>
      <c r="Q24" s="523"/>
      <c r="R24" s="654"/>
      <c r="S24" s="655"/>
      <c r="T24" s="654"/>
      <c r="U24" s="655"/>
      <c r="V24" s="654"/>
      <c r="W24" s="655"/>
      <c r="X24" s="656"/>
      <c r="Y24" s="3515"/>
      <c r="Z24" s="50"/>
      <c r="AA24" s="50">
        <v>1</v>
      </c>
      <c r="AB24" s="50">
        <v>1</v>
      </c>
      <c r="AC24" s="50">
        <v>1</v>
      </c>
    </row>
    <row r="25" spans="1:29" s="101" customFormat="1" ht="15">
      <c r="A25" s="436"/>
      <c r="B25" s="550" t="s">
        <v>1776</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515"/>
      <c r="Q25" s="523" t="str">
        <f t="shared" ref="Q25" si="9">B25</f>
        <v>基础设施水平</v>
      </c>
      <c r="R25" s="654" t="s">
        <v>14</v>
      </c>
      <c r="S25" s="655">
        <f>F25</f>
        <v>100</v>
      </c>
      <c r="T25" s="654" t="s">
        <v>14</v>
      </c>
      <c r="U25" s="655">
        <f>H25</f>
        <v>100</v>
      </c>
      <c r="V25" s="654" t="s">
        <v>14</v>
      </c>
      <c r="W25" s="655">
        <f>J25</f>
        <v>100</v>
      </c>
      <c r="X25" s="656"/>
      <c r="Y25" s="3515"/>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515"/>
      <c r="Q26" s="523"/>
      <c r="R26" s="654"/>
      <c r="S26" s="655"/>
      <c r="T26" s="654"/>
      <c r="U26" s="655"/>
      <c r="V26" s="654"/>
      <c r="W26" s="655"/>
      <c r="X26" s="656"/>
      <c r="Y26" s="3515"/>
      <c r="Z26" s="50"/>
      <c r="AA26" s="50">
        <v>1</v>
      </c>
      <c r="AB26" s="50">
        <v>1</v>
      </c>
      <c r="AC26" s="50">
        <v>1</v>
      </c>
    </row>
    <row r="27" spans="1:29" ht="15">
      <c r="A27" s="360"/>
      <c r="B27" s="394" t="s">
        <v>1777</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515"/>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515"/>
      <c r="Z27" s="1242" t="str">
        <f t="shared" ref="Z27:Z40" si="13">Q27</f>
        <v>临街状况</v>
      </c>
      <c r="AA27" s="1242">
        <f t="shared" si="3"/>
        <v>1</v>
      </c>
      <c r="AB27" s="1242">
        <f t="shared" si="4"/>
        <v>1</v>
      </c>
      <c r="AC27" s="1242">
        <f t="shared" si="5"/>
        <v>1</v>
      </c>
    </row>
    <row r="28" spans="1:29" ht="27">
      <c r="A28" s="360"/>
      <c r="B28" s="550" t="s">
        <v>1812</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515"/>
      <c r="Q28" s="1241" t="str">
        <f t="shared" si="8"/>
        <v>毗邻道路的类型与等级</v>
      </c>
      <c r="R28" s="657" t="s">
        <v>14</v>
      </c>
      <c r="S28" s="658">
        <f t="shared" si="10"/>
        <v>100</v>
      </c>
      <c r="T28" s="657" t="s">
        <v>14</v>
      </c>
      <c r="U28" s="658">
        <f t="shared" si="11"/>
        <v>100</v>
      </c>
      <c r="V28" s="657" t="s">
        <v>14</v>
      </c>
      <c r="W28" s="658">
        <f t="shared" si="12"/>
        <v>100</v>
      </c>
      <c r="X28" s="1243"/>
      <c r="Y28" s="3515"/>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515"/>
      <c r="Q29" s="1241"/>
      <c r="R29" s="657"/>
      <c r="S29" s="658"/>
      <c r="T29" s="657"/>
      <c r="U29" s="658"/>
      <c r="V29" s="657"/>
      <c r="W29" s="658"/>
      <c r="X29" s="1243"/>
      <c r="Y29" s="3515"/>
      <c r="Z29" s="1242"/>
      <c r="AA29" s="1242">
        <v>1</v>
      </c>
      <c r="AB29" s="1242">
        <v>1</v>
      </c>
      <c r="AC29" s="1242">
        <v>1</v>
      </c>
    </row>
    <row r="30" spans="1:29" ht="15">
      <c r="A30" s="360"/>
      <c r="B30" s="113" t="s">
        <v>1870</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515"/>
      <c r="Q30" s="1241" t="str">
        <f t="shared" si="8"/>
        <v>土地级别</v>
      </c>
      <c r="R30" s="657" t="s">
        <v>14</v>
      </c>
      <c r="S30" s="658">
        <f t="shared" si="10"/>
        <v>100</v>
      </c>
      <c r="T30" s="657" t="s">
        <v>14</v>
      </c>
      <c r="U30" s="658">
        <f t="shared" si="11"/>
        <v>100</v>
      </c>
      <c r="V30" s="657" t="s">
        <v>14</v>
      </c>
      <c r="W30" s="658">
        <f t="shared" si="12"/>
        <v>100</v>
      </c>
      <c r="X30" s="1243"/>
      <c r="Y30" s="3515"/>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515"/>
      <c r="Q31" s="1241">
        <f t="shared" si="8"/>
        <v>111</v>
      </c>
      <c r="R31" s="657" t="s">
        <v>14</v>
      </c>
      <c r="S31" s="658">
        <f t="shared" si="10"/>
        <v>100</v>
      </c>
      <c r="T31" s="657" t="s">
        <v>14</v>
      </c>
      <c r="U31" s="658">
        <f t="shared" si="11"/>
        <v>100</v>
      </c>
      <c r="V31" s="657" t="s">
        <v>14</v>
      </c>
      <c r="W31" s="658">
        <f t="shared" si="12"/>
        <v>100</v>
      </c>
      <c r="X31" s="1243"/>
      <c r="Y31" s="3515"/>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569" t="s">
        <v>1693</v>
      </c>
      <c r="Q32" s="1241">
        <f t="shared" si="8"/>
        <v>111</v>
      </c>
      <c r="R32" s="657" t="s">
        <v>14</v>
      </c>
      <c r="S32" s="658">
        <f t="shared" si="10"/>
        <v>100</v>
      </c>
      <c r="T32" s="657" t="s">
        <v>14</v>
      </c>
      <c r="U32" s="658">
        <f t="shared" si="11"/>
        <v>100</v>
      </c>
      <c r="V32" s="657" t="s">
        <v>14</v>
      </c>
      <c r="W32" s="658">
        <f t="shared" si="12"/>
        <v>100</v>
      </c>
      <c r="X32" s="1243"/>
      <c r="Y32" s="3519" t="s">
        <v>1693</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519"/>
      <c r="Q33" s="1241">
        <f t="shared" si="8"/>
        <v>111</v>
      </c>
      <c r="R33" s="659" t="s">
        <v>14</v>
      </c>
      <c r="S33" s="660">
        <f t="shared" si="10"/>
        <v>100</v>
      </c>
      <c r="T33" s="659" t="s">
        <v>14</v>
      </c>
      <c r="U33" s="660">
        <f t="shared" si="11"/>
        <v>100</v>
      </c>
      <c r="V33" s="659" t="s">
        <v>14</v>
      </c>
      <c r="W33" s="660">
        <f t="shared" si="12"/>
        <v>100</v>
      </c>
      <c r="X33" s="661"/>
      <c r="Y33" s="3519"/>
      <c r="Z33" s="662">
        <f t="shared" si="13"/>
        <v>111</v>
      </c>
      <c r="AA33" s="1242">
        <f t="shared" si="3"/>
        <v>1</v>
      </c>
      <c r="AB33" s="1242">
        <f t="shared" si="4"/>
        <v>1</v>
      </c>
      <c r="AC33" s="1242">
        <f t="shared" si="5"/>
        <v>1</v>
      </c>
    </row>
    <row r="34" spans="1:31" ht="15">
      <c r="A34" s="372" t="s">
        <v>1691</v>
      </c>
      <c r="B34" s="388" t="s">
        <v>1871</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519"/>
      <c r="Q34" s="1241" t="str">
        <f>B34</f>
        <v>宗地面积</v>
      </c>
      <c r="R34" s="657" t="s">
        <v>14</v>
      </c>
      <c r="S34" s="658" t="e">
        <f t="shared" si="10"/>
        <v>#N/A</v>
      </c>
      <c r="T34" s="657" t="s">
        <v>14</v>
      </c>
      <c r="U34" s="658" t="e">
        <f t="shared" si="11"/>
        <v>#N/A</v>
      </c>
      <c r="V34" s="657" t="s">
        <v>14</v>
      </c>
      <c r="W34" s="658" t="e">
        <f t="shared" si="12"/>
        <v>#N/A</v>
      </c>
      <c r="X34" s="1243"/>
      <c r="Y34" s="3519"/>
      <c r="Z34" s="1242" t="str">
        <f t="shared" si="13"/>
        <v>宗地面积</v>
      </c>
      <c r="AA34" s="1242" t="e">
        <f t="shared" si="3"/>
        <v>#N/A</v>
      </c>
      <c r="AB34" s="1242" t="e">
        <f t="shared" si="4"/>
        <v>#N/A</v>
      </c>
      <c r="AC34" s="1242" t="e">
        <f t="shared" si="5"/>
        <v>#N/A</v>
      </c>
    </row>
    <row r="35" spans="1:31" ht="15">
      <c r="A35" s="402"/>
      <c r="B35" s="357" t="s">
        <v>1872</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519"/>
      <c r="Q35" s="1241" t="str">
        <f t="shared" ref="Q35:Q40" si="14">B35</f>
        <v>宗地形状</v>
      </c>
      <c r="R35" s="657" t="s">
        <v>14</v>
      </c>
      <c r="S35" s="658">
        <f t="shared" si="10"/>
        <v>100</v>
      </c>
      <c r="T35" s="657" t="s">
        <v>14</v>
      </c>
      <c r="U35" s="658">
        <f t="shared" si="11"/>
        <v>100</v>
      </c>
      <c r="V35" s="657" t="s">
        <v>14</v>
      </c>
      <c r="W35" s="658">
        <f t="shared" si="12"/>
        <v>100</v>
      </c>
      <c r="X35" s="1243"/>
      <c r="Y35" s="3519"/>
      <c r="Z35" s="1242" t="str">
        <f t="shared" si="13"/>
        <v>宗地形状</v>
      </c>
      <c r="AA35" s="1242">
        <f t="shared" si="3"/>
        <v>1</v>
      </c>
      <c r="AB35" s="1242">
        <f t="shared" si="4"/>
        <v>1</v>
      </c>
      <c r="AC35" s="1242">
        <f t="shared" si="5"/>
        <v>1</v>
      </c>
    </row>
    <row r="36" spans="1:31" s="101" customFormat="1" ht="15">
      <c r="A36" s="403"/>
      <c r="B36" s="357" t="s">
        <v>1874</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519"/>
      <c r="Q36" s="1241" t="str">
        <f t="shared" si="14"/>
        <v>宗地开发程度</v>
      </c>
      <c r="R36" s="654" t="s">
        <v>14</v>
      </c>
      <c r="S36" s="655">
        <f t="shared" si="10"/>
        <v>100</v>
      </c>
      <c r="T36" s="654" t="s">
        <v>14</v>
      </c>
      <c r="U36" s="655">
        <f t="shared" si="11"/>
        <v>100</v>
      </c>
      <c r="V36" s="654" t="s">
        <v>14</v>
      </c>
      <c r="W36" s="655">
        <f t="shared" si="12"/>
        <v>100</v>
      </c>
      <c r="X36" s="656"/>
      <c r="Y36" s="3519"/>
      <c r="Z36" s="50" t="str">
        <f t="shared" si="13"/>
        <v>宗地开发程度</v>
      </c>
      <c r="AA36" s="50">
        <f t="shared" si="3"/>
        <v>1</v>
      </c>
      <c r="AB36" s="50">
        <f t="shared" si="4"/>
        <v>1</v>
      </c>
      <c r="AC36" s="50">
        <f t="shared" si="5"/>
        <v>1</v>
      </c>
    </row>
    <row r="37" spans="1:31" ht="15">
      <c r="A37" s="402"/>
      <c r="B37" s="357" t="s">
        <v>1875</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519" t="s">
        <v>1693</v>
      </c>
      <c r="Q37" s="1241" t="str">
        <f t="shared" si="14"/>
        <v>工程地质条件</v>
      </c>
      <c r="R37" s="657" t="s">
        <v>14</v>
      </c>
      <c r="S37" s="658">
        <f t="shared" si="10"/>
        <v>100</v>
      </c>
      <c r="T37" s="657" t="s">
        <v>14</v>
      </c>
      <c r="U37" s="658">
        <f t="shared" si="11"/>
        <v>100</v>
      </c>
      <c r="V37" s="657" t="s">
        <v>14</v>
      </c>
      <c r="W37" s="658">
        <f t="shared" si="12"/>
        <v>100</v>
      </c>
      <c r="X37" s="1243"/>
      <c r="Y37" s="3519" t="s">
        <v>1693</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519"/>
      <c r="Q38" s="1241">
        <f t="shared" si="14"/>
        <v>111</v>
      </c>
      <c r="R38" s="657" t="s">
        <v>14</v>
      </c>
      <c r="S38" s="658">
        <f t="shared" si="10"/>
        <v>100</v>
      </c>
      <c r="T38" s="657" t="s">
        <v>14</v>
      </c>
      <c r="U38" s="658">
        <f t="shared" si="11"/>
        <v>100</v>
      </c>
      <c r="V38" s="657" t="s">
        <v>14</v>
      </c>
      <c r="W38" s="658">
        <f t="shared" si="12"/>
        <v>100</v>
      </c>
      <c r="X38" s="1243"/>
      <c r="Y38" s="3519"/>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519"/>
      <c r="Q39" s="1241">
        <f t="shared" si="14"/>
        <v>111</v>
      </c>
      <c r="R39" s="657" t="s">
        <v>14</v>
      </c>
      <c r="S39" s="658">
        <f t="shared" si="10"/>
        <v>100</v>
      </c>
      <c r="T39" s="657" t="s">
        <v>14</v>
      </c>
      <c r="U39" s="658">
        <f t="shared" si="11"/>
        <v>100</v>
      </c>
      <c r="V39" s="657" t="s">
        <v>14</v>
      </c>
      <c r="W39" s="658">
        <f t="shared" si="12"/>
        <v>100</v>
      </c>
      <c r="X39" s="1243"/>
      <c r="Y39" s="3519"/>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519"/>
      <c r="Q40" s="1241">
        <f t="shared" si="14"/>
        <v>111</v>
      </c>
      <c r="R40" s="659" t="s">
        <v>14</v>
      </c>
      <c r="S40" s="660">
        <f t="shared" si="10"/>
        <v>100</v>
      </c>
      <c r="T40" s="659" t="s">
        <v>14</v>
      </c>
      <c r="U40" s="660">
        <f t="shared" si="11"/>
        <v>100</v>
      </c>
      <c r="V40" s="659" t="s">
        <v>14</v>
      </c>
      <c r="W40" s="660">
        <f t="shared" si="12"/>
        <v>100</v>
      </c>
      <c r="X40" s="661"/>
      <c r="Y40" s="3519"/>
      <c r="Z40" s="662">
        <f t="shared" si="13"/>
        <v>111</v>
      </c>
      <c r="AA40" s="1242">
        <f t="shared" si="3"/>
        <v>1</v>
      </c>
      <c r="AB40" s="1242">
        <f t="shared" si="4"/>
        <v>1</v>
      </c>
      <c r="AC40" s="1242">
        <f t="shared" si="5"/>
        <v>1</v>
      </c>
    </row>
    <row r="41" spans="1:31" ht="15">
      <c r="A41" s="409" t="s">
        <v>1841</v>
      </c>
      <c r="B41" s="1807" t="s">
        <v>1919</v>
      </c>
      <c r="C41" s="595" t="s">
        <v>0</v>
      </c>
      <c r="D41" s="411"/>
      <c r="E41" s="412"/>
      <c r="F41" s="413"/>
      <c r="G41" s="414"/>
      <c r="H41" s="415"/>
      <c r="I41" s="412"/>
      <c r="J41" s="415"/>
      <c r="K41" s="664"/>
      <c r="L41" s="2469"/>
      <c r="M41" s="2462"/>
      <c r="N41" s="2462"/>
      <c r="O41" s="2462"/>
      <c r="P41" s="3512" t="str">
        <f>A41</f>
        <v>成交单价</v>
      </c>
      <c r="Q41" s="3512"/>
      <c r="R41" s="3513">
        <f>E41</f>
        <v>0</v>
      </c>
      <c r="S41" s="3513"/>
      <c r="T41" s="3513">
        <f>G41</f>
        <v>0</v>
      </c>
      <c r="U41" s="3513"/>
      <c r="V41" s="3513">
        <f>I41</f>
        <v>0</v>
      </c>
      <c r="W41" s="3513"/>
      <c r="X41" s="378"/>
      <c r="Y41" s="663"/>
      <c r="Z41" s="378"/>
      <c r="AA41" s="378"/>
      <c r="AB41" s="378"/>
      <c r="AC41" s="378"/>
    </row>
    <row r="42" spans="1:31" ht="15.75" thickBot="1">
      <c r="A42" s="416" t="s">
        <v>1790</v>
      </c>
      <c r="B42" s="596"/>
      <c r="C42" s="419" t="e">
        <f>R43</f>
        <v>#DIV/0!</v>
      </c>
      <c r="D42" s="2118" t="s">
        <v>2133</v>
      </c>
      <c r="E42" s="419" t="e">
        <f>R42</f>
        <v>#DIV/0!</v>
      </c>
      <c r="F42" s="2119"/>
      <c r="G42" s="418" t="e">
        <f>T42</f>
        <v>#DIV/0!</v>
      </c>
      <c r="H42" s="2119"/>
      <c r="I42" s="419" t="e">
        <f>V42</f>
        <v>#DIV/0!</v>
      </c>
      <c r="J42" s="2119"/>
      <c r="K42" s="2121">
        <f>F42+H42+J42</f>
        <v>0</v>
      </c>
      <c r="L42" s="2469"/>
      <c r="M42" s="2462"/>
      <c r="N42" s="2462"/>
      <c r="O42" s="2462"/>
      <c r="P42" s="3512" t="str">
        <f>A42</f>
        <v>比较价值（元/平方米）</v>
      </c>
      <c r="Q42" s="3512"/>
      <c r="R42" s="3571" t="e">
        <f>ROUND(PRODUCT(R41,AA7:AA40),0)</f>
        <v>#DIV/0!</v>
      </c>
      <c r="S42" s="3571"/>
      <c r="T42" s="3571" t="e">
        <f>ROUND(PRODUCT(T41,AB7:AB40),0)</f>
        <v>#DIV/0!</v>
      </c>
      <c r="U42" s="3571"/>
      <c r="V42" s="3571" t="e">
        <f>ROUND(PRODUCT(V41,AC7:AC40),0)</f>
        <v>#DIV/0!</v>
      </c>
      <c r="W42" s="3571"/>
      <c r="X42" s="378"/>
      <c r="Y42" s="378"/>
      <c r="Z42" s="378"/>
      <c r="AA42" s="378"/>
      <c r="AB42" s="378"/>
      <c r="AC42" s="378"/>
    </row>
    <row r="43" spans="1:31" ht="15.75" thickBot="1">
      <c r="A43" s="420" t="s">
        <v>1791</v>
      </c>
      <c r="B43" s="421"/>
      <c r="C43" s="422" t="e">
        <f>R43</f>
        <v>#DIV/0!</v>
      </c>
      <c r="D43" s="422"/>
      <c r="E43" s="422"/>
      <c r="F43" s="422"/>
      <c r="G43" s="422"/>
      <c r="H43" s="422"/>
      <c r="I43" s="422"/>
      <c r="J43" s="422"/>
      <c r="K43" s="665"/>
      <c r="L43" s="2469"/>
      <c r="M43" s="2462"/>
      <c r="N43" s="2462"/>
      <c r="O43" s="2462"/>
      <c r="P43" s="3509" t="str">
        <f>A43</f>
        <v>估价对象XX用房的比较价值（楼面单价，元/平方米）</v>
      </c>
      <c r="Q43" s="3510"/>
      <c r="R43" s="3572" t="e">
        <f>ROUND(IF(D42="简单平均",AVERAGE(R42:W42),R42*F42+T42*H42+V42*J42),0)</f>
        <v>#DIV/0!</v>
      </c>
      <c r="S43" s="3572"/>
      <c r="T43" s="3572"/>
      <c r="U43" s="3572"/>
      <c r="V43" s="3572"/>
      <c r="W43" s="3572"/>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1878</v>
      </c>
      <c r="B50" s="598" t="s">
        <v>1879</v>
      </c>
      <c r="C50" s="1808" t="s">
        <v>1880</v>
      </c>
      <c r="D50" s="1809" t="s">
        <v>1881</v>
      </c>
      <c r="E50" s="599" t="s">
        <v>1882</v>
      </c>
      <c r="F50" s="600" t="s">
        <v>1883</v>
      </c>
      <c r="G50" s="3527" t="s">
        <v>1884</v>
      </c>
      <c r="H50" s="3573"/>
      <c r="I50" s="1242" t="s">
        <v>1920</v>
      </c>
      <c r="J50" s="1242">
        <f>项目基本情况!F35</f>
        <v>0</v>
      </c>
      <c r="K50" s="1811" t="s">
        <v>1886</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1887</v>
      </c>
      <c r="B51" s="602" t="e">
        <f>C43</f>
        <v>#DIV/0!</v>
      </c>
      <c r="C51" s="603">
        <v>1</v>
      </c>
      <c r="D51" s="870">
        <v>1</v>
      </c>
      <c r="E51" s="603">
        <f>'数据-汇总表'!E8+'数据-汇总表'!E9</f>
        <v>45214.01</v>
      </c>
      <c r="F51" s="604" t="e">
        <f t="shared" ref="F51:F60" si="15">ROUND(B51*E51/10000,0)</f>
        <v>#DIV/0!</v>
      </c>
      <c r="G51" s="3523"/>
      <c r="H51" s="3512"/>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1888</v>
      </c>
      <c r="B52" s="204" t="e">
        <f>ROUND($C$43*C52*D52,0)</f>
        <v>#DIV/0!</v>
      </c>
      <c r="C52" s="157">
        <f t="shared" ref="C52:C60" si="16">IF($C$50="北京市系数",I52,J52)</f>
        <v>0.6</v>
      </c>
      <c r="D52" s="871">
        <v>0.25</v>
      </c>
      <c r="E52" s="607"/>
      <c r="F52" s="604" t="e">
        <f t="shared" si="15"/>
        <v>#DIV/0!</v>
      </c>
      <c r="G52" s="2723" t="s">
        <v>1889</v>
      </c>
      <c r="H52" s="814" t="str">
        <f>项目基本情况!B37</f>
        <v>六级</v>
      </c>
      <c r="I52" s="709">
        <f>SUMIF(修正!A59:A70,H52,修正!B59:B70)</f>
        <v>0.6</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1890</v>
      </c>
      <c r="B53" s="204" t="e">
        <f t="shared" ref="B53:B60" si="17">ROUND($C$43*C53*D53,0)</f>
        <v>#DIV/0!</v>
      </c>
      <c r="C53" s="157">
        <f t="shared" si="16"/>
        <v>0.3</v>
      </c>
      <c r="D53" s="871">
        <v>0.25</v>
      </c>
      <c r="E53" s="607"/>
      <c r="F53" s="604" t="e">
        <f t="shared" si="15"/>
        <v>#DIV/0!</v>
      </c>
      <c r="G53" s="2724"/>
      <c r="H53" s="814" t="str">
        <f>项目基本情况!B37</f>
        <v>六级</v>
      </c>
      <c r="I53" s="709">
        <f>SUMIF(修正!A59:A70,H53,修正!C59:C70)</f>
        <v>0.3</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1891</v>
      </c>
      <c r="B54" s="204" t="e">
        <f t="shared" si="17"/>
        <v>#DIV/0!</v>
      </c>
      <c r="C54" s="157">
        <f t="shared" si="16"/>
        <v>0.25</v>
      </c>
      <c r="D54" s="871">
        <v>0.25</v>
      </c>
      <c r="E54" s="607"/>
      <c r="F54" s="604" t="e">
        <f t="shared" si="15"/>
        <v>#DIV/0!</v>
      </c>
      <c r="G54" s="2724"/>
      <c r="H54" s="814" t="str">
        <f>项目基本情况!B37</f>
        <v>六级</v>
      </c>
      <c r="I54" s="709">
        <f>SUMIF(修正!A59:A70,H54,修正!D59:D70)</f>
        <v>0.25</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1892</v>
      </c>
      <c r="B56" s="204" t="e">
        <f t="shared" si="17"/>
        <v>#DIV/0!</v>
      </c>
      <c r="C56" s="157">
        <f t="shared" si="16"/>
        <v>0.25</v>
      </c>
      <c r="D56" s="871">
        <v>0.25</v>
      </c>
      <c r="E56" s="203">
        <f>'数据-汇总表'!E11</f>
        <v>0</v>
      </c>
      <c r="F56" s="604" t="e">
        <f t="shared" si="15"/>
        <v>#DIV/0!</v>
      </c>
      <c r="G56" s="1812" t="s">
        <v>1893</v>
      </c>
      <c r="H56" s="814" t="str">
        <f>项目基本情况!C37</f>
        <v>六级</v>
      </c>
      <c r="I56" s="709">
        <f>SUMIF(修正!A59:A70,H56,修正!E59:E70)</f>
        <v>0.25</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1894</v>
      </c>
      <c r="B57" s="204" t="e">
        <f t="shared" si="17"/>
        <v>#DIV/0!</v>
      </c>
      <c r="C57" s="157">
        <f t="shared" si="16"/>
        <v>0.25</v>
      </c>
      <c r="D57" s="871">
        <v>0.25</v>
      </c>
      <c r="E57" s="203">
        <f>'数据-汇总表'!E12</f>
        <v>0</v>
      </c>
      <c r="F57" s="604" t="e">
        <f t="shared" si="15"/>
        <v>#DIV/0!</v>
      </c>
      <c r="G57" s="819" t="s">
        <v>1895</v>
      </c>
      <c r="H57" s="814" t="str">
        <f>IF(G57="商业",项目基本情况!B37,IF(G57="办公",项目基本情况!C37,IF(G57="住宅",项目基本情况!D37,项目基本情况!E37)))</f>
        <v>六级</v>
      </c>
      <c r="I57" s="709">
        <f>SUMIF(修正!A59:A70,H57,修正!F59:F70)</f>
        <v>0.25</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1896</v>
      </c>
      <c r="B58" s="204" t="e">
        <f t="shared" si="17"/>
        <v>#DIV/0!</v>
      </c>
      <c r="C58" s="157">
        <f t="shared" si="16"/>
        <v>0</v>
      </c>
      <c r="D58" s="871">
        <v>0.25</v>
      </c>
      <c r="E58" s="203">
        <f>'数据-汇总表'!E13</f>
        <v>0</v>
      </c>
      <c r="F58" s="604" t="e">
        <f t="shared" si="15"/>
        <v>#DIV/0!</v>
      </c>
      <c r="G58" s="819" t="s">
        <v>1897</v>
      </c>
      <c r="H58" s="814">
        <f>IF(G58="商业",项目基本情况!B37,IF(G58="办公",项目基本情况!C37,IF(G58="住宅",项目基本情况!D37,项目基本情况!E37)))</f>
        <v>0</v>
      </c>
      <c r="I58" s="709">
        <f>SUMIF(修正!A59:A70,H58,修正!G59:G70)</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1898</v>
      </c>
      <c r="B59" s="204" t="e">
        <f t="shared" si="17"/>
        <v>#DIV/0!</v>
      </c>
      <c r="C59" s="157">
        <f t="shared" si="16"/>
        <v>0.15</v>
      </c>
      <c r="D59" s="871">
        <v>0.25</v>
      </c>
      <c r="E59" s="203">
        <f>'数据-汇总表'!E14</f>
        <v>0</v>
      </c>
      <c r="F59" s="604" t="e">
        <f t="shared" si="15"/>
        <v>#DIV/0!</v>
      </c>
      <c r="G59" s="1812" t="s">
        <v>1889</v>
      </c>
      <c r="H59" s="814" t="str">
        <f>项目基本情况!B37</f>
        <v>六级</v>
      </c>
      <c r="I59" s="709">
        <f>SUMIF(修正!A59:A70,H59,修正!G59:G70)</f>
        <v>0.15</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1899</v>
      </c>
      <c r="B60" s="204" t="e">
        <f t="shared" si="17"/>
        <v>#DIV/0!</v>
      </c>
      <c r="C60" s="157">
        <f t="shared" si="16"/>
        <v>0.15</v>
      </c>
      <c r="D60" s="871">
        <v>0.25</v>
      </c>
      <c r="E60" s="203">
        <f>'数据-汇总表'!E15</f>
        <v>0</v>
      </c>
      <c r="F60" s="604" t="e">
        <f t="shared" si="15"/>
        <v>#DIV/0!</v>
      </c>
      <c r="G60" s="1813" t="s">
        <v>1893</v>
      </c>
      <c r="H60" s="824" t="str">
        <f>项目基本情况!C37</f>
        <v>六级</v>
      </c>
      <c r="I60" s="709">
        <f>SUMIF(修正!A59:A70,H60,修正!G59:G70)</f>
        <v>0.15</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1900</v>
      </c>
      <c r="B61" s="609" t="s">
        <v>22</v>
      </c>
      <c r="C61" s="609" t="s">
        <v>23</v>
      </c>
      <c r="D61" s="609" t="s">
        <v>392</v>
      </c>
      <c r="E61" s="609">
        <f>IF(B41="楼面地价",SUM(E51:E60),'数据-汇总表'!D3)</f>
        <v>37658.28</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2025-10-1</v>
      </c>
      <c r="D63" s="646">
        <f>EDATE(C63,-3)</f>
        <v>45839</v>
      </c>
      <c r="E63" s="646">
        <f>EDATE(D63,-3)</f>
        <v>45748</v>
      </c>
      <c r="F63" s="646">
        <f t="shared" ref="F63:O63" si="18">EDATE(E63,-3)</f>
        <v>45658</v>
      </c>
      <c r="G63" s="646">
        <f t="shared" si="18"/>
        <v>45566</v>
      </c>
      <c r="H63" s="646">
        <f t="shared" si="18"/>
        <v>45474</v>
      </c>
      <c r="I63" s="646">
        <f t="shared" si="18"/>
        <v>45383</v>
      </c>
      <c r="J63" s="646">
        <f t="shared" si="18"/>
        <v>45292</v>
      </c>
      <c r="K63" s="646">
        <f t="shared" si="18"/>
        <v>45200</v>
      </c>
      <c r="L63" s="646">
        <f t="shared" si="18"/>
        <v>45108</v>
      </c>
      <c r="M63" s="646">
        <f t="shared" si="18"/>
        <v>45017</v>
      </c>
      <c r="N63" s="646">
        <f t="shared" si="18"/>
        <v>44927</v>
      </c>
      <c r="O63" s="646">
        <f t="shared" si="18"/>
        <v>44835</v>
      </c>
      <c r="P63" s="2462"/>
      <c r="Q63" s="2462"/>
      <c r="R63" s="2462"/>
      <c r="S63" s="2462"/>
      <c r="T63" s="2462"/>
      <c r="U63" s="2462"/>
      <c r="V63" s="2462"/>
      <c r="W63" s="2462"/>
      <c r="X63" s="2462"/>
      <c r="Y63" s="2462"/>
      <c r="Z63" s="2462"/>
      <c r="AA63" s="2462"/>
      <c r="AB63" s="2462"/>
      <c r="AC63" s="2462"/>
      <c r="AD63" s="2462"/>
      <c r="AE63" s="2462"/>
    </row>
    <row r="64" spans="1:31" ht="21.75" thickBot="1">
      <c r="A64" s="648" t="s">
        <v>1795</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1901</v>
      </c>
      <c r="B65" s="1024"/>
      <c r="C65" s="1079" t="str">
        <f>YEAR(C63)&amp;"-"&amp;ROUNDUP(MONTH(C63)/3,0)</f>
        <v>2025-4</v>
      </c>
      <c r="D65" s="1079" t="str">
        <f t="shared" ref="D65:O65" si="19">YEAR(D63)&amp;"-"&amp;ROUNDUP(MONTH(D63)/3,0)</f>
        <v>2025-3</v>
      </c>
      <c r="E65" s="1079" t="str">
        <f t="shared" si="19"/>
        <v>2025-2</v>
      </c>
      <c r="F65" s="1079" t="str">
        <f t="shared" si="19"/>
        <v>2025-1</v>
      </c>
      <c r="G65" s="1079" t="str">
        <f t="shared" si="19"/>
        <v>2024-4</v>
      </c>
      <c r="H65" s="1079" t="str">
        <f t="shared" si="19"/>
        <v>2024-3</v>
      </c>
      <c r="I65" s="1079" t="str">
        <f t="shared" si="19"/>
        <v>2024-2</v>
      </c>
      <c r="J65" s="1079" t="str">
        <f t="shared" si="19"/>
        <v>2024-1</v>
      </c>
      <c r="K65" s="1079" t="str">
        <f t="shared" si="19"/>
        <v>2023-4</v>
      </c>
      <c r="L65" s="1079" t="str">
        <f t="shared" si="19"/>
        <v>2023-3</v>
      </c>
      <c r="M65" s="1079" t="str">
        <f t="shared" si="19"/>
        <v>2023-2</v>
      </c>
      <c r="N65" s="1079" t="str">
        <f t="shared" si="19"/>
        <v>2023-1</v>
      </c>
      <c r="O65" s="1079" t="str">
        <f t="shared" si="19"/>
        <v>2022-4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1921</v>
      </c>
      <c r="B66" s="274" t="str">
        <f>"北京市平均增长率"&amp;TEXT('基准地价修正-商业'!P28,"0.00%")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1713</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1678</v>
      </c>
      <c r="B68" s="437"/>
      <c r="C68" s="449" t="s">
        <v>1773</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1716</v>
      </c>
      <c r="B70" s="453" t="s">
        <v>1682</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1685</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1686</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1687</v>
      </c>
      <c r="B83" s="453" t="s">
        <v>1826</v>
      </c>
      <c r="C83" s="497" t="s">
        <v>1718</v>
      </c>
      <c r="D83" s="497" t="s">
        <v>1719</v>
      </c>
      <c r="E83" s="497" t="s">
        <v>1720</v>
      </c>
      <c r="F83" s="497" t="s">
        <v>1721</v>
      </c>
      <c r="G83" s="497" t="s">
        <v>1722</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1723</v>
      </c>
      <c r="C85" s="502" t="s">
        <v>1718</v>
      </c>
      <c r="D85" s="502" t="s">
        <v>1719</v>
      </c>
      <c r="E85" s="502" t="s">
        <v>1720</v>
      </c>
      <c r="F85" s="502" t="s">
        <v>1721</v>
      </c>
      <c r="G85" s="502" t="s">
        <v>1722</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1904</v>
      </c>
      <c r="C87" s="497" t="s">
        <v>1718</v>
      </c>
      <c r="D87" s="497" t="s">
        <v>1719</v>
      </c>
      <c r="E87" s="497" t="s">
        <v>1720</v>
      </c>
      <c r="F87" s="497" t="s">
        <v>1721</v>
      </c>
      <c r="G87" s="497" t="s">
        <v>1722</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1905</v>
      </c>
      <c r="C89" s="497" t="s">
        <v>1718</v>
      </c>
      <c r="D89" s="497" t="s">
        <v>1719</v>
      </c>
      <c r="E89" s="497" t="s">
        <v>1720</v>
      </c>
      <c r="F89" s="497" t="s">
        <v>1721</v>
      </c>
      <c r="G89" s="497" t="s">
        <v>1722</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1775</v>
      </c>
      <c r="C91" s="497" t="s">
        <v>1718</v>
      </c>
      <c r="D91" s="497" t="s">
        <v>1719</v>
      </c>
      <c r="E91" s="497" t="s">
        <v>1720</v>
      </c>
      <c r="F91" s="497" t="s">
        <v>1721</v>
      </c>
      <c r="G91" s="497" t="s">
        <v>1722</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1922</v>
      </c>
      <c r="C93" s="574" t="s">
        <v>1796</v>
      </c>
      <c r="D93" s="574" t="s">
        <v>1797</v>
      </c>
      <c r="E93" s="574" t="s">
        <v>1798</v>
      </c>
      <c r="F93" s="574" t="s">
        <v>1799</v>
      </c>
      <c r="G93" s="574" t="s">
        <v>1800</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1906</v>
      </c>
      <c r="D95" s="463" t="s">
        <v>1907</v>
      </c>
      <c r="E95" s="463" t="s">
        <v>1908</v>
      </c>
      <c r="F95" s="463" t="s">
        <v>1909</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1812</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1870</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1691</v>
      </c>
      <c r="B107" s="453" t="s">
        <v>1910</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1911</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1913</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1914</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2578</v>
      </c>
      <c r="B1" s="2784" t="s">
        <v>2579</v>
      </c>
      <c r="C1" s="2784" t="s">
        <v>2580</v>
      </c>
      <c r="D1" s="2784" t="s">
        <v>2581</v>
      </c>
      <c r="E1" s="2784" t="s">
        <v>2582</v>
      </c>
      <c r="F1" s="2784" t="s">
        <v>2583</v>
      </c>
      <c r="G1" s="2784" t="s">
        <v>2584</v>
      </c>
      <c r="H1" s="2784" t="s">
        <v>2585</v>
      </c>
      <c r="I1" s="2784" t="s">
        <v>2586</v>
      </c>
      <c r="J1" s="2784" t="s">
        <v>2587</v>
      </c>
      <c r="K1" s="2784" t="s">
        <v>2588</v>
      </c>
      <c r="L1" s="2784" t="s">
        <v>2589</v>
      </c>
      <c r="M1" s="2785" t="s">
        <v>2590</v>
      </c>
    </row>
    <row r="2" spans="1:13" ht="19.5" customHeight="1">
      <c r="A2" s="2787" t="s">
        <v>2591</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2592</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2593</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2594</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2595</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2596</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2597</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2598</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2599</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2600</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2601</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2602</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2603</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2604</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2605</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2606</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2607</v>
      </c>
      <c r="B18" s="2809"/>
      <c r="C18" s="2810"/>
      <c r="D18" s="2810"/>
      <c r="E18" s="2809"/>
      <c r="F18" s="2810"/>
      <c r="G18" s="2810"/>
    </row>
    <row r="19" spans="1:13" ht="19.5" customHeight="1" thickBot="1">
      <c r="A19" s="2807" t="s">
        <v>2608</v>
      </c>
      <c r="B19" s="2812" t="s">
        <v>2609</v>
      </c>
      <c r="C19" s="2812" t="s">
        <v>2610</v>
      </c>
      <c r="D19" s="2813"/>
      <c r="E19" s="2807" t="s">
        <v>2611</v>
      </c>
      <c r="F19" s="2814"/>
      <c r="G19" s="2814"/>
    </row>
    <row r="20" spans="1:13" ht="19.5" customHeight="1">
      <c r="A20" s="3595" t="s">
        <v>2591</v>
      </c>
      <c r="B20" s="3588" t="s">
        <v>2612</v>
      </c>
      <c r="C20" s="3139" t="s">
        <v>2423</v>
      </c>
      <c r="D20" s="3139"/>
      <c r="E20" s="2817">
        <v>1</v>
      </c>
      <c r="F20" s="2818" t="s">
        <v>2424</v>
      </c>
      <c r="G20" s="2818"/>
    </row>
    <row r="21" spans="1:13" ht="19.5" customHeight="1">
      <c r="A21" s="3596"/>
      <c r="B21" s="3584"/>
      <c r="C21" s="2830" t="s">
        <v>2425</v>
      </c>
      <c r="D21" s="2830"/>
      <c r="E21" s="2821">
        <v>1</v>
      </c>
      <c r="F21" s="2818" t="s">
        <v>2426</v>
      </c>
      <c r="G21" s="2818"/>
    </row>
    <row r="22" spans="1:13" ht="19.5" customHeight="1">
      <c r="A22" s="3596"/>
      <c r="B22" s="3584"/>
      <c r="C22" s="2830" t="s">
        <v>2427</v>
      </c>
      <c r="D22" s="2830"/>
      <c r="E22" s="2821">
        <v>0.9</v>
      </c>
      <c r="F22" s="2818" t="s">
        <v>2428</v>
      </c>
      <c r="G22" s="2818"/>
    </row>
    <row r="23" spans="1:13" ht="19.5" customHeight="1">
      <c r="A23" s="3596"/>
      <c r="B23" s="3584"/>
      <c r="C23" s="2830" t="s">
        <v>2429</v>
      </c>
      <c r="D23" s="2830"/>
      <c r="E23" s="2821">
        <v>0.9</v>
      </c>
      <c r="F23" s="2818" t="s">
        <v>2430</v>
      </c>
      <c r="G23" s="2818"/>
    </row>
    <row r="24" spans="1:13" ht="19.5" customHeight="1">
      <c r="A24" s="3596"/>
      <c r="B24" s="3584"/>
      <c r="C24" s="2830" t="s">
        <v>2431</v>
      </c>
      <c r="D24" s="2830"/>
      <c r="E24" s="2821">
        <v>0.8</v>
      </c>
      <c r="F24" s="2818" t="s">
        <v>2432</v>
      </c>
      <c r="G24" s="2818"/>
    </row>
    <row r="25" spans="1:13" ht="19.5" customHeight="1">
      <c r="A25" s="3596"/>
      <c r="B25" s="3584"/>
      <c r="C25" s="2830" t="s">
        <v>2433</v>
      </c>
      <c r="D25" s="2830"/>
      <c r="E25" s="2821">
        <v>0.8</v>
      </c>
      <c r="F25" s="2818"/>
      <c r="G25" s="2818"/>
    </row>
    <row r="26" spans="1:13" ht="19.5" customHeight="1">
      <c r="A26" s="3596"/>
      <c r="B26" s="3584"/>
      <c r="C26" s="2830" t="s">
        <v>3386</v>
      </c>
      <c r="D26" s="2830"/>
      <c r="E26" s="2821">
        <v>0.43</v>
      </c>
      <c r="F26" s="2818"/>
      <c r="G26" s="2818"/>
    </row>
    <row r="27" spans="1:13" ht="19.5" customHeight="1" thickBot="1">
      <c r="A27" s="3597"/>
      <c r="B27" s="3589"/>
      <c r="C27" s="3135" t="s">
        <v>3387</v>
      </c>
      <c r="D27" s="3135"/>
      <c r="E27" s="2824">
        <f>E26*0.9</f>
        <v>0.38700000000000001</v>
      </c>
      <c r="F27" s="2818" t="s">
        <v>2434</v>
      </c>
      <c r="G27" s="2818"/>
    </row>
    <row r="28" spans="1:13" ht="19.5" customHeight="1" thickBot="1">
      <c r="A28" s="3134" t="s">
        <v>2613</v>
      </c>
      <c r="B28" s="3133" t="s">
        <v>2612</v>
      </c>
      <c r="C28" s="3136" t="s">
        <v>2614</v>
      </c>
      <c r="D28" s="3137"/>
      <c r="E28" s="3138">
        <v>1</v>
      </c>
      <c r="F28" s="2818" t="s">
        <v>2435</v>
      </c>
      <c r="G28" s="2818"/>
    </row>
    <row r="29" spans="1:13" ht="19.5" customHeight="1">
      <c r="A29" s="3590" t="s">
        <v>2615</v>
      </c>
      <c r="B29" s="3593" t="s">
        <v>2596</v>
      </c>
      <c r="C29" s="2815" t="s">
        <v>2436</v>
      </c>
      <c r="D29" s="2816"/>
      <c r="E29" s="2817">
        <v>1</v>
      </c>
      <c r="F29" s="2818" t="s">
        <v>2437</v>
      </c>
      <c r="G29" s="2818"/>
    </row>
    <row r="30" spans="1:13" ht="19.5" customHeight="1">
      <c r="A30" s="3591"/>
      <c r="B30" s="3587"/>
      <c r="C30" s="2819" t="s">
        <v>2438</v>
      </c>
      <c r="D30" s="2820"/>
      <c r="E30" s="2821">
        <v>1</v>
      </c>
      <c r="F30" s="2818" t="s">
        <v>2439</v>
      </c>
      <c r="G30" s="2818"/>
    </row>
    <row r="31" spans="1:13" ht="19.5" customHeight="1">
      <c r="A31" s="3591"/>
      <c r="B31" s="3587"/>
      <c r="C31" s="2819" t="s">
        <v>2440</v>
      </c>
      <c r="D31" s="2820"/>
      <c r="E31" s="2821">
        <v>0.8</v>
      </c>
      <c r="F31" s="2818" t="s">
        <v>2441</v>
      </c>
      <c r="G31" s="2818"/>
    </row>
    <row r="32" spans="1:13" ht="19.5" customHeight="1">
      <c r="A32" s="3591"/>
      <c r="B32" s="3587"/>
      <c r="C32" s="2819" t="s">
        <v>2442</v>
      </c>
      <c r="D32" s="2820"/>
      <c r="E32" s="2821">
        <v>0.8</v>
      </c>
      <c r="F32" s="2818" t="s">
        <v>2443</v>
      </c>
      <c r="G32" s="2818"/>
    </row>
    <row r="33" spans="1:7" ht="19.5" customHeight="1">
      <c r="A33" s="3591"/>
      <c r="B33" s="3587"/>
      <c r="C33" s="2819" t="s">
        <v>2444</v>
      </c>
      <c r="D33" s="2820"/>
      <c r="E33" s="2821">
        <v>0.8</v>
      </c>
      <c r="F33" s="2818" t="s">
        <v>2445</v>
      </c>
      <c r="G33" s="2818"/>
    </row>
    <row r="34" spans="1:7" ht="19.5" customHeight="1">
      <c r="A34" s="3591"/>
      <c r="B34" s="3587"/>
      <c r="C34" s="2819" t="s">
        <v>2446</v>
      </c>
      <c r="D34" s="2820"/>
      <c r="E34" s="2821">
        <v>0.7</v>
      </c>
      <c r="F34" s="2818" t="s">
        <v>2447</v>
      </c>
      <c r="G34" s="2818"/>
    </row>
    <row r="35" spans="1:7" ht="19.5" customHeight="1">
      <c r="A35" s="3591"/>
      <c r="B35" s="3587"/>
      <c r="C35" s="2819" t="s">
        <v>2448</v>
      </c>
      <c r="D35" s="2820"/>
      <c r="E35" s="2821">
        <v>0.8</v>
      </c>
      <c r="F35" s="2818" t="s">
        <v>2449</v>
      </c>
      <c r="G35" s="2818"/>
    </row>
    <row r="36" spans="1:7" ht="19.5" customHeight="1">
      <c r="A36" s="3591"/>
      <c r="B36" s="3587"/>
      <c r="C36" s="2819" t="s">
        <v>2450</v>
      </c>
      <c r="D36" s="2820"/>
      <c r="E36" s="2821">
        <v>0.6</v>
      </c>
      <c r="F36" s="2818" t="s">
        <v>2451</v>
      </c>
      <c r="G36" s="2818"/>
    </row>
    <row r="37" spans="1:7" ht="19.5" customHeight="1">
      <c r="A37" s="3591"/>
      <c r="B37" s="3587"/>
      <c r="C37" s="2819" t="s">
        <v>2452</v>
      </c>
      <c r="D37" s="2820"/>
      <c r="E37" s="2821">
        <v>0.2</v>
      </c>
      <c r="F37" s="2818" t="s">
        <v>2453</v>
      </c>
      <c r="G37" s="2818"/>
    </row>
    <row r="38" spans="1:7" ht="19.5" customHeight="1">
      <c r="A38" s="3591"/>
      <c r="B38" s="3587"/>
      <c r="C38" s="2819" t="s">
        <v>2454</v>
      </c>
      <c r="D38" s="2820"/>
      <c r="E38" s="2821">
        <v>0.2</v>
      </c>
      <c r="F38" s="2818" t="s">
        <v>2455</v>
      </c>
      <c r="G38" s="2818"/>
    </row>
    <row r="39" spans="1:7" ht="19.5" customHeight="1">
      <c r="A39" s="3591"/>
      <c r="B39" s="3585" t="s">
        <v>2616</v>
      </c>
      <c r="C39" s="2819" t="s">
        <v>2456</v>
      </c>
      <c r="D39" s="2820"/>
      <c r="E39" s="2821">
        <v>0.6</v>
      </c>
      <c r="F39" s="2818" t="s">
        <v>2457</v>
      </c>
      <c r="G39" s="2818"/>
    </row>
    <row r="40" spans="1:7" ht="19.5" customHeight="1">
      <c r="A40" s="3591"/>
      <c r="B40" s="3587"/>
      <c r="C40" s="2819" t="s">
        <v>2458</v>
      </c>
      <c r="D40" s="2820"/>
      <c r="E40" s="2821">
        <v>0.6</v>
      </c>
      <c r="F40" s="2818" t="s">
        <v>2459</v>
      </c>
      <c r="G40" s="2818"/>
    </row>
    <row r="41" spans="1:7" ht="19.5" customHeight="1" thickBot="1">
      <c r="A41" s="3592"/>
      <c r="B41" s="3594"/>
      <c r="C41" s="2822" t="s">
        <v>2460</v>
      </c>
      <c r="D41" s="2823"/>
      <c r="E41" s="2824">
        <v>0.6</v>
      </c>
      <c r="F41" s="2818" t="s">
        <v>2461</v>
      </c>
      <c r="G41" s="2818"/>
    </row>
    <row r="42" spans="1:7" ht="19.5" customHeight="1" thickBot="1">
      <c r="A42" s="2825" t="s">
        <v>2593</v>
      </c>
      <c r="B42" s="2826" t="s">
        <v>2593</v>
      </c>
      <c r="C42" s="2827" t="s">
        <v>2617</v>
      </c>
      <c r="D42" s="2828"/>
      <c r="E42" s="2829">
        <v>1</v>
      </c>
      <c r="F42" s="2818" t="s">
        <v>2462</v>
      </c>
      <c r="G42" s="2818"/>
    </row>
    <row r="43" spans="1:7" ht="19.5" customHeight="1">
      <c r="A43" s="3595" t="s">
        <v>2594</v>
      </c>
      <c r="B43" s="3593" t="s">
        <v>2618</v>
      </c>
      <c r="C43" s="2815" t="s">
        <v>2463</v>
      </c>
      <c r="D43" s="2816"/>
      <c r="E43" s="2817">
        <v>1</v>
      </c>
      <c r="F43" s="2818" t="s">
        <v>2464</v>
      </c>
      <c r="G43" s="2818"/>
    </row>
    <row r="44" spans="1:7" ht="19.5" customHeight="1">
      <c r="A44" s="3596"/>
      <c r="B44" s="3587"/>
      <c r="C44" s="2819" t="s">
        <v>2465</v>
      </c>
      <c r="D44" s="2820"/>
      <c r="E44" s="2821">
        <v>1</v>
      </c>
      <c r="F44" s="2818" t="s">
        <v>2466</v>
      </c>
      <c r="G44" s="2818"/>
    </row>
    <row r="45" spans="1:7" ht="19.5" customHeight="1">
      <c r="A45" s="3596"/>
      <c r="B45" s="3586"/>
      <c r="C45" s="2819" t="s">
        <v>2467</v>
      </c>
      <c r="D45" s="2820"/>
      <c r="E45" s="2821">
        <v>1.5</v>
      </c>
      <c r="F45" s="2818" t="s">
        <v>2468</v>
      </c>
      <c r="G45" s="2818"/>
    </row>
    <row r="46" spans="1:7" ht="19.5" customHeight="1">
      <c r="A46" s="3596"/>
      <c r="B46" s="2830" t="s">
        <v>2619</v>
      </c>
      <c r="C46" s="2819" t="s">
        <v>2620</v>
      </c>
      <c r="D46" s="2820"/>
      <c r="E46" s="2821">
        <v>2</v>
      </c>
      <c r="F46" s="2818" t="s">
        <v>2469</v>
      </c>
      <c r="G46" s="2818"/>
    </row>
    <row r="47" spans="1:7" ht="19.5" customHeight="1">
      <c r="A47" s="3596"/>
      <c r="B47" s="3585" t="s">
        <v>2621</v>
      </c>
      <c r="C47" s="2819" t="s">
        <v>2470</v>
      </c>
      <c r="D47" s="2820"/>
      <c r="E47" s="2821">
        <v>1</v>
      </c>
      <c r="F47" s="2818" t="s">
        <v>2471</v>
      </c>
      <c r="G47" s="2818"/>
    </row>
    <row r="48" spans="1:7" ht="19.5" customHeight="1">
      <c r="A48" s="3596"/>
      <c r="B48" s="3587"/>
      <c r="C48" s="2819" t="s">
        <v>2472</v>
      </c>
      <c r="D48" s="2820"/>
      <c r="E48" s="2821">
        <v>1</v>
      </c>
      <c r="F48" s="2818" t="s">
        <v>2473</v>
      </c>
      <c r="G48" s="2818"/>
    </row>
    <row r="49" spans="1:7" ht="19.5" customHeight="1">
      <c r="A49" s="3596"/>
      <c r="B49" s="3587"/>
      <c r="C49" s="2819" t="s">
        <v>2474</v>
      </c>
      <c r="D49" s="2820"/>
      <c r="E49" s="2821">
        <v>1</v>
      </c>
      <c r="F49" s="2818" t="s">
        <v>2475</v>
      </c>
      <c r="G49" s="2818"/>
    </row>
    <row r="50" spans="1:7" ht="19.5" customHeight="1">
      <c r="A50" s="3596"/>
      <c r="B50" s="3587"/>
      <c r="C50" s="2819" t="s">
        <v>2476</v>
      </c>
      <c r="D50" s="2820"/>
      <c r="E50" s="2821">
        <v>1</v>
      </c>
      <c r="F50" s="2818" t="s">
        <v>2477</v>
      </c>
      <c r="G50" s="2818"/>
    </row>
    <row r="51" spans="1:7" ht="19.5" customHeight="1">
      <c r="A51" s="3596"/>
      <c r="B51" s="3587"/>
      <c r="C51" s="2819" t="s">
        <v>2478</v>
      </c>
      <c r="D51" s="2820"/>
      <c r="E51" s="2821">
        <v>1</v>
      </c>
      <c r="F51" s="2818" t="s">
        <v>2479</v>
      </c>
      <c r="G51" s="2818"/>
    </row>
    <row r="52" spans="1:7" ht="19.5" customHeight="1">
      <c r="A52" s="3596"/>
      <c r="B52" s="3587"/>
      <c r="C52" s="2819" t="s">
        <v>2480</v>
      </c>
      <c r="D52" s="2820"/>
      <c r="E52" s="2821">
        <v>1</v>
      </c>
      <c r="F52" s="2818" t="s">
        <v>2481</v>
      </c>
      <c r="G52" s="2818"/>
    </row>
    <row r="53" spans="1:7" ht="19.5" customHeight="1" thickBot="1">
      <c r="A53" s="3597"/>
      <c r="B53" s="3594"/>
      <c r="C53" s="2822" t="s">
        <v>2482</v>
      </c>
      <c r="D53" s="2823"/>
      <c r="E53" s="2824">
        <v>1</v>
      </c>
      <c r="F53" s="2818" t="s">
        <v>2483</v>
      </c>
      <c r="G53" s="2818"/>
    </row>
    <row r="54" spans="1:7" ht="19.5" customHeight="1">
      <c r="A54" s="2831"/>
      <c r="B54" s="2831"/>
      <c r="C54" s="2831"/>
      <c r="D54" s="2831"/>
      <c r="E54" s="2831"/>
      <c r="F54" s="2831"/>
      <c r="G54" s="2831"/>
    </row>
    <row r="56" spans="1:7" ht="19.5" customHeight="1">
      <c r="A56" s="2832"/>
      <c r="B56" s="2804" t="s">
        <v>2622</v>
      </c>
      <c r="C56" s="2804" t="s">
        <v>2622</v>
      </c>
      <c r="D56" s="2804" t="s">
        <v>2622</v>
      </c>
      <c r="E56" s="2807" t="s">
        <v>2622</v>
      </c>
      <c r="F56" s="2807" t="s">
        <v>2623</v>
      </c>
      <c r="G56" s="2807" t="s">
        <v>2624</v>
      </c>
    </row>
    <row r="57" spans="1:7" ht="19.5" customHeight="1">
      <c r="A57" s="2833"/>
      <c r="B57" s="2807" t="s">
        <v>2591</v>
      </c>
      <c r="C57" s="2807" t="s">
        <v>2591</v>
      </c>
      <c r="D57" s="2807" t="s">
        <v>2591</v>
      </c>
      <c r="E57" s="2804" t="s">
        <v>2592</v>
      </c>
      <c r="F57" s="2804" t="s">
        <v>2594</v>
      </c>
      <c r="G57" s="2804" t="s">
        <v>2625</v>
      </c>
    </row>
    <row r="58" spans="1:7" ht="19.5" customHeight="1">
      <c r="A58" s="2834"/>
      <c r="B58" s="2804">
        <v>1</v>
      </c>
      <c r="C58" s="2804">
        <v>2</v>
      </c>
      <c r="D58" s="2804">
        <v>3</v>
      </c>
      <c r="E58" s="2835" t="s">
        <v>2626</v>
      </c>
      <c r="F58" s="2835" t="s">
        <v>2626</v>
      </c>
      <c r="G58" s="2835" t="s">
        <v>2626</v>
      </c>
    </row>
    <row r="59" spans="1:7" ht="19.5" customHeight="1">
      <c r="A59" s="2836" t="s">
        <v>2579</v>
      </c>
      <c r="B59" s="2804">
        <v>0.7</v>
      </c>
      <c r="C59" s="2804">
        <v>0.4</v>
      </c>
      <c r="D59" s="2804">
        <v>0.3</v>
      </c>
      <c r="E59" s="2835">
        <v>0.3</v>
      </c>
      <c r="F59" s="2804">
        <v>0.3</v>
      </c>
      <c r="G59" s="2804">
        <v>0.2</v>
      </c>
    </row>
    <row r="60" spans="1:7" ht="19.5" customHeight="1">
      <c r="A60" s="2836" t="s">
        <v>2580</v>
      </c>
      <c r="B60" s="2804">
        <v>0.7</v>
      </c>
      <c r="C60" s="2804">
        <v>0.4</v>
      </c>
      <c r="D60" s="2804">
        <v>0.3</v>
      </c>
      <c r="E60" s="2804">
        <v>0.3</v>
      </c>
      <c r="F60" s="2804">
        <v>0.3</v>
      </c>
      <c r="G60" s="2804">
        <v>0.2</v>
      </c>
    </row>
    <row r="61" spans="1:7" ht="19.5" customHeight="1">
      <c r="A61" s="2836" t="s">
        <v>2581</v>
      </c>
      <c r="B61" s="2804">
        <v>0.6</v>
      </c>
      <c r="C61" s="2804">
        <v>0.3</v>
      </c>
      <c r="D61" s="2804">
        <v>0.25</v>
      </c>
      <c r="E61" s="2804">
        <v>0.25</v>
      </c>
      <c r="F61" s="2804">
        <v>0.25</v>
      </c>
      <c r="G61" s="2804">
        <v>0.15</v>
      </c>
    </row>
    <row r="62" spans="1:7" ht="19.5" customHeight="1">
      <c r="A62" s="2836" t="s">
        <v>2582</v>
      </c>
      <c r="B62" s="2804">
        <v>0.6</v>
      </c>
      <c r="C62" s="2804">
        <v>0.3</v>
      </c>
      <c r="D62" s="2804">
        <v>0.25</v>
      </c>
      <c r="E62" s="2804">
        <v>0.25</v>
      </c>
      <c r="F62" s="2804">
        <v>0.25</v>
      </c>
      <c r="G62" s="2804">
        <v>0.15</v>
      </c>
    </row>
    <row r="63" spans="1:7" ht="19.5" customHeight="1">
      <c r="A63" s="2836" t="s">
        <v>2583</v>
      </c>
      <c r="B63" s="2804">
        <v>0.6</v>
      </c>
      <c r="C63" s="2804">
        <v>0.3</v>
      </c>
      <c r="D63" s="2804">
        <v>0.25</v>
      </c>
      <c r="E63" s="2804">
        <v>0.25</v>
      </c>
      <c r="F63" s="2804">
        <v>0.25</v>
      </c>
      <c r="G63" s="2804">
        <v>0.15</v>
      </c>
    </row>
    <row r="64" spans="1:7" ht="19.5" customHeight="1">
      <c r="A64" s="2836" t="s">
        <v>2584</v>
      </c>
      <c r="B64" s="2804">
        <v>0.6</v>
      </c>
      <c r="C64" s="2804">
        <v>0.3</v>
      </c>
      <c r="D64" s="2804">
        <v>0.25</v>
      </c>
      <c r="E64" s="2804">
        <v>0.25</v>
      </c>
      <c r="F64" s="2804">
        <v>0.25</v>
      </c>
      <c r="G64" s="2804">
        <v>0.15</v>
      </c>
    </row>
    <row r="65" spans="1:7" ht="19.5" customHeight="1">
      <c r="A65" s="2836" t="s">
        <v>2585</v>
      </c>
      <c r="B65" s="2804">
        <v>0.6</v>
      </c>
      <c r="C65" s="2804">
        <v>0.3</v>
      </c>
      <c r="D65" s="2804">
        <v>0.25</v>
      </c>
      <c r="E65" s="2804">
        <v>0.25</v>
      </c>
      <c r="F65" s="2804">
        <v>0.25</v>
      </c>
      <c r="G65" s="2804">
        <v>0.15</v>
      </c>
    </row>
    <row r="66" spans="1:7" ht="19.5" customHeight="1">
      <c r="A66" s="2836" t="s">
        <v>2586</v>
      </c>
      <c r="B66" s="2804">
        <v>0.5</v>
      </c>
      <c r="C66" s="2804">
        <v>0.2</v>
      </c>
      <c r="D66" s="2804">
        <v>0.2</v>
      </c>
      <c r="E66" s="2804">
        <v>0.2</v>
      </c>
      <c r="F66" s="2804">
        <v>0.2</v>
      </c>
      <c r="G66" s="2804">
        <v>0.1</v>
      </c>
    </row>
    <row r="67" spans="1:7" ht="19.5" customHeight="1">
      <c r="A67" s="2836" t="s">
        <v>2587</v>
      </c>
      <c r="B67" s="2804">
        <v>0.5</v>
      </c>
      <c r="C67" s="2804">
        <v>0.2</v>
      </c>
      <c r="D67" s="2804">
        <v>0.2</v>
      </c>
      <c r="E67" s="2804">
        <v>0.2</v>
      </c>
      <c r="F67" s="2804">
        <v>0.2</v>
      </c>
      <c r="G67" s="2804">
        <v>0.1</v>
      </c>
    </row>
    <row r="68" spans="1:7" ht="19.5" customHeight="1">
      <c r="A68" s="2836" t="s">
        <v>2588</v>
      </c>
      <c r="B68" s="2804">
        <v>0.5</v>
      </c>
      <c r="C68" s="2804">
        <v>0.2</v>
      </c>
      <c r="D68" s="2804">
        <v>0.2</v>
      </c>
      <c r="E68" s="2804">
        <v>0.2</v>
      </c>
      <c r="F68" s="2804">
        <v>0.2</v>
      </c>
      <c r="G68" s="2804">
        <v>0.1</v>
      </c>
    </row>
    <row r="69" spans="1:7" ht="19.5" customHeight="1">
      <c r="A69" s="2836" t="s">
        <v>2589</v>
      </c>
      <c r="B69" s="2804">
        <v>0.5</v>
      </c>
      <c r="C69" s="2804">
        <v>0.2</v>
      </c>
      <c r="D69" s="2804">
        <v>0.2</v>
      </c>
      <c r="E69" s="2804">
        <v>0.2</v>
      </c>
      <c r="F69" s="2804">
        <v>0.2</v>
      </c>
      <c r="G69" s="2804">
        <v>0.1</v>
      </c>
    </row>
    <row r="70" spans="1:7" ht="19.5" customHeight="1">
      <c r="A70" s="2836" t="s">
        <v>2590</v>
      </c>
      <c r="B70" s="2804">
        <v>0.5</v>
      </c>
      <c r="C70" s="2804">
        <v>0.2</v>
      </c>
      <c r="D70" s="2804">
        <v>0.2</v>
      </c>
      <c r="E70" s="2804">
        <v>0.2</v>
      </c>
      <c r="F70" s="2804">
        <v>0.2</v>
      </c>
      <c r="G70" s="2804">
        <v>0.1</v>
      </c>
    </row>
    <row r="72" spans="1:7" ht="19.5" customHeight="1">
      <c r="A72" s="2818"/>
      <c r="B72" s="2837"/>
      <c r="C72" s="2837"/>
      <c r="D72" s="2837" t="s">
        <v>2627</v>
      </c>
      <c r="E72" s="2837"/>
      <c r="F72" s="2837"/>
    </row>
    <row r="73" spans="1:7" ht="19.5" customHeight="1">
      <c r="A73" s="2830" t="s">
        <v>2628</v>
      </c>
      <c r="B73" s="2830" t="s">
        <v>2629</v>
      </c>
      <c r="C73" s="2830" t="s">
        <v>2630</v>
      </c>
      <c r="D73" s="2830" t="s">
        <v>2631</v>
      </c>
      <c r="E73" s="2830" t="s">
        <v>2632</v>
      </c>
      <c r="F73" s="2830" t="s">
        <v>2633</v>
      </c>
    </row>
    <row r="74" spans="1:7" ht="13.5">
      <c r="A74" s="2830"/>
      <c r="B74" s="2830"/>
      <c r="C74" s="2830" t="s">
        <v>2634</v>
      </c>
      <c r="D74" s="2830"/>
      <c r="E74" s="2830" t="s">
        <v>2605</v>
      </c>
      <c r="F74" s="2830" t="s">
        <v>2605</v>
      </c>
    </row>
    <row r="75" spans="1:7" ht="13.5">
      <c r="A75" s="2830">
        <v>1</v>
      </c>
      <c r="B75" s="3585" t="s">
        <v>2635</v>
      </c>
      <c r="C75" s="2804" t="s">
        <v>2636</v>
      </c>
      <c r="D75" s="2804" t="s">
        <v>2637</v>
      </c>
      <c r="E75" s="2830">
        <v>0.2</v>
      </c>
      <c r="F75" s="2830">
        <v>25</v>
      </c>
    </row>
    <row r="76" spans="1:7" ht="24">
      <c r="A76" s="2830">
        <v>2</v>
      </c>
      <c r="B76" s="3587"/>
      <c r="C76" s="2804" t="s">
        <v>2638</v>
      </c>
      <c r="D76" s="2804" t="s">
        <v>2639</v>
      </c>
      <c r="E76" s="2830">
        <v>0.2</v>
      </c>
      <c r="F76" s="2830">
        <v>25</v>
      </c>
    </row>
    <row r="77" spans="1:7" ht="24">
      <c r="A77" s="2830">
        <v>3</v>
      </c>
      <c r="B77" s="3587"/>
      <c r="C77" s="2804" t="s">
        <v>2640</v>
      </c>
      <c r="D77" s="2804" t="s">
        <v>2641</v>
      </c>
      <c r="E77" s="2830">
        <v>0.2</v>
      </c>
      <c r="F77" s="2830">
        <v>25</v>
      </c>
    </row>
    <row r="78" spans="1:7" ht="13.5">
      <c r="A78" s="2830">
        <v>4</v>
      </c>
      <c r="B78" s="3587"/>
      <c r="C78" s="2804" t="s">
        <v>2642</v>
      </c>
      <c r="D78" s="2804" t="s">
        <v>2643</v>
      </c>
      <c r="E78" s="2830">
        <v>0.15</v>
      </c>
      <c r="F78" s="2830">
        <v>20</v>
      </c>
    </row>
    <row r="79" spans="1:7" ht="24">
      <c r="A79" s="2830">
        <v>5</v>
      </c>
      <c r="B79" s="3587"/>
      <c r="C79" s="2804" t="s">
        <v>2644</v>
      </c>
      <c r="D79" s="2804" t="s">
        <v>2645</v>
      </c>
      <c r="E79" s="2830">
        <v>0.15</v>
      </c>
      <c r="F79" s="2830">
        <v>20</v>
      </c>
    </row>
    <row r="80" spans="1:7" ht="24">
      <c r="A80" s="2830">
        <v>6</v>
      </c>
      <c r="B80" s="3587"/>
      <c r="C80" s="2804" t="s">
        <v>2646</v>
      </c>
      <c r="D80" s="2804" t="s">
        <v>2647</v>
      </c>
      <c r="E80" s="2830">
        <v>0.15</v>
      </c>
      <c r="F80" s="2830">
        <v>20</v>
      </c>
    </row>
    <row r="81" spans="1:6" ht="24">
      <c r="A81" s="2830">
        <v>7</v>
      </c>
      <c r="B81" s="3587"/>
      <c r="C81" s="2804" t="s">
        <v>2648</v>
      </c>
      <c r="D81" s="2804" t="s">
        <v>2649</v>
      </c>
      <c r="E81" s="2830">
        <v>0.15</v>
      </c>
      <c r="F81" s="2830">
        <v>20</v>
      </c>
    </row>
    <row r="82" spans="1:6" ht="24">
      <c r="A82" s="2830">
        <v>8</v>
      </c>
      <c r="B82" s="3587"/>
      <c r="C82" s="2804" t="s">
        <v>2650</v>
      </c>
      <c r="D82" s="2804" t="s">
        <v>2651</v>
      </c>
      <c r="E82" s="2830">
        <v>0.1</v>
      </c>
      <c r="F82" s="2830">
        <v>15</v>
      </c>
    </row>
    <row r="83" spans="1:6" ht="24">
      <c r="A83" s="2830">
        <v>9</v>
      </c>
      <c r="B83" s="3587"/>
      <c r="C83" s="2804" t="s">
        <v>2652</v>
      </c>
      <c r="D83" s="2804" t="s">
        <v>2653</v>
      </c>
      <c r="E83" s="2830">
        <v>0.1</v>
      </c>
      <c r="F83" s="2830">
        <v>15</v>
      </c>
    </row>
    <row r="84" spans="1:6" ht="24">
      <c r="A84" s="2830">
        <v>10</v>
      </c>
      <c r="B84" s="3587"/>
      <c r="C84" s="2804" t="s">
        <v>2654</v>
      </c>
      <c r="D84" s="2804" t="s">
        <v>2655</v>
      </c>
      <c r="E84" s="2830">
        <v>0.1</v>
      </c>
      <c r="F84" s="2830">
        <v>15</v>
      </c>
    </row>
    <row r="85" spans="1:6" ht="24">
      <c r="A85" s="2830">
        <v>11</v>
      </c>
      <c r="B85" s="3587"/>
      <c r="C85" s="2804" t="s">
        <v>2656</v>
      </c>
      <c r="D85" s="2804" t="s">
        <v>2657</v>
      </c>
      <c r="E85" s="2830">
        <v>0.1</v>
      </c>
      <c r="F85" s="2830">
        <v>15</v>
      </c>
    </row>
    <row r="86" spans="1:6" ht="24">
      <c r="A86" s="2830">
        <v>12</v>
      </c>
      <c r="B86" s="3587"/>
      <c r="C86" s="2804" t="s">
        <v>2658</v>
      </c>
      <c r="D86" s="2804" t="s">
        <v>2659</v>
      </c>
      <c r="E86" s="2830">
        <v>0.1</v>
      </c>
      <c r="F86" s="2830">
        <v>15</v>
      </c>
    </row>
    <row r="87" spans="1:6" ht="13.5">
      <c r="A87" s="2830">
        <v>13</v>
      </c>
      <c r="B87" s="3587"/>
      <c r="C87" s="2804" t="s">
        <v>2660</v>
      </c>
      <c r="D87" s="2804" t="s">
        <v>2661</v>
      </c>
      <c r="E87" s="2830">
        <v>0.1</v>
      </c>
      <c r="F87" s="2830">
        <v>15</v>
      </c>
    </row>
    <row r="88" spans="1:6" ht="13.5">
      <c r="A88" s="2830">
        <v>14</v>
      </c>
      <c r="B88" s="3587"/>
      <c r="C88" s="2804" t="s">
        <v>2662</v>
      </c>
      <c r="D88" s="2804" t="s">
        <v>2663</v>
      </c>
      <c r="E88" s="2830">
        <v>0.1</v>
      </c>
      <c r="F88" s="2830">
        <v>15</v>
      </c>
    </row>
    <row r="89" spans="1:6" ht="13.5">
      <c r="A89" s="2830">
        <v>15</v>
      </c>
      <c r="B89" s="3587"/>
      <c r="C89" s="2804" t="s">
        <v>2664</v>
      </c>
      <c r="D89" s="2804" t="s">
        <v>2665</v>
      </c>
      <c r="E89" s="2830">
        <v>0.1</v>
      </c>
      <c r="F89" s="2830">
        <v>15</v>
      </c>
    </row>
    <row r="90" spans="1:6" ht="24">
      <c r="A90" s="2830">
        <v>16</v>
      </c>
      <c r="B90" s="3587"/>
      <c r="C90" s="2804" t="s">
        <v>2666</v>
      </c>
      <c r="D90" s="2804" t="s">
        <v>2667</v>
      </c>
      <c r="E90" s="2830">
        <v>0.1</v>
      </c>
      <c r="F90" s="2830">
        <v>15</v>
      </c>
    </row>
    <row r="91" spans="1:6" ht="24">
      <c r="A91" s="2830">
        <v>17</v>
      </c>
      <c r="B91" s="3586"/>
      <c r="C91" s="2804" t="s">
        <v>2668</v>
      </c>
      <c r="D91" s="2804" t="s">
        <v>2669</v>
      </c>
      <c r="E91" s="2830">
        <v>0.1</v>
      </c>
      <c r="F91" s="2830">
        <v>15</v>
      </c>
    </row>
    <row r="92" spans="1:6" ht="13.5">
      <c r="A92" s="2830">
        <v>18</v>
      </c>
      <c r="B92" s="3585" t="s">
        <v>2670</v>
      </c>
      <c r="C92" s="2804" t="s">
        <v>2671</v>
      </c>
      <c r="D92" s="2804" t="s">
        <v>2672</v>
      </c>
      <c r="E92" s="2830">
        <v>0.2</v>
      </c>
      <c r="F92" s="2830">
        <v>25</v>
      </c>
    </row>
    <row r="93" spans="1:6" ht="24">
      <c r="A93" s="2830">
        <v>19</v>
      </c>
      <c r="B93" s="3587"/>
      <c r="C93" s="2804" t="s">
        <v>2673</v>
      </c>
      <c r="D93" s="2804" t="s">
        <v>2674</v>
      </c>
      <c r="E93" s="2830">
        <v>0.2</v>
      </c>
      <c r="F93" s="2830">
        <v>25</v>
      </c>
    </row>
    <row r="94" spans="1:6" ht="13.5">
      <c r="A94" s="2830">
        <v>20</v>
      </c>
      <c r="B94" s="3587"/>
      <c r="C94" s="2804" t="s">
        <v>2675</v>
      </c>
      <c r="D94" s="2804" t="s">
        <v>2676</v>
      </c>
      <c r="E94" s="2830">
        <v>0.15</v>
      </c>
      <c r="F94" s="2830">
        <v>20</v>
      </c>
    </row>
    <row r="95" spans="1:6" ht="13.5">
      <c r="A95" s="2830">
        <v>21</v>
      </c>
      <c r="B95" s="3587"/>
      <c r="C95" s="2804" t="s">
        <v>2677</v>
      </c>
      <c r="D95" s="2804" t="s">
        <v>2678</v>
      </c>
      <c r="E95" s="2830">
        <v>0.15</v>
      </c>
      <c r="F95" s="2830">
        <v>20</v>
      </c>
    </row>
    <row r="96" spans="1:6" ht="13.5">
      <c r="A96" s="2830">
        <v>22</v>
      </c>
      <c r="B96" s="3587"/>
      <c r="C96" s="2804" t="s">
        <v>2679</v>
      </c>
      <c r="D96" s="2804" t="s">
        <v>2680</v>
      </c>
      <c r="E96" s="2830">
        <v>0.15</v>
      </c>
      <c r="F96" s="2830">
        <v>20</v>
      </c>
    </row>
    <row r="97" spans="1:6" ht="36">
      <c r="A97" s="2830">
        <v>23</v>
      </c>
      <c r="B97" s="3587"/>
      <c r="C97" s="2804" t="s">
        <v>2681</v>
      </c>
      <c r="D97" s="2804" t="s">
        <v>2682</v>
      </c>
      <c r="E97" s="2830">
        <v>0.15</v>
      </c>
      <c r="F97" s="2830">
        <v>20</v>
      </c>
    </row>
    <row r="98" spans="1:6" ht="13.5">
      <c r="A98" s="2830">
        <v>24</v>
      </c>
      <c r="B98" s="3587"/>
      <c r="C98" s="2804" t="s">
        <v>2683</v>
      </c>
      <c r="D98" s="2804" t="s">
        <v>2684</v>
      </c>
      <c r="E98" s="2830">
        <v>0.1</v>
      </c>
      <c r="F98" s="2830">
        <v>15</v>
      </c>
    </row>
    <row r="99" spans="1:6" ht="13.5">
      <c r="A99" s="2830">
        <v>25</v>
      </c>
      <c r="B99" s="3587"/>
      <c r="C99" s="2804" t="s">
        <v>2685</v>
      </c>
      <c r="D99" s="2804" t="s">
        <v>2686</v>
      </c>
      <c r="E99" s="2830">
        <v>0.1</v>
      </c>
      <c r="F99" s="2830">
        <v>15</v>
      </c>
    </row>
    <row r="100" spans="1:6" ht="24">
      <c r="A100" s="2830">
        <v>26</v>
      </c>
      <c r="B100" s="3587"/>
      <c r="C100" s="2804" t="s">
        <v>2687</v>
      </c>
      <c r="D100" s="2804" t="s">
        <v>2688</v>
      </c>
      <c r="E100" s="2830">
        <v>0.1</v>
      </c>
      <c r="F100" s="2830">
        <v>15</v>
      </c>
    </row>
    <row r="101" spans="1:6" ht="24">
      <c r="A101" s="2830">
        <v>27</v>
      </c>
      <c r="B101" s="3587"/>
      <c r="C101" s="2804" t="s">
        <v>2689</v>
      </c>
      <c r="D101" s="2804" t="s">
        <v>2690</v>
      </c>
      <c r="E101" s="2830">
        <v>0.1</v>
      </c>
      <c r="F101" s="2830">
        <v>15</v>
      </c>
    </row>
    <row r="102" spans="1:6" ht="13.5">
      <c r="A102" s="2830">
        <v>28</v>
      </c>
      <c r="B102" s="3587"/>
      <c r="C102" s="2804" t="s">
        <v>2691</v>
      </c>
      <c r="D102" s="2804" t="s">
        <v>2692</v>
      </c>
      <c r="E102" s="2830">
        <v>0.1</v>
      </c>
      <c r="F102" s="2830">
        <v>15</v>
      </c>
    </row>
    <row r="103" spans="1:6" ht="13.5">
      <c r="A103" s="2830">
        <v>29</v>
      </c>
      <c r="B103" s="3587"/>
      <c r="C103" s="2804" t="s">
        <v>2693</v>
      </c>
      <c r="D103" s="2804" t="s">
        <v>2694</v>
      </c>
      <c r="E103" s="2830">
        <v>0.1</v>
      </c>
      <c r="F103" s="2830">
        <v>15</v>
      </c>
    </row>
    <row r="104" spans="1:6" ht="13.5">
      <c r="A104" s="2830">
        <v>30</v>
      </c>
      <c r="B104" s="3587"/>
      <c r="C104" s="2804" t="s">
        <v>2695</v>
      </c>
      <c r="D104" s="2804" t="s">
        <v>2696</v>
      </c>
      <c r="E104" s="2830">
        <v>0.1</v>
      </c>
      <c r="F104" s="2830">
        <v>15</v>
      </c>
    </row>
    <row r="105" spans="1:6" ht="24">
      <c r="A105" s="2830">
        <v>31</v>
      </c>
      <c r="B105" s="3587"/>
      <c r="C105" s="2804" t="s">
        <v>2697</v>
      </c>
      <c r="D105" s="2804" t="s">
        <v>2698</v>
      </c>
      <c r="E105" s="2830">
        <v>0.1</v>
      </c>
      <c r="F105" s="2830">
        <v>15</v>
      </c>
    </row>
    <row r="106" spans="1:6" ht="24">
      <c r="A106" s="2830">
        <v>32</v>
      </c>
      <c r="B106" s="3587"/>
      <c r="C106" s="2804" t="s">
        <v>2699</v>
      </c>
      <c r="D106" s="2804" t="s">
        <v>2700</v>
      </c>
      <c r="E106" s="2830">
        <v>0.1</v>
      </c>
      <c r="F106" s="2830">
        <v>15</v>
      </c>
    </row>
    <row r="107" spans="1:6" ht="24">
      <c r="A107" s="2830">
        <v>33</v>
      </c>
      <c r="B107" s="3587"/>
      <c r="C107" s="2804" t="s">
        <v>2701</v>
      </c>
      <c r="D107" s="2804" t="s">
        <v>2702</v>
      </c>
      <c r="E107" s="2830">
        <v>0.1</v>
      </c>
      <c r="F107" s="2830">
        <v>15</v>
      </c>
    </row>
    <row r="108" spans="1:6" ht="24">
      <c r="A108" s="2830">
        <v>34</v>
      </c>
      <c r="B108" s="3586"/>
      <c r="C108" s="2804" t="s">
        <v>2703</v>
      </c>
      <c r="D108" s="2804" t="s">
        <v>2704</v>
      </c>
      <c r="E108" s="2830">
        <v>0.1</v>
      </c>
      <c r="F108" s="2830">
        <v>15</v>
      </c>
    </row>
    <row r="109" spans="1:6" ht="24">
      <c r="A109" s="2830">
        <v>35</v>
      </c>
      <c r="B109" s="3585" t="s">
        <v>2705</v>
      </c>
      <c r="C109" s="2830" t="s">
        <v>2706</v>
      </c>
      <c r="D109" s="2804" t="s">
        <v>2707</v>
      </c>
      <c r="E109" s="2830">
        <v>0.15</v>
      </c>
      <c r="F109" s="2830">
        <v>20</v>
      </c>
    </row>
    <row r="110" spans="1:6" ht="13.5">
      <c r="A110" s="2830">
        <v>36</v>
      </c>
      <c r="B110" s="3587"/>
      <c r="C110" s="2830" t="s">
        <v>2708</v>
      </c>
      <c r="D110" s="2804" t="s">
        <v>2709</v>
      </c>
      <c r="E110" s="2830">
        <v>0.15</v>
      </c>
      <c r="F110" s="2830">
        <v>20</v>
      </c>
    </row>
    <row r="111" spans="1:6" ht="13.5">
      <c r="A111" s="2830">
        <v>37</v>
      </c>
      <c r="B111" s="3587"/>
      <c r="C111" s="2830" t="s">
        <v>2710</v>
      </c>
      <c r="D111" s="2804" t="s">
        <v>2711</v>
      </c>
      <c r="E111" s="2830">
        <v>0.15</v>
      </c>
      <c r="F111" s="2830">
        <v>20</v>
      </c>
    </row>
    <row r="112" spans="1:6" ht="13.5">
      <c r="A112" s="2830">
        <v>38</v>
      </c>
      <c r="B112" s="3587"/>
      <c r="C112" s="2830" t="s">
        <v>2712</v>
      </c>
      <c r="D112" s="2804" t="s">
        <v>2713</v>
      </c>
      <c r="E112" s="2830">
        <v>0.1</v>
      </c>
      <c r="F112" s="2830">
        <v>15</v>
      </c>
    </row>
    <row r="113" spans="1:6" ht="24">
      <c r="A113" s="2830">
        <v>39</v>
      </c>
      <c r="B113" s="3587"/>
      <c r="C113" s="2830" t="s">
        <v>2714</v>
      </c>
      <c r="D113" s="2804" t="s">
        <v>2715</v>
      </c>
      <c r="E113" s="2830">
        <v>0.1</v>
      </c>
      <c r="F113" s="2830">
        <v>15</v>
      </c>
    </row>
    <row r="114" spans="1:6" ht="24">
      <c r="A114" s="2830">
        <v>40</v>
      </c>
      <c r="B114" s="3586"/>
      <c r="C114" s="2830" t="s">
        <v>2716</v>
      </c>
      <c r="D114" s="2804" t="s">
        <v>2717</v>
      </c>
      <c r="E114" s="2830">
        <v>0.1</v>
      </c>
      <c r="F114" s="2830">
        <v>15</v>
      </c>
    </row>
    <row r="115" spans="1:6" ht="13.5">
      <c r="A115" s="2830">
        <v>41</v>
      </c>
      <c r="B115" s="3584" t="s">
        <v>2718</v>
      </c>
      <c r="C115" s="2830" t="s">
        <v>2719</v>
      </c>
      <c r="D115" s="2804" t="s">
        <v>2720</v>
      </c>
      <c r="E115" s="2830">
        <v>0.1</v>
      </c>
      <c r="F115" s="2830">
        <v>15</v>
      </c>
    </row>
    <row r="116" spans="1:6" ht="13.5">
      <c r="A116" s="2830">
        <v>42</v>
      </c>
      <c r="B116" s="3584"/>
      <c r="C116" s="2830" t="s">
        <v>2721</v>
      </c>
      <c r="D116" s="2804" t="s">
        <v>2722</v>
      </c>
      <c r="E116" s="2830">
        <v>0.1</v>
      </c>
      <c r="F116" s="2830">
        <v>15</v>
      </c>
    </row>
    <row r="117" spans="1:6" ht="24">
      <c r="A117" s="2830">
        <v>43</v>
      </c>
      <c r="B117" s="3584"/>
      <c r="C117" s="2830" t="s">
        <v>2723</v>
      </c>
      <c r="D117" s="2804" t="s">
        <v>2724</v>
      </c>
      <c r="E117" s="2830">
        <v>0.1</v>
      </c>
      <c r="F117" s="2830">
        <v>15</v>
      </c>
    </row>
    <row r="118" spans="1:6" ht="13.5">
      <c r="A118" s="2830">
        <v>44</v>
      </c>
      <c r="B118" s="3585" t="s">
        <v>2725</v>
      </c>
      <c r="C118" s="2830" t="s">
        <v>2726</v>
      </c>
      <c r="D118" s="2804" t="s">
        <v>2727</v>
      </c>
      <c r="E118" s="2830">
        <v>0.1</v>
      </c>
      <c r="F118" s="2830">
        <v>15</v>
      </c>
    </row>
    <row r="119" spans="1:6" ht="24">
      <c r="A119" s="2830">
        <v>45</v>
      </c>
      <c r="B119" s="3586"/>
      <c r="C119" s="2804" t="s">
        <v>2728</v>
      </c>
      <c r="D119" s="2804" t="s">
        <v>2729</v>
      </c>
      <c r="E119" s="2830">
        <v>0.1</v>
      </c>
      <c r="F119" s="2830">
        <v>15</v>
      </c>
    </row>
    <row r="120" spans="1:6" ht="24">
      <c r="A120" s="2830">
        <v>46</v>
      </c>
      <c r="B120" s="3585" t="s">
        <v>2730</v>
      </c>
      <c r="C120" s="2830" t="s">
        <v>2731</v>
      </c>
      <c r="D120" s="2804" t="s">
        <v>2732</v>
      </c>
      <c r="E120" s="2830">
        <v>0.1</v>
      </c>
      <c r="F120" s="2830">
        <v>15</v>
      </c>
    </row>
    <row r="121" spans="1:6" ht="24">
      <c r="A121" s="2830">
        <v>47</v>
      </c>
      <c r="B121" s="3586"/>
      <c r="C121" s="2830" t="s">
        <v>2733</v>
      </c>
      <c r="D121" s="2804" t="s">
        <v>2734</v>
      </c>
      <c r="E121" s="2830">
        <v>0.1</v>
      </c>
      <c r="F121" s="2830">
        <v>15</v>
      </c>
    </row>
    <row r="122" spans="1:6" ht="13.5">
      <c r="A122" s="2830">
        <v>48</v>
      </c>
      <c r="B122" s="3585" t="s">
        <v>2735</v>
      </c>
      <c r="C122" s="2830" t="s">
        <v>2736</v>
      </c>
      <c r="D122" s="2804" t="s">
        <v>2737</v>
      </c>
      <c r="E122" s="2830">
        <v>0.1</v>
      </c>
      <c r="F122" s="2830">
        <v>15</v>
      </c>
    </row>
    <row r="123" spans="1:6" ht="13.5">
      <c r="A123" s="2830">
        <v>49</v>
      </c>
      <c r="B123" s="3586"/>
      <c r="C123" s="2830" t="s">
        <v>2738</v>
      </c>
      <c r="D123" s="2804" t="s">
        <v>2739</v>
      </c>
      <c r="E123" s="2830">
        <v>0.1</v>
      </c>
      <c r="F123" s="2830">
        <v>15</v>
      </c>
    </row>
    <row r="124" spans="1:6" ht="24">
      <c r="A124" s="2830">
        <v>50</v>
      </c>
      <c r="B124" s="3584" t="s">
        <v>2740</v>
      </c>
      <c r="C124" s="2830" t="s">
        <v>2741</v>
      </c>
      <c r="D124" s="2804" t="s">
        <v>2742</v>
      </c>
      <c r="E124" s="2830">
        <v>0.1</v>
      </c>
      <c r="F124" s="2830">
        <v>15</v>
      </c>
    </row>
    <row r="125" spans="1:6" ht="24">
      <c r="A125" s="2830">
        <v>51</v>
      </c>
      <c r="B125" s="3584"/>
      <c r="C125" s="2830" t="s">
        <v>2743</v>
      </c>
      <c r="D125" s="2804" t="s">
        <v>2744</v>
      </c>
      <c r="E125" s="2830">
        <v>0.1</v>
      </c>
      <c r="F125" s="2830">
        <v>15</v>
      </c>
    </row>
    <row r="126" spans="1:6" ht="24">
      <c r="A126" s="2830">
        <v>52</v>
      </c>
      <c r="B126" s="3584" t="s">
        <v>2745</v>
      </c>
      <c r="C126" s="2830" t="s">
        <v>2746</v>
      </c>
      <c r="D126" s="2804" t="s">
        <v>2747</v>
      </c>
      <c r="E126" s="2830">
        <v>0.1</v>
      </c>
      <c r="F126" s="2830">
        <v>15</v>
      </c>
    </row>
    <row r="127" spans="1:6" ht="24">
      <c r="A127" s="2830">
        <v>53</v>
      </c>
      <c r="B127" s="3584"/>
      <c r="C127" s="2830" t="s">
        <v>2748</v>
      </c>
      <c r="D127" s="2804" t="s">
        <v>2749</v>
      </c>
      <c r="E127" s="2830">
        <v>0.1</v>
      </c>
      <c r="F127" s="2830">
        <v>15</v>
      </c>
    </row>
    <row r="128" spans="1:6" ht="13.5">
      <c r="A128" s="2830">
        <v>54</v>
      </c>
      <c r="B128" s="2830" t="s">
        <v>2750</v>
      </c>
      <c r="C128" s="2830" t="s">
        <v>2751</v>
      </c>
      <c r="D128" s="2804" t="s">
        <v>2752</v>
      </c>
      <c r="E128" s="2830">
        <v>0.1</v>
      </c>
      <c r="F128" s="2830">
        <v>15</v>
      </c>
    </row>
    <row r="129" spans="1:6" ht="13.5">
      <c r="A129" s="2830">
        <v>55</v>
      </c>
      <c r="B129" s="3584" t="s">
        <v>2753</v>
      </c>
      <c r="C129" s="2830" t="s">
        <v>2754</v>
      </c>
      <c r="D129" s="2804" t="s">
        <v>2755</v>
      </c>
      <c r="E129" s="2830">
        <v>0.1</v>
      </c>
      <c r="F129" s="2830">
        <v>15</v>
      </c>
    </row>
    <row r="130" spans="1:6" ht="13.5">
      <c r="A130" s="2830">
        <v>56</v>
      </c>
      <c r="B130" s="3584"/>
      <c r="C130" s="2830" t="s">
        <v>2756</v>
      </c>
      <c r="D130" s="2804" t="s">
        <v>2757</v>
      </c>
      <c r="E130" s="2830">
        <v>0.1</v>
      </c>
      <c r="F130" s="2830">
        <v>15</v>
      </c>
    </row>
    <row r="131" spans="1:6" ht="24">
      <c r="A131" s="2830">
        <v>57</v>
      </c>
      <c r="B131" s="3584"/>
      <c r="C131" s="2830" t="s">
        <v>2758</v>
      </c>
      <c r="D131" s="2804" t="s">
        <v>2759</v>
      </c>
      <c r="E131" s="2830">
        <v>0.1</v>
      </c>
      <c r="F131" s="2830">
        <v>15</v>
      </c>
    </row>
    <row r="132" spans="1:6" ht="24">
      <c r="A132" s="2830">
        <v>58</v>
      </c>
      <c r="B132" s="3584" t="s">
        <v>2760</v>
      </c>
      <c r="C132" s="2830" t="s">
        <v>2761</v>
      </c>
      <c r="D132" s="2804" t="s">
        <v>2762</v>
      </c>
      <c r="E132" s="2830">
        <v>0.1</v>
      </c>
      <c r="F132" s="2830">
        <v>15</v>
      </c>
    </row>
    <row r="133" spans="1:6" ht="13.5">
      <c r="A133" s="2830">
        <v>59</v>
      </c>
      <c r="B133" s="3584"/>
      <c r="C133" s="2830" t="s">
        <v>2763</v>
      </c>
      <c r="D133" s="2804" t="s">
        <v>2764</v>
      </c>
      <c r="E133" s="2830">
        <v>0.1</v>
      </c>
      <c r="F133" s="2830">
        <v>15</v>
      </c>
    </row>
    <row r="134" spans="1:6" ht="13.5">
      <c r="A134" s="2830">
        <v>60</v>
      </c>
      <c r="B134" s="3585" t="s">
        <v>2765</v>
      </c>
      <c r="C134" s="2830" t="s">
        <v>2766</v>
      </c>
      <c r="D134" s="2804" t="s">
        <v>2767</v>
      </c>
      <c r="E134" s="2830">
        <v>0.1</v>
      </c>
      <c r="F134" s="2830">
        <v>15</v>
      </c>
    </row>
    <row r="135" spans="1:6" ht="13.5">
      <c r="A135" s="2830">
        <v>61</v>
      </c>
      <c r="B135" s="3586"/>
      <c r="C135" s="2830" t="s">
        <v>2768</v>
      </c>
      <c r="D135" s="2804" t="s">
        <v>2769</v>
      </c>
      <c r="E135" s="2830">
        <v>0.1</v>
      </c>
      <c r="F135" s="2830">
        <v>15</v>
      </c>
    </row>
    <row r="136" spans="1:6" ht="24">
      <c r="A136" s="2830">
        <v>62</v>
      </c>
      <c r="B136" s="2830" t="s">
        <v>2770</v>
      </c>
      <c r="C136" s="2830" t="s">
        <v>2771</v>
      </c>
      <c r="D136" s="2804" t="s">
        <v>2772</v>
      </c>
      <c r="E136" s="2830">
        <v>0.1</v>
      </c>
      <c r="F136" s="2830">
        <v>15</v>
      </c>
    </row>
    <row r="137" spans="1:6" ht="13.5">
      <c r="A137" s="2830">
        <v>63</v>
      </c>
      <c r="B137" s="3584" t="s">
        <v>2773</v>
      </c>
      <c r="C137" s="2830" t="s">
        <v>2774</v>
      </c>
      <c r="D137" s="2804" t="s">
        <v>2775</v>
      </c>
      <c r="E137" s="2830">
        <v>0.1</v>
      </c>
      <c r="F137" s="2830">
        <v>15</v>
      </c>
    </row>
    <row r="138" spans="1:6" ht="13.5">
      <c r="A138" s="2830">
        <v>64</v>
      </c>
      <c r="B138" s="3584"/>
      <c r="C138" s="2830" t="s">
        <v>2776</v>
      </c>
      <c r="D138" s="2804" t="s">
        <v>2777</v>
      </c>
      <c r="E138" s="2830">
        <v>0.1</v>
      </c>
      <c r="F138" s="2830">
        <v>15</v>
      </c>
    </row>
    <row r="139" spans="1:6" ht="13.5">
      <c r="A139" s="2830">
        <v>65</v>
      </c>
      <c r="B139" s="2830" t="s">
        <v>2778</v>
      </c>
      <c r="C139" s="2830" t="s">
        <v>2779</v>
      </c>
      <c r="D139" s="2804" t="s">
        <v>2780</v>
      </c>
      <c r="E139" s="2830">
        <v>0.1</v>
      </c>
      <c r="F139" s="2830">
        <v>15</v>
      </c>
    </row>
    <row r="140" spans="1:6" ht="13.5">
      <c r="A140" s="2830"/>
      <c r="B140" s="2830"/>
      <c r="C140" s="2830"/>
      <c r="D140" s="2830"/>
      <c r="E140" s="2830" t="s">
        <v>2781</v>
      </c>
      <c r="F140" s="2830" t="s">
        <v>2781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2782</v>
      </c>
      <c r="B1" s="2838"/>
      <c r="C1" s="2838"/>
      <c r="D1" s="2838"/>
      <c r="E1" s="2838"/>
      <c r="F1" s="2838"/>
      <c r="G1" s="2838"/>
      <c r="H1" s="2838"/>
      <c r="I1" s="2838"/>
      <c r="J1" s="2838"/>
      <c r="K1" s="2838"/>
      <c r="L1" s="2838"/>
      <c r="M1" s="2838"/>
      <c r="N1" s="689"/>
    </row>
    <row r="2" spans="1:20">
      <c r="A2" s="2839" t="s">
        <v>2783</v>
      </c>
      <c r="B2" s="2840" t="s">
        <v>2579</v>
      </c>
      <c r="C2" s="2840" t="s">
        <v>2580</v>
      </c>
      <c r="D2" s="2840" t="s">
        <v>2581</v>
      </c>
      <c r="E2" s="2840" t="s">
        <v>2582</v>
      </c>
      <c r="F2" s="2840" t="s">
        <v>2583</v>
      </c>
      <c r="G2" s="2840" t="s">
        <v>2584</v>
      </c>
      <c r="H2" s="2841" t="s">
        <v>2585</v>
      </c>
      <c r="I2" s="2841" t="s">
        <v>2586</v>
      </c>
      <c r="J2" s="2842" t="s">
        <v>2587</v>
      </c>
      <c r="K2" s="2842" t="s">
        <v>2588</v>
      </c>
      <c r="L2" s="2842" t="s">
        <v>2589</v>
      </c>
      <c r="M2" s="2843" t="s">
        <v>2590</v>
      </c>
      <c r="Q2" s="2853" t="s">
        <v>2788</v>
      </c>
      <c r="R2" s="2853" t="s">
        <v>2789</v>
      </c>
      <c r="S2" s="2853" t="s">
        <v>2790</v>
      </c>
      <c r="T2" s="2853" t="s">
        <v>2791</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2784</v>
      </c>
      <c r="B93" s="2838"/>
      <c r="C93" s="2838"/>
      <c r="D93" s="2838"/>
      <c r="E93" s="2838"/>
      <c r="F93" s="2838"/>
      <c r="G93" s="2838"/>
      <c r="H93" s="2838"/>
      <c r="I93" s="2838"/>
      <c r="J93" s="2838"/>
      <c r="K93" s="2838"/>
      <c r="L93" s="2838"/>
      <c r="M93" s="2838"/>
    </row>
    <row r="94" spans="1:20">
      <c r="A94" s="2839" t="s">
        <v>2783</v>
      </c>
      <c r="B94" s="2840" t="s">
        <v>2579</v>
      </c>
      <c r="C94" s="2840" t="s">
        <v>2580</v>
      </c>
      <c r="D94" s="2840" t="s">
        <v>2581</v>
      </c>
      <c r="E94" s="2840" t="s">
        <v>2582</v>
      </c>
      <c r="F94" s="2840" t="s">
        <v>2583</v>
      </c>
      <c r="G94" s="2840" t="s">
        <v>2584</v>
      </c>
      <c r="H94" s="2841" t="s">
        <v>2585</v>
      </c>
      <c r="I94" s="2841" t="s">
        <v>2586</v>
      </c>
      <c r="J94" s="2842" t="s">
        <v>2587</v>
      </c>
      <c r="K94" s="2842" t="s">
        <v>2588</v>
      </c>
      <c r="L94" s="2842" t="s">
        <v>2589</v>
      </c>
      <c r="M94" s="2843" t="s">
        <v>2590</v>
      </c>
      <c r="N94">
        <f>SUMPRODUCT((A95:A184=ROUNDDOWN('基准地价修正-商业'!G3,1))*(B94:M94='基准地价修正-商业'!G2)*(B95:M184))</f>
        <v>1.1748000000000001</v>
      </c>
      <c r="Q94" s="2853" t="s">
        <v>2788</v>
      </c>
      <c r="R94" s="2853" t="s">
        <v>2789</v>
      </c>
      <c r="S94" s="2853" t="s">
        <v>2790</v>
      </c>
      <c r="T94" s="2853" t="s">
        <v>2791</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2785</v>
      </c>
      <c r="B185" s="2838"/>
      <c r="C185" s="2838"/>
      <c r="D185" s="2838"/>
      <c r="E185" s="2838"/>
      <c r="F185" s="2838"/>
      <c r="G185" s="2838"/>
      <c r="H185" s="2838"/>
      <c r="I185" s="2838"/>
      <c r="J185" s="2838"/>
      <c r="K185" s="2838"/>
      <c r="L185" s="2838"/>
      <c r="M185" s="2838"/>
    </row>
    <row r="186" spans="1:20">
      <c r="A186" s="2839" t="s">
        <v>2783</v>
      </c>
      <c r="B186" s="2840" t="s">
        <v>2579</v>
      </c>
      <c r="C186" s="2840" t="s">
        <v>2580</v>
      </c>
      <c r="D186" s="2840" t="s">
        <v>2581</v>
      </c>
      <c r="E186" s="2840" t="s">
        <v>2582</v>
      </c>
      <c r="F186" s="2840" t="s">
        <v>2583</v>
      </c>
      <c r="G186" s="2840" t="s">
        <v>2584</v>
      </c>
      <c r="H186" s="2841" t="s">
        <v>2585</v>
      </c>
      <c r="I186" s="2841" t="s">
        <v>2586</v>
      </c>
      <c r="J186" s="2842" t="s">
        <v>2587</v>
      </c>
      <c r="K186" s="2842" t="s">
        <v>2588</v>
      </c>
      <c r="L186" s="2842" t="s">
        <v>2589</v>
      </c>
      <c r="M186" s="2843" t="s">
        <v>2590</v>
      </c>
      <c r="Q186" s="2853" t="s">
        <v>2788</v>
      </c>
      <c r="R186" s="2853" t="s">
        <v>2789</v>
      </c>
      <c r="S186" s="2853" t="s">
        <v>2790</v>
      </c>
      <c r="T186" s="2853" t="s">
        <v>2791</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2786</v>
      </c>
      <c r="B277" s="2838"/>
      <c r="C277" s="2838"/>
      <c r="D277" s="2838"/>
      <c r="E277" s="2838"/>
      <c r="F277" s="2838"/>
      <c r="G277" s="2838"/>
      <c r="H277" s="2838"/>
      <c r="I277" s="2838"/>
      <c r="J277" s="2838"/>
      <c r="K277" s="2838"/>
      <c r="L277" s="2838"/>
      <c r="M277" s="2838"/>
    </row>
    <row r="278" spans="1:21">
      <c r="A278" s="2839" t="s">
        <v>2783</v>
      </c>
      <c r="B278" s="2840" t="s">
        <v>2579</v>
      </c>
      <c r="C278" s="2840" t="s">
        <v>2580</v>
      </c>
      <c r="D278" s="2840" t="s">
        <v>2581</v>
      </c>
      <c r="E278" s="2840" t="s">
        <v>2582</v>
      </c>
      <c r="F278" s="2840" t="s">
        <v>2583</v>
      </c>
      <c r="G278" s="2840" t="s">
        <v>2584</v>
      </c>
      <c r="H278" s="2841" t="s">
        <v>2585</v>
      </c>
      <c r="I278" s="2841" t="s">
        <v>2586</v>
      </c>
      <c r="J278" s="2842" t="s">
        <v>2587</v>
      </c>
      <c r="K278" s="2842" t="s">
        <v>2588</v>
      </c>
      <c r="L278" s="2842" t="s">
        <v>2589</v>
      </c>
      <c r="M278" s="2843" t="s">
        <v>2590</v>
      </c>
      <c r="Q278" s="2853" t="s">
        <v>2788</v>
      </c>
      <c r="R278" s="2853" t="s">
        <v>2789</v>
      </c>
      <c r="S278" s="2853" t="s">
        <v>2792</v>
      </c>
      <c r="T278" s="2853" t="s">
        <v>2793</v>
      </c>
      <c r="U278" s="2853" t="s">
        <v>2791</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2787</v>
      </c>
      <c r="B369" s="2851"/>
      <c r="C369" s="2851"/>
      <c r="D369" s="2851"/>
      <c r="E369" s="2851"/>
      <c r="F369" s="2851"/>
      <c r="G369" s="2851"/>
      <c r="H369" s="2851"/>
      <c r="I369" s="2851"/>
      <c r="J369" s="2851"/>
      <c r="K369" s="2851"/>
      <c r="L369" s="2851"/>
      <c r="M369" s="2851"/>
    </row>
    <row r="370" spans="1:20">
      <c r="A370" s="2839" t="s">
        <v>2783</v>
      </c>
      <c r="B370" s="2840" t="s">
        <v>2579</v>
      </c>
      <c r="C370" s="2840" t="s">
        <v>2580</v>
      </c>
      <c r="D370" s="2840" t="s">
        <v>2581</v>
      </c>
      <c r="E370" s="2840" t="s">
        <v>2582</v>
      </c>
      <c r="F370" s="2840" t="s">
        <v>2583</v>
      </c>
      <c r="G370" s="2840" t="s">
        <v>2584</v>
      </c>
      <c r="H370" s="2841" t="s">
        <v>2585</v>
      </c>
      <c r="I370" s="2841" t="s">
        <v>2586</v>
      </c>
      <c r="J370" s="2842" t="s">
        <v>2587</v>
      </c>
      <c r="K370" s="2842" t="s">
        <v>2588</v>
      </c>
      <c r="L370" s="2842" t="s">
        <v>2589</v>
      </c>
      <c r="M370" s="2843" t="s">
        <v>2590</v>
      </c>
      <c r="N370">
        <f>SUMPRODUCT((A371:A460=ROUNDDOWN('基准地价修正-商业'!G3,1))*(B370:M370='基准地价修正-商业'!G2)*(B371:M460))</f>
        <v>1.1174999999999999</v>
      </c>
      <c r="Q370" s="2853" t="s">
        <v>2788</v>
      </c>
      <c r="R370" s="2853" t="s">
        <v>2789</v>
      </c>
      <c r="S370" s="2853" t="s">
        <v>2790</v>
      </c>
      <c r="T370" s="2853" t="s">
        <v>2791</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56845</v>
      </c>
      <c r="C2" s="2" t="s">
        <v>106</v>
      </c>
      <c r="D2" s="185"/>
      <c r="E2" s="185"/>
      <c r="F2" s="185"/>
      <c r="G2" s="185"/>
    </row>
    <row r="3" spans="1:7" s="186" customFormat="1" ht="18" customHeight="1" thickBot="1">
      <c r="A3" s="189" t="s">
        <v>58</v>
      </c>
      <c r="B3" s="190">
        <f ca="1">ROUND(B2*10000/'数据-汇总表'!E3,0)</f>
        <v>12572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904</v>
      </c>
      <c r="D10" s="777">
        <f>'数据-汇总表'!E6</f>
        <v>45214.01</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904</v>
      </c>
      <c r="D19" s="198">
        <f>'数据-汇总表'!E3</f>
        <v>45214.01</v>
      </c>
      <c r="E19" s="197">
        <f>'数据-取费表'!B31</f>
        <v>200</v>
      </c>
      <c r="F19" s="217"/>
      <c r="G19" s="1" t="s">
        <v>436</v>
      </c>
    </row>
    <row r="20" spans="1:7" s="200" customFormat="1" ht="13.5" customHeight="1">
      <c r="A20" s="713" t="s">
        <v>419</v>
      </c>
      <c r="B20" s="196" t="s">
        <v>77</v>
      </c>
      <c r="C20" s="218">
        <f>ROUND((C5+C19)*F20,0)</f>
        <v>430</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1380</v>
      </c>
      <c r="D22" s="221">
        <f ca="1">C26</f>
        <v>5.9999999999999995E-4</v>
      </c>
      <c r="E22" s="222" t="s">
        <v>99</v>
      </c>
      <c r="F22" s="223">
        <f ca="1">'数据-取费表'!B40</f>
        <v>3.1300000000000001E-2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1310</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57</v>
      </c>
      <c r="D24" s="224"/>
      <c r="E24" s="224"/>
      <c r="F24" s="225"/>
      <c r="G24" s="226" t="s">
        <v>82</v>
      </c>
    </row>
    <row r="25" spans="1:7" s="200" customFormat="1" ht="24">
      <c r="A25" s="716" t="s">
        <v>348</v>
      </c>
      <c r="B25" s="201" t="s">
        <v>420</v>
      </c>
      <c r="C25" s="1020">
        <f ca="1">ROUND(IF('数据-取费表'!B22&lt;=1,C20*F22*'数据-取费表'!B23/2,C20*(POWER((1+F22),'数据-取费表'!B23/2)-1)),0)</f>
        <v>13</v>
      </c>
      <c r="D25" s="224"/>
      <c r="E25" s="227"/>
      <c r="F25" s="225"/>
      <c r="G25" s="228" t="s">
        <v>83</v>
      </c>
    </row>
    <row r="26" spans="1:7" s="200" customFormat="1">
      <c r="A26" s="716" t="s">
        <v>350</v>
      </c>
      <c r="B26" s="201" t="s">
        <v>422</v>
      </c>
      <c r="C26" s="224">
        <f ca="1">ROUND(IF('数据-取费表'!B22&lt;=1,F21*F22*'数据-取费表'!B23/2,F21*(POWER((1+F22),'数据-取费表'!B23/2)-1)),4)</f>
        <v>5.9999999999999995E-4</v>
      </c>
      <c r="D26" s="224"/>
      <c r="E26" s="227"/>
      <c r="F26" s="225"/>
      <c r="G26" s="229"/>
    </row>
    <row r="27" spans="1:7" s="200" customFormat="1" ht="24.75">
      <c r="A27" s="713" t="s">
        <v>342</v>
      </c>
      <c r="B27" s="230" t="s">
        <v>85</v>
      </c>
      <c r="C27" s="231">
        <f>C28</f>
        <v>3511</v>
      </c>
      <c r="D27" s="221">
        <f>C29</f>
        <v>3.2000000000000002E-3</v>
      </c>
      <c r="E27" s="222" t="s">
        <v>99</v>
      </c>
      <c r="F27" s="232">
        <f>'数据-取费表'!Q16</f>
        <v>0.16</v>
      </c>
      <c r="G27" s="233" t="s">
        <v>431</v>
      </c>
    </row>
    <row r="28" spans="1:7" s="200" customFormat="1" ht="13.5" customHeight="1">
      <c r="A28" s="716" t="s">
        <v>349</v>
      </c>
      <c r="B28" s="234" t="s">
        <v>424</v>
      </c>
      <c r="C28" s="235">
        <f>ROUND((C5+C19+C20)*F27*'数据-取费表'!B21/'数据-取费表'!B20,0)</f>
        <v>3511</v>
      </c>
      <c r="D28" s="221"/>
      <c r="E28" s="222"/>
      <c r="F28" s="232"/>
      <c r="G28" s="233"/>
    </row>
    <row r="29" spans="1:7" s="200" customFormat="1" ht="13.5" customHeight="1">
      <c r="A29" s="716" t="s">
        <v>347</v>
      </c>
      <c r="B29" s="234" t="s">
        <v>425</v>
      </c>
      <c r="C29" s="224">
        <f>ROUND(C21*F27*'数据-取费表'!B21/'数据-取费表'!B20,4)</f>
        <v>3.2000000000000002E-3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29078</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22675</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20347</v>
      </c>
      <c r="D34" s="203"/>
      <c r="E34" s="206"/>
      <c r="F34" s="243">
        <f>IF('数据-取费表'!B24=0,1,'数据-取费表'!N16)</f>
        <v>1</v>
      </c>
      <c r="G34" s="205" t="s">
        <v>89</v>
      </c>
    </row>
    <row r="35" spans="1:7" ht="13.5" customHeight="1">
      <c r="A35" s="716" t="s">
        <v>351</v>
      </c>
      <c r="B35" s="201" t="s">
        <v>33</v>
      </c>
      <c r="C35" s="206">
        <f>ROUND(C34*F35,0)</f>
        <v>1017</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904</v>
      </c>
      <c r="D37" s="203">
        <f>'数据-汇总表'!E3</f>
        <v>45214.01</v>
      </c>
      <c r="E37" s="235">
        <f>'数据-取费表'!B35</f>
        <v>200</v>
      </c>
      <c r="F37" s="245"/>
      <c r="G37" s="247" t="s">
        <v>92</v>
      </c>
    </row>
    <row r="38" spans="1:7" ht="13.5" customHeight="1">
      <c r="A38" s="716" t="s">
        <v>354</v>
      </c>
      <c r="B38" s="201" t="s">
        <v>36</v>
      </c>
      <c r="C38" s="206">
        <f>ROUND(C34*F38,0)</f>
        <v>407</v>
      </c>
      <c r="D38" s="206"/>
      <c r="E38" s="206"/>
      <c r="F38" s="245">
        <f>'数据-取费表'!B36</f>
        <v>0.02</v>
      </c>
      <c r="G38" s="205" t="s">
        <v>90</v>
      </c>
    </row>
    <row r="39" spans="1:7" s="200" customFormat="1" ht="13.5" customHeight="1">
      <c r="A39" s="713" t="s">
        <v>338</v>
      </c>
      <c r="B39" s="196" t="s">
        <v>77</v>
      </c>
      <c r="C39" s="218">
        <f>ROUND(C33*F20,0)</f>
        <v>454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724</v>
      </c>
      <c r="D41" s="221">
        <f ca="1">C44</f>
        <v>5.9999999999999995E-4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710</v>
      </c>
      <c r="D42" s="224"/>
      <c r="E42" s="224"/>
      <c r="F42" s="225"/>
      <c r="G42" s="3461" t="s">
        <v>94</v>
      </c>
    </row>
    <row r="43" spans="1:7" ht="13.5" customHeight="1">
      <c r="A43" s="716" t="s">
        <v>347</v>
      </c>
      <c r="B43" s="201" t="s">
        <v>426</v>
      </c>
      <c r="C43" s="224">
        <f ca="1">ROUND(IF('数据-取费表'!B22&lt;=1,C39*F22*'数据-取费表'!B21/2,C39*(POWER((1+F22),'数据-取费表'!B21/2)-1)),0)</f>
        <v>14</v>
      </c>
      <c r="D43" s="224"/>
      <c r="E43" s="224"/>
      <c r="F43" s="225"/>
      <c r="G43" s="3462"/>
    </row>
    <row r="44" spans="1:7" ht="13.5" customHeight="1">
      <c r="A44" s="716" t="s">
        <v>348</v>
      </c>
      <c r="B44" s="201" t="s">
        <v>428</v>
      </c>
      <c r="C44" s="224">
        <f ca="1">ROUND(IF('数据-取费表'!B22&lt;=1,C40*F22*'数据-取费表'!B21/2,C40*(POWER((1+F22),'数据-取费表'!B21/2)-1)),4)</f>
        <v>5.9999999999999995E-4</v>
      </c>
      <c r="D44" s="224"/>
      <c r="E44" s="224"/>
      <c r="F44" s="225"/>
      <c r="G44" s="3463"/>
    </row>
    <row r="45" spans="1:7" s="200" customFormat="1" ht="13.5" customHeight="1">
      <c r="A45" s="713" t="s">
        <v>341</v>
      </c>
      <c r="B45" s="230" t="s">
        <v>85</v>
      </c>
      <c r="C45" s="231">
        <f>C46</f>
        <v>3701</v>
      </c>
      <c r="D45" s="221">
        <f>C47</f>
        <v>3.2000000000000002E-3</v>
      </c>
      <c r="E45" s="222" t="s">
        <v>102</v>
      </c>
      <c r="F45" s="232"/>
      <c r="G45" s="233" t="s">
        <v>434</v>
      </c>
    </row>
    <row r="46" spans="1:7" s="200" customFormat="1" ht="13.5" customHeight="1">
      <c r="A46" s="716" t="s">
        <v>349</v>
      </c>
      <c r="B46" s="234" t="s">
        <v>427</v>
      </c>
      <c r="C46" s="235">
        <f>ROUND((C33+C39)*F27,0)</f>
        <v>3701</v>
      </c>
      <c r="D46" s="249"/>
      <c r="E46" s="222"/>
      <c r="F46" s="232"/>
      <c r="G46" s="233"/>
    </row>
    <row r="47" spans="1:7" s="200" customFormat="1" ht="13.5" customHeight="1">
      <c r="A47" s="716" t="s">
        <v>347</v>
      </c>
      <c r="B47" s="234" t="s">
        <v>429</v>
      </c>
      <c r="C47" s="224">
        <f>ROUND(C40*F27,4)</f>
        <v>3.2000000000000002E-3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29857</v>
      </c>
      <c r="D49" s="218"/>
      <c r="E49" s="218"/>
      <c r="F49" s="250"/>
      <c r="G49" s="220" t="s">
        <v>435</v>
      </c>
    </row>
    <row r="50" spans="1:7" s="244" customFormat="1" ht="24">
      <c r="A50" s="713" t="s">
        <v>344</v>
      </c>
      <c r="B50" s="196" t="s">
        <v>97</v>
      </c>
      <c r="C50" s="218"/>
      <c r="D50" s="218"/>
      <c r="E50" s="218"/>
      <c r="F50" s="250">
        <f>IF('数据-取费表'!B24=0,'数据-取费表'!N16,1)</f>
        <v>0.93</v>
      </c>
      <c r="G50" s="233" t="s">
        <v>98</v>
      </c>
    </row>
    <row r="51" spans="1:7" ht="16.5" customHeight="1">
      <c r="A51" s="713" t="s">
        <v>345</v>
      </c>
      <c r="B51" s="196" t="s">
        <v>105</v>
      </c>
      <c r="C51" s="218">
        <f ca="1">ROUND(C49*F50,0)</f>
        <v>27767</v>
      </c>
      <c r="D51" s="218"/>
      <c r="E51" s="218"/>
      <c r="F51" s="250"/>
      <c r="G51" s="220" t="s">
        <v>37</v>
      </c>
    </row>
    <row r="52" spans="1:7" s="194" customFormat="1" ht="16.5" thickBot="1">
      <c r="A52" s="251" t="s">
        <v>38</v>
      </c>
      <c r="B52" s="252"/>
      <c r="C52" s="253">
        <f ca="1">C31+C51</f>
        <v>56845</v>
      </c>
      <c r="D52" s="252"/>
      <c r="E52" s="252"/>
      <c r="F52" s="252"/>
      <c r="G52" s="254"/>
    </row>
    <row r="55" spans="1:7" ht="15">
      <c r="B55" s="256" t="s">
        <v>39</v>
      </c>
      <c r="C55" s="257"/>
    </row>
    <row r="56" spans="1:7">
      <c r="B56" s="259" t="s">
        <v>40</v>
      </c>
      <c r="C56" s="260">
        <f ca="1">ROUND(C51/C52,3)</f>
        <v>0.48799999999999999</v>
      </c>
    </row>
    <row r="57" spans="1:7">
      <c r="B57" s="259" t="s">
        <v>41</v>
      </c>
      <c r="C57" s="261">
        <f ca="1">1-C56</f>
        <v>0.51200000000000001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598" t="s">
        <v>3165</v>
      </c>
      <c r="B1" s="3598"/>
    </row>
    <row r="2" spans="1:7" ht="14.25" thickBot="1">
      <c r="A2" s="2941"/>
      <c r="B2" s="2941"/>
    </row>
    <row r="3" spans="1:7" ht="14.25" thickBot="1">
      <c r="A3" s="2941"/>
      <c r="B3" s="2941"/>
      <c r="C3" s="2942" t="s">
        <v>2795</v>
      </c>
      <c r="D3" s="2942" t="s">
        <v>2851</v>
      </c>
      <c r="E3" s="2942" t="s">
        <v>2797</v>
      </c>
      <c r="F3" s="2942" t="s">
        <v>2852</v>
      </c>
      <c r="G3" s="2942" t="s">
        <v>2615</v>
      </c>
    </row>
    <row r="4" spans="1:7" ht="14.25" thickBot="1">
      <c r="A4" s="2943" t="s">
        <v>2850</v>
      </c>
      <c r="B4" s="2944" t="s">
        <v>2856</v>
      </c>
      <c r="C4" s="2942"/>
      <c r="D4" s="2942"/>
      <c r="E4" s="2942"/>
      <c r="F4" s="2942"/>
      <c r="G4" s="2942"/>
    </row>
    <row r="5" spans="1:7">
      <c r="A5" s="2945" t="s">
        <v>2824</v>
      </c>
      <c r="B5" s="2946" t="s">
        <v>2838</v>
      </c>
      <c r="C5" s="2947">
        <v>9.8000000000000004E-2</v>
      </c>
      <c r="D5" s="2947">
        <v>8.6999999999999994E-2</v>
      </c>
      <c r="E5" s="2947">
        <v>8.6999999999999994E-2</v>
      </c>
      <c r="F5" s="2947">
        <v>9.8000000000000004E-2</v>
      </c>
      <c r="G5" s="2948">
        <v>9.5000000000000001E-2</v>
      </c>
    </row>
    <row r="6" spans="1:7">
      <c r="A6" s="2949" t="s">
        <v>144</v>
      </c>
      <c r="B6" s="2950" t="s">
        <v>2853</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2839</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2889</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2907</v>
      </c>
      <c r="C29" s="2959"/>
      <c r="D29" s="2955">
        <v>5.1999999999999998E-2</v>
      </c>
      <c r="E29" s="2955">
        <v>7.0000000000000007E-2</v>
      </c>
      <c r="F29" s="2959"/>
      <c r="G29" s="2957">
        <v>7.0999999999999994E-2</v>
      </c>
    </row>
    <row r="30" spans="1:7">
      <c r="A30" s="2960" t="s">
        <v>296</v>
      </c>
      <c r="B30" s="2946" t="s">
        <v>2840</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2826</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2910</v>
      </c>
      <c r="C50" s="2951">
        <v>9.8000000000000004E-2</v>
      </c>
      <c r="D50" s="2951">
        <v>7.2999999999999995E-2</v>
      </c>
      <c r="E50" s="2951">
        <v>7.0999999999999994E-2</v>
      </c>
      <c r="F50" s="2962"/>
      <c r="G50" s="2952">
        <v>7.2999999999999995E-2</v>
      </c>
    </row>
    <row r="51" spans="1:7">
      <c r="A51" s="2961" t="s">
        <v>296</v>
      </c>
      <c r="B51" s="2950" t="s">
        <v>2912</v>
      </c>
      <c r="C51" s="2951">
        <v>9.9000000000000005E-2</v>
      </c>
      <c r="D51" s="2951">
        <v>8.5000000000000006E-2</v>
      </c>
      <c r="E51" s="2951">
        <v>6.3E-2</v>
      </c>
      <c r="F51" s="2962"/>
      <c r="G51" s="2952">
        <v>9.6000000000000002E-2</v>
      </c>
    </row>
    <row r="52" spans="1:7">
      <c r="A52" s="2961" t="s">
        <v>296</v>
      </c>
      <c r="B52" s="2950" t="s">
        <v>2916</v>
      </c>
      <c r="C52" s="2951">
        <v>7.3999999999999996E-2</v>
      </c>
      <c r="D52" s="2951">
        <v>9.6000000000000002E-2</v>
      </c>
      <c r="E52" s="2951">
        <v>0.05</v>
      </c>
      <c r="F52" s="2962"/>
      <c r="G52" s="2952">
        <v>9.8000000000000004E-2</v>
      </c>
    </row>
    <row r="53" spans="1:7">
      <c r="A53" s="2961" t="s">
        <v>296</v>
      </c>
      <c r="B53" s="2950" t="s">
        <v>2921</v>
      </c>
      <c r="C53" s="2951">
        <v>8.5999999999999993E-2</v>
      </c>
      <c r="D53" s="2962"/>
      <c r="E53" s="2951">
        <v>9.1999999999999998E-2</v>
      </c>
      <c r="F53" s="2962"/>
      <c r="G53" s="2963"/>
    </row>
    <row r="54" spans="1:7" ht="14.25" thickBot="1">
      <c r="A54" s="2964" t="s">
        <v>296</v>
      </c>
      <c r="B54" s="2954" t="s">
        <v>2924</v>
      </c>
      <c r="C54" s="2955">
        <v>9.6000000000000002E-2</v>
      </c>
      <c r="D54" s="2956"/>
      <c r="E54" s="2965"/>
      <c r="F54" s="2956"/>
      <c r="G54" s="2966"/>
    </row>
    <row r="55" spans="1:7">
      <c r="A55" s="2960" t="s">
        <v>110</v>
      </c>
      <c r="B55" s="2946" t="s">
        <v>2841</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2922</v>
      </c>
      <c r="C78" s="2951">
        <v>0.1</v>
      </c>
      <c r="D78" s="2951">
        <v>8.5000000000000006E-2</v>
      </c>
      <c r="E78" s="2951">
        <v>9.6000000000000002E-2</v>
      </c>
      <c r="F78" s="2962"/>
      <c r="G78" s="2952">
        <v>9.6000000000000002E-2</v>
      </c>
    </row>
    <row r="79" spans="1:7">
      <c r="A79" s="2961" t="s">
        <v>110</v>
      </c>
      <c r="B79" s="2950" t="s">
        <v>2925</v>
      </c>
      <c r="C79" s="2951">
        <v>0.05</v>
      </c>
      <c r="D79" s="2951">
        <v>9.6000000000000002E-2</v>
      </c>
      <c r="E79" s="2951">
        <v>9.5000000000000001E-2</v>
      </c>
      <c r="F79" s="2962"/>
      <c r="G79" s="2952">
        <v>9.8000000000000004E-2</v>
      </c>
    </row>
    <row r="80" spans="1:7">
      <c r="A80" s="2961" t="s">
        <v>110</v>
      </c>
      <c r="B80" s="2950" t="s">
        <v>2929</v>
      </c>
      <c r="C80" s="2951">
        <v>8.5999999999999993E-2</v>
      </c>
      <c r="D80" s="2967"/>
      <c r="E80" s="2951">
        <v>0.1</v>
      </c>
      <c r="F80" s="2962"/>
      <c r="G80" s="2963"/>
    </row>
    <row r="81" spans="1:7">
      <c r="A81" s="2961" t="s">
        <v>110</v>
      </c>
      <c r="B81" s="2950" t="s">
        <v>2934</v>
      </c>
      <c r="C81" s="2951">
        <v>9.6000000000000002E-2</v>
      </c>
      <c r="D81" s="2962"/>
      <c r="E81" s="2951">
        <v>9.8000000000000004E-2</v>
      </c>
      <c r="F81" s="2962"/>
      <c r="G81" s="2963"/>
    </row>
    <row r="82" spans="1:7">
      <c r="A82" s="2961" t="s">
        <v>110</v>
      </c>
      <c r="B82" s="2950" t="s">
        <v>2941</v>
      </c>
      <c r="C82" s="2967"/>
      <c r="D82" s="2962"/>
      <c r="E82" s="2951">
        <v>7.6999999999999999E-2</v>
      </c>
      <c r="F82" s="2962"/>
      <c r="G82" s="2963"/>
    </row>
    <row r="83" spans="1:7">
      <c r="A83" s="2961" t="s">
        <v>110</v>
      </c>
      <c r="B83" s="2950" t="s">
        <v>2947</v>
      </c>
      <c r="C83" s="2962"/>
      <c r="D83" s="2962"/>
      <c r="E83" s="2962"/>
      <c r="F83" s="2951">
        <v>0.1</v>
      </c>
      <c r="G83" s="2968"/>
    </row>
    <row r="84" spans="1:7">
      <c r="A84" s="2961" t="s">
        <v>110</v>
      </c>
      <c r="B84" s="2950" t="s">
        <v>2954</v>
      </c>
      <c r="C84" s="2962"/>
      <c r="D84" s="2962"/>
      <c r="E84" s="2962"/>
      <c r="F84" s="2951">
        <v>0.1</v>
      </c>
      <c r="G84" s="2968"/>
    </row>
    <row r="85" spans="1:7">
      <c r="A85" s="2961" t="s">
        <v>110</v>
      </c>
      <c r="B85" s="2950" t="s">
        <v>2961</v>
      </c>
      <c r="C85" s="2962"/>
      <c r="D85" s="2962"/>
      <c r="E85" s="2962"/>
      <c r="F85" s="2951">
        <v>0.1</v>
      </c>
      <c r="G85" s="2968"/>
    </row>
    <row r="86" spans="1:7" ht="14.25" thickBot="1">
      <c r="A86" s="2964" t="s">
        <v>110</v>
      </c>
      <c r="B86" s="2954" t="s">
        <v>2966</v>
      </c>
      <c r="C86" s="2955">
        <v>9.8000000000000004E-2</v>
      </c>
      <c r="D86" s="2955">
        <v>9.8000000000000004E-2</v>
      </c>
      <c r="E86" s="2955">
        <v>9.6000000000000002E-2</v>
      </c>
      <c r="F86" s="2965"/>
      <c r="G86" s="2957">
        <v>0.1</v>
      </c>
    </row>
    <row r="87" spans="1:7">
      <c r="A87" s="2960" t="s">
        <v>303</v>
      </c>
      <c r="B87" s="2946" t="s">
        <v>2842</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2935</v>
      </c>
      <c r="C113" s="2951">
        <v>0.1</v>
      </c>
      <c r="D113" s="2951">
        <v>0.1</v>
      </c>
      <c r="E113" s="2962"/>
      <c r="F113" s="2962"/>
      <c r="G113" s="2952">
        <v>0.1</v>
      </c>
    </row>
    <row r="114" spans="1:7">
      <c r="A114" s="2961" t="s">
        <v>303</v>
      </c>
      <c r="B114" s="2950" t="s">
        <v>2942</v>
      </c>
      <c r="C114" s="2951">
        <v>9.7000000000000003E-2</v>
      </c>
      <c r="D114" s="2951">
        <v>9.7000000000000003E-2</v>
      </c>
      <c r="E114" s="2962"/>
      <c r="F114" s="2962"/>
      <c r="G114" s="2952">
        <v>9.9000000000000005E-2</v>
      </c>
    </row>
    <row r="115" spans="1:7">
      <c r="A115" s="2961" t="s">
        <v>303</v>
      </c>
      <c r="B115" s="2950" t="s">
        <v>2948</v>
      </c>
      <c r="C115" s="2951">
        <v>0.1</v>
      </c>
      <c r="D115" s="2951">
        <v>0.1</v>
      </c>
      <c r="E115" s="2962"/>
      <c r="F115" s="2962"/>
      <c r="G115" s="2952">
        <v>0.1</v>
      </c>
    </row>
    <row r="116" spans="1:7">
      <c r="A116" s="2961" t="s">
        <v>303</v>
      </c>
      <c r="B116" s="2950" t="s">
        <v>2955</v>
      </c>
      <c r="C116" s="2951">
        <v>0.1</v>
      </c>
      <c r="D116" s="2951">
        <v>0.1</v>
      </c>
      <c r="E116" s="2962"/>
      <c r="F116" s="2962"/>
      <c r="G116" s="2952">
        <v>0.1</v>
      </c>
    </row>
    <row r="117" spans="1:7">
      <c r="A117" s="2961" t="s">
        <v>303</v>
      </c>
      <c r="B117" s="2950" t="s">
        <v>2962</v>
      </c>
      <c r="C117" s="2951">
        <v>9.7000000000000003E-2</v>
      </c>
      <c r="D117" s="2951">
        <v>9.7000000000000003E-2</v>
      </c>
      <c r="E117" s="2962"/>
      <c r="F117" s="2962"/>
      <c r="G117" s="2952">
        <v>9.7000000000000003E-2</v>
      </c>
    </row>
    <row r="118" spans="1:7">
      <c r="A118" s="2961" t="s">
        <v>303</v>
      </c>
      <c r="B118" s="2950" t="s">
        <v>2967</v>
      </c>
      <c r="C118" s="2951">
        <v>0.1</v>
      </c>
      <c r="D118" s="2951">
        <v>0.1</v>
      </c>
      <c r="E118" s="2962"/>
      <c r="F118" s="2962"/>
      <c r="G118" s="2952">
        <v>0.1</v>
      </c>
    </row>
    <row r="119" spans="1:7">
      <c r="A119" s="2961" t="s">
        <v>303</v>
      </c>
      <c r="B119" s="2950" t="s">
        <v>2971</v>
      </c>
      <c r="C119" s="2951">
        <v>5.0999999999999997E-2</v>
      </c>
      <c r="D119" s="2951">
        <v>5.1999999999999998E-2</v>
      </c>
      <c r="E119" s="2962"/>
      <c r="F119" s="2967"/>
      <c r="G119" s="2952">
        <v>0.06</v>
      </c>
    </row>
    <row r="120" spans="1:7">
      <c r="A120" s="2961" t="s">
        <v>303</v>
      </c>
      <c r="B120" s="2950" t="s">
        <v>2975</v>
      </c>
      <c r="C120" s="2962"/>
      <c r="D120" s="2962"/>
      <c r="E120" s="2962"/>
      <c r="F120" s="2951">
        <v>0.1</v>
      </c>
      <c r="G120" s="2968"/>
    </row>
    <row r="121" spans="1:7">
      <c r="A121" s="2961" t="s">
        <v>303</v>
      </c>
      <c r="B121" s="2950" t="s">
        <v>2980</v>
      </c>
      <c r="C121" s="2962"/>
      <c r="D121" s="2962"/>
      <c r="E121" s="2962"/>
      <c r="F121" s="2951">
        <v>0.1</v>
      </c>
      <c r="G121" s="2968"/>
    </row>
    <row r="122" spans="1:7">
      <c r="A122" s="2961" t="s">
        <v>303</v>
      </c>
      <c r="B122" s="2950" t="s">
        <v>2985</v>
      </c>
      <c r="C122" s="2951">
        <v>0.1</v>
      </c>
      <c r="D122" s="2951">
        <v>0.1</v>
      </c>
      <c r="E122" s="2951">
        <v>9.8000000000000004E-2</v>
      </c>
      <c r="F122" s="2951">
        <v>0.1</v>
      </c>
      <c r="G122" s="2952">
        <v>0.1</v>
      </c>
    </row>
    <row r="123" spans="1:7">
      <c r="A123" s="2961" t="s">
        <v>303</v>
      </c>
      <c r="B123" s="2950" t="s">
        <v>2990</v>
      </c>
      <c r="C123" s="2951">
        <v>0.1</v>
      </c>
      <c r="D123" s="2951">
        <v>0.1</v>
      </c>
      <c r="E123" s="2951">
        <v>9.8000000000000004E-2</v>
      </c>
      <c r="F123" s="2951">
        <v>0.1</v>
      </c>
      <c r="G123" s="2952">
        <v>0.1</v>
      </c>
    </row>
    <row r="124" spans="1:7">
      <c r="A124" s="2961" t="s">
        <v>303</v>
      </c>
      <c r="B124" s="2950" t="s">
        <v>2995</v>
      </c>
      <c r="C124" s="2951">
        <v>0.1</v>
      </c>
      <c r="D124" s="2951">
        <v>0.1</v>
      </c>
      <c r="E124" s="2951">
        <v>9.8000000000000004E-2</v>
      </c>
      <c r="F124" s="2967"/>
      <c r="G124" s="2952">
        <v>0.1</v>
      </c>
    </row>
    <row r="125" spans="1:7">
      <c r="A125" s="2961" t="s">
        <v>303</v>
      </c>
      <c r="B125" s="2950" t="s">
        <v>3000</v>
      </c>
      <c r="C125" s="2951">
        <v>9.8000000000000004E-2</v>
      </c>
      <c r="D125" s="2951">
        <v>9.8000000000000004E-2</v>
      </c>
      <c r="E125" s="2951">
        <v>9.6000000000000002E-2</v>
      </c>
      <c r="F125" s="2967"/>
      <c r="G125" s="2952">
        <v>0.1</v>
      </c>
    </row>
    <row r="126" spans="1:7" ht="14.25" thickBot="1">
      <c r="A126" s="2964" t="s">
        <v>303</v>
      </c>
      <c r="B126" s="2954" t="s">
        <v>3166</v>
      </c>
      <c r="C126" s="2955">
        <v>0.1</v>
      </c>
      <c r="D126" s="2955">
        <v>0.1</v>
      </c>
      <c r="E126" s="2955">
        <v>9.8000000000000004E-2</v>
      </c>
      <c r="F126" s="2955">
        <v>0.1</v>
      </c>
      <c r="G126" s="2957">
        <v>0.1</v>
      </c>
    </row>
    <row r="127" spans="1:7">
      <c r="A127" s="2960" t="s">
        <v>29</v>
      </c>
      <c r="B127" s="2946" t="s">
        <v>2843</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2913</v>
      </c>
      <c r="C148" s="2951">
        <v>0.13</v>
      </c>
      <c r="D148" s="2951">
        <v>0.13</v>
      </c>
      <c r="E148" s="2951">
        <v>0.13</v>
      </c>
      <c r="F148" s="2962"/>
      <c r="G148" s="2952">
        <v>0.13</v>
      </c>
    </row>
    <row r="149" spans="1:7">
      <c r="A149" s="2961" t="s">
        <v>29</v>
      </c>
      <c r="B149" s="2950" t="s">
        <v>2917</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2936</v>
      </c>
      <c r="C153" s="2951">
        <v>0.13</v>
      </c>
      <c r="D153" s="2951">
        <v>0.13</v>
      </c>
      <c r="E153" s="2951">
        <v>0.13</v>
      </c>
      <c r="F153" s="2951">
        <v>0.13</v>
      </c>
      <c r="G153" s="2952">
        <v>0.13</v>
      </c>
    </row>
    <row r="154" spans="1:7">
      <c r="A154" s="2961" t="s">
        <v>29</v>
      </c>
      <c r="B154" s="2950" t="s">
        <v>2943</v>
      </c>
      <c r="C154" s="2951">
        <v>0.121</v>
      </c>
      <c r="D154" s="2951">
        <v>0.121</v>
      </c>
      <c r="E154" s="2951">
        <v>0.105</v>
      </c>
      <c r="F154" s="2951">
        <v>0.121</v>
      </c>
      <c r="G154" s="2952">
        <v>0.123</v>
      </c>
    </row>
    <row r="155" spans="1:7">
      <c r="A155" s="2961" t="s">
        <v>29</v>
      </c>
      <c r="B155" s="2950" t="s">
        <v>2949</v>
      </c>
      <c r="C155" s="2951">
        <v>0.1</v>
      </c>
      <c r="D155" s="2951">
        <v>0.1</v>
      </c>
      <c r="E155" s="2951">
        <v>0.1</v>
      </c>
      <c r="F155" s="2951">
        <v>0.1</v>
      </c>
      <c r="G155" s="2952">
        <v>0.1</v>
      </c>
    </row>
    <row r="156" spans="1:7">
      <c r="A156" s="2961" t="s">
        <v>29</v>
      </c>
      <c r="B156" s="2950" t="s">
        <v>2956</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2976</v>
      </c>
      <c r="C160" s="2951">
        <v>0.13</v>
      </c>
      <c r="D160" s="2951">
        <v>0.13</v>
      </c>
      <c r="E160" s="2951">
        <v>0.124</v>
      </c>
      <c r="F160" s="2951">
        <v>0.126</v>
      </c>
      <c r="G160" s="2952">
        <v>0.13</v>
      </c>
    </row>
    <row r="161" spans="1:7">
      <c r="A161" s="2961" t="s">
        <v>29</v>
      </c>
      <c r="B161" s="2950" t="s">
        <v>2981</v>
      </c>
      <c r="C161" s="2951">
        <v>0.13</v>
      </c>
      <c r="D161" s="2951">
        <v>0.13</v>
      </c>
      <c r="E161" s="2951">
        <v>0.124</v>
      </c>
      <c r="F161" s="2951">
        <v>0.127</v>
      </c>
      <c r="G161" s="2952">
        <v>0.13</v>
      </c>
    </row>
    <row r="162" spans="1:7">
      <c r="A162" s="2961" t="s">
        <v>29</v>
      </c>
      <c r="B162" s="2950" t="s">
        <v>2986</v>
      </c>
      <c r="C162" s="2951">
        <v>0.1</v>
      </c>
      <c r="D162" s="2951">
        <v>0.1</v>
      </c>
      <c r="E162" s="2951">
        <v>0.1</v>
      </c>
      <c r="F162" s="2951">
        <v>0.121</v>
      </c>
      <c r="G162" s="2952">
        <v>0.105</v>
      </c>
    </row>
    <row r="163" spans="1:7">
      <c r="A163" s="2961" t="s">
        <v>29</v>
      </c>
      <c r="B163" s="2950" t="s">
        <v>2991</v>
      </c>
      <c r="C163" s="2951">
        <v>0.1</v>
      </c>
      <c r="D163" s="2951">
        <v>0.1</v>
      </c>
      <c r="E163" s="2951">
        <v>0.1</v>
      </c>
      <c r="F163" s="2951">
        <v>0.1</v>
      </c>
      <c r="G163" s="2952">
        <v>0.1</v>
      </c>
    </row>
    <row r="164" spans="1:7">
      <c r="A164" s="2961" t="s">
        <v>29</v>
      </c>
      <c r="B164" s="2950" t="s">
        <v>2996</v>
      </c>
      <c r="C164" s="2967"/>
      <c r="D164" s="2967"/>
      <c r="E164" s="2967"/>
      <c r="F164" s="2951">
        <v>0.1</v>
      </c>
      <c r="G164" s="2963"/>
    </row>
    <row r="165" spans="1:7">
      <c r="A165" s="2961" t="s">
        <v>29</v>
      </c>
      <c r="B165" s="2950" t="s">
        <v>3167</v>
      </c>
      <c r="C165" s="2951">
        <v>0.126</v>
      </c>
      <c r="D165" s="2951">
        <v>0.126</v>
      </c>
      <c r="E165" s="2951">
        <v>0.11899999999999999</v>
      </c>
      <c r="F165" s="2951">
        <v>0.13</v>
      </c>
      <c r="G165" s="2952">
        <v>0.128</v>
      </c>
    </row>
    <row r="166" spans="1:7">
      <c r="A166" s="2961" t="s">
        <v>29</v>
      </c>
      <c r="B166" s="2950" t="s">
        <v>3006</v>
      </c>
      <c r="C166" s="2951">
        <v>0.129</v>
      </c>
      <c r="D166" s="2951">
        <v>0.129</v>
      </c>
      <c r="E166" s="2951">
        <v>0.123</v>
      </c>
      <c r="F166" s="2951">
        <v>0.128</v>
      </c>
      <c r="G166" s="2952">
        <v>0.13</v>
      </c>
    </row>
    <row r="167" spans="1:7">
      <c r="A167" s="2961" t="s">
        <v>29</v>
      </c>
      <c r="B167" s="2950" t="s">
        <v>3010</v>
      </c>
      <c r="C167" s="2951">
        <v>0.125</v>
      </c>
      <c r="D167" s="2951">
        <v>0.125</v>
      </c>
      <c r="E167" s="2951">
        <v>0.11700000000000001</v>
      </c>
      <c r="F167" s="2951">
        <v>0.13</v>
      </c>
      <c r="G167" s="2952">
        <v>0.126</v>
      </c>
    </row>
    <row r="168" spans="1:7">
      <c r="A168" s="2961" t="s">
        <v>29</v>
      </c>
      <c r="B168" s="2950" t="s">
        <v>3015</v>
      </c>
      <c r="C168" s="2951">
        <v>0.128</v>
      </c>
      <c r="D168" s="2951">
        <v>0.128</v>
      </c>
      <c r="E168" s="2951">
        <v>0.123</v>
      </c>
      <c r="F168" s="2962"/>
      <c r="G168" s="2952">
        <v>0.13</v>
      </c>
    </row>
    <row r="169" spans="1:7">
      <c r="A169" s="2961" t="s">
        <v>29</v>
      </c>
      <c r="B169" s="2950" t="s">
        <v>3168</v>
      </c>
      <c r="C169" s="2967"/>
      <c r="D169" s="2967"/>
      <c r="E169" s="2967"/>
      <c r="F169" s="2951">
        <v>0.05</v>
      </c>
      <c r="G169" s="2963"/>
    </row>
    <row r="170" spans="1:7">
      <c r="A170" s="2961" t="s">
        <v>29</v>
      </c>
      <c r="B170" s="2950" t="s">
        <v>3169</v>
      </c>
      <c r="C170" s="2967"/>
      <c r="D170" s="2967"/>
      <c r="E170" s="2967"/>
      <c r="F170" s="2951">
        <v>0.05</v>
      </c>
      <c r="G170" s="2963"/>
    </row>
    <row r="171" spans="1:7">
      <c r="A171" s="2961" t="s">
        <v>29</v>
      </c>
      <c r="B171" s="2950" t="s">
        <v>3170</v>
      </c>
      <c r="C171" s="2967"/>
      <c r="D171" s="2967"/>
      <c r="E171" s="2967"/>
      <c r="F171" s="2951">
        <v>0.05</v>
      </c>
      <c r="G171" s="2968"/>
    </row>
    <row r="172" spans="1:7">
      <c r="A172" s="2961" t="s">
        <v>29</v>
      </c>
      <c r="B172" s="2950" t="s">
        <v>3171</v>
      </c>
      <c r="C172" s="2967"/>
      <c r="D172" s="2967"/>
      <c r="E172" s="2967"/>
      <c r="F172" s="2951">
        <v>0.05</v>
      </c>
      <c r="G172" s="2968"/>
    </row>
    <row r="173" spans="1:7">
      <c r="A173" s="2961" t="s">
        <v>29</v>
      </c>
      <c r="B173" s="2950" t="s">
        <v>3172</v>
      </c>
      <c r="C173" s="2967"/>
      <c r="D173" s="2967"/>
      <c r="E173" s="2967"/>
      <c r="F173" s="2951">
        <v>0.05</v>
      </c>
      <c r="G173" s="2963"/>
    </row>
    <row r="174" spans="1:7">
      <c r="A174" s="2961" t="s">
        <v>29</v>
      </c>
      <c r="B174" s="2950" t="s">
        <v>3173</v>
      </c>
      <c r="C174" s="2967"/>
      <c r="D174" s="2967"/>
      <c r="E174" s="2967"/>
      <c r="F174" s="2951">
        <v>0.05</v>
      </c>
      <c r="G174" s="2963"/>
    </row>
    <row r="175" spans="1:7">
      <c r="A175" s="2961" t="s">
        <v>29</v>
      </c>
      <c r="B175" s="2950" t="s">
        <v>3174</v>
      </c>
      <c r="C175" s="2967"/>
      <c r="D175" s="2967"/>
      <c r="E175" s="2967"/>
      <c r="F175" s="2951">
        <v>0.05</v>
      </c>
      <c r="G175" s="2963"/>
    </row>
    <row r="176" spans="1:7">
      <c r="A176" s="2961" t="s">
        <v>29</v>
      </c>
      <c r="B176" s="2950" t="s">
        <v>3175</v>
      </c>
      <c r="C176" s="2967"/>
      <c r="D176" s="2967"/>
      <c r="E176" s="2967"/>
      <c r="F176" s="2951">
        <v>0.05</v>
      </c>
      <c r="G176" s="2963"/>
    </row>
    <row r="177" spans="1:7">
      <c r="A177" s="2961" t="s">
        <v>29</v>
      </c>
      <c r="B177" s="2950" t="s">
        <v>3176</v>
      </c>
      <c r="C177" s="2962"/>
      <c r="D177" s="2962"/>
      <c r="E177" s="2962"/>
      <c r="F177" s="2951">
        <v>0.05</v>
      </c>
      <c r="G177" s="2968"/>
    </row>
    <row r="178" spans="1:7">
      <c r="A178" s="2961" t="s">
        <v>29</v>
      </c>
      <c r="B178" s="2950" t="s">
        <v>3177</v>
      </c>
      <c r="C178" s="2962"/>
      <c r="D178" s="2962"/>
      <c r="E178" s="2962"/>
      <c r="F178" s="2951">
        <v>0.05</v>
      </c>
      <c r="G178" s="2968"/>
    </row>
    <row r="179" spans="1:7">
      <c r="A179" s="2961" t="s">
        <v>29</v>
      </c>
      <c r="B179" s="2950" t="s">
        <v>3178</v>
      </c>
      <c r="C179" s="2962"/>
      <c r="D179" s="2962"/>
      <c r="E179" s="2962"/>
      <c r="F179" s="2951">
        <v>0.05</v>
      </c>
      <c r="G179" s="2968"/>
    </row>
    <row r="180" spans="1:7">
      <c r="A180" s="2961" t="s">
        <v>29</v>
      </c>
      <c r="B180" s="2950" t="s">
        <v>3179</v>
      </c>
      <c r="C180" s="2962"/>
      <c r="D180" s="2962"/>
      <c r="E180" s="2962"/>
      <c r="F180" s="2951">
        <v>0.05</v>
      </c>
      <c r="G180" s="2968"/>
    </row>
    <row r="181" spans="1:7">
      <c r="A181" s="2961" t="s">
        <v>29</v>
      </c>
      <c r="B181" s="2950" t="s">
        <v>3180</v>
      </c>
      <c r="C181" s="2962"/>
      <c r="D181" s="2962"/>
      <c r="E181" s="2962"/>
      <c r="F181" s="2951">
        <v>0.05</v>
      </c>
      <c r="G181" s="2968"/>
    </row>
    <row r="182" spans="1:7">
      <c r="A182" s="2961" t="s">
        <v>29</v>
      </c>
      <c r="B182" s="2950" t="s">
        <v>3181</v>
      </c>
      <c r="C182" s="2962"/>
      <c r="D182" s="2962"/>
      <c r="E182" s="2962"/>
      <c r="F182" s="2951">
        <v>0.05</v>
      </c>
      <c r="G182" s="2968"/>
    </row>
    <row r="183" spans="1:7">
      <c r="A183" s="2961" t="s">
        <v>29</v>
      </c>
      <c r="B183" s="2950" t="s">
        <v>3182</v>
      </c>
      <c r="C183" s="2962"/>
      <c r="D183" s="2962"/>
      <c r="E183" s="2962"/>
      <c r="F183" s="2951">
        <v>0.05</v>
      </c>
      <c r="G183" s="2968"/>
    </row>
    <row r="184" spans="1:7">
      <c r="A184" s="2961" t="s">
        <v>29</v>
      </c>
      <c r="B184" s="2950" t="s">
        <v>3183</v>
      </c>
      <c r="C184" s="2962"/>
      <c r="D184" s="2962"/>
      <c r="E184" s="2962"/>
      <c r="F184" s="2951">
        <v>0.05</v>
      </c>
      <c r="G184" s="2968"/>
    </row>
    <row r="185" spans="1:7">
      <c r="A185" s="2961" t="s">
        <v>29</v>
      </c>
      <c r="B185" s="2950" t="s">
        <v>3184</v>
      </c>
      <c r="C185" s="2962"/>
      <c r="D185" s="2962"/>
      <c r="E185" s="2962"/>
      <c r="F185" s="2951">
        <v>0.05</v>
      </c>
      <c r="G185" s="2968"/>
    </row>
    <row r="186" spans="1:7">
      <c r="A186" s="2961" t="s">
        <v>29</v>
      </c>
      <c r="B186" s="2950" t="s">
        <v>3185</v>
      </c>
      <c r="C186" s="2962"/>
      <c r="D186" s="2962"/>
      <c r="E186" s="2962"/>
      <c r="F186" s="2951">
        <v>0.05</v>
      </c>
      <c r="G186" s="2968"/>
    </row>
    <row r="187" spans="1:7">
      <c r="A187" s="2961" t="s">
        <v>29</v>
      </c>
      <c r="B187" s="2950" t="s">
        <v>3186</v>
      </c>
      <c r="C187" s="2962"/>
      <c r="D187" s="2962"/>
      <c r="E187" s="2962"/>
      <c r="F187" s="2951">
        <v>0.05</v>
      </c>
      <c r="G187" s="2968"/>
    </row>
    <row r="188" spans="1:7">
      <c r="A188" s="2961" t="s">
        <v>29</v>
      </c>
      <c r="B188" s="2950" t="s">
        <v>3187</v>
      </c>
      <c r="C188" s="2962"/>
      <c r="D188" s="2962"/>
      <c r="E188" s="2962"/>
      <c r="F188" s="2951">
        <v>0.05</v>
      </c>
      <c r="G188" s="2968"/>
    </row>
    <row r="189" spans="1:7" ht="14.25" thickBot="1">
      <c r="A189" s="2964" t="s">
        <v>29</v>
      </c>
      <c r="B189" s="2954" t="s">
        <v>3188</v>
      </c>
      <c r="C189" s="2956"/>
      <c r="D189" s="2956"/>
      <c r="E189" s="2956"/>
      <c r="F189" s="2955">
        <v>0.05</v>
      </c>
      <c r="G189" s="2969"/>
    </row>
    <row r="190" spans="1:7">
      <c r="A190" s="2960" t="s">
        <v>304</v>
      </c>
      <c r="B190" s="2946" t="s">
        <v>2844</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2880</v>
      </c>
      <c r="C199" s="2951">
        <v>0.13</v>
      </c>
      <c r="D199" s="2951">
        <v>0.13</v>
      </c>
      <c r="E199" s="2951">
        <v>0.13</v>
      </c>
      <c r="F199" s="2951">
        <v>0.13</v>
      </c>
      <c r="G199" s="2952">
        <v>0.13</v>
      </c>
    </row>
    <row r="200" spans="1:7">
      <c r="A200" s="2961" t="s">
        <v>304</v>
      </c>
      <c r="B200" s="2950" t="s">
        <v>2883</v>
      </c>
      <c r="C200" s="2967"/>
      <c r="D200" s="2967"/>
      <c r="E200" s="2967"/>
      <c r="F200" s="2951">
        <v>0.13</v>
      </c>
      <c r="G200" s="2963"/>
    </row>
    <row r="201" spans="1:7">
      <c r="A201" s="2961" t="s">
        <v>304</v>
      </c>
      <c r="B201" s="2950" t="s">
        <v>2888</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2891</v>
      </c>
      <c r="C203" s="2951">
        <v>0.129</v>
      </c>
      <c r="D203" s="2951">
        <v>0.129</v>
      </c>
      <c r="E203" s="2951">
        <v>0.13</v>
      </c>
      <c r="F203" s="2951">
        <v>0.13</v>
      </c>
      <c r="G203" s="2952">
        <v>0.13</v>
      </c>
    </row>
    <row r="204" spans="1:7">
      <c r="A204" s="2961" t="s">
        <v>304</v>
      </c>
      <c r="B204" s="2950" t="s">
        <v>2894</v>
      </c>
      <c r="C204" s="2951">
        <v>0.129</v>
      </c>
      <c r="D204" s="2951">
        <v>0.129</v>
      </c>
      <c r="E204" s="2951">
        <v>0.123</v>
      </c>
      <c r="F204" s="2951">
        <v>0.13</v>
      </c>
      <c r="G204" s="2952">
        <v>0.13</v>
      </c>
    </row>
    <row r="205" spans="1:7">
      <c r="A205" s="2961" t="s">
        <v>304</v>
      </c>
      <c r="B205" s="2950" t="s">
        <v>2896</v>
      </c>
      <c r="C205" s="2951">
        <v>0.13</v>
      </c>
      <c r="D205" s="2951">
        <v>0.13</v>
      </c>
      <c r="E205" s="2951">
        <v>0.13</v>
      </c>
      <c r="F205" s="2951">
        <v>0.13</v>
      </c>
      <c r="G205" s="2952">
        <v>0.13</v>
      </c>
    </row>
    <row r="206" spans="1:7">
      <c r="A206" s="2961" t="s">
        <v>304</v>
      </c>
      <c r="B206" s="2950" t="s">
        <v>2899</v>
      </c>
      <c r="C206" s="2951">
        <v>0.13</v>
      </c>
      <c r="D206" s="2951">
        <v>0.13</v>
      </c>
      <c r="E206" s="2951">
        <v>0.13</v>
      </c>
      <c r="F206" s="2951">
        <v>0.128</v>
      </c>
      <c r="G206" s="2952">
        <v>0.13</v>
      </c>
    </row>
    <row r="207" spans="1:7">
      <c r="A207" s="2961" t="s">
        <v>304</v>
      </c>
      <c r="B207" s="2950" t="s">
        <v>2901</v>
      </c>
      <c r="C207" s="2951">
        <v>0.13</v>
      </c>
      <c r="D207" s="2951">
        <v>0.13</v>
      </c>
      <c r="E207" s="2951">
        <v>0.13</v>
      </c>
      <c r="F207" s="2951">
        <v>0.13</v>
      </c>
      <c r="G207" s="2952">
        <v>0.13</v>
      </c>
    </row>
    <row r="208" spans="1:7">
      <c r="A208" s="2961" t="s">
        <v>304</v>
      </c>
      <c r="B208" s="2950" t="s">
        <v>2904</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2911</v>
      </c>
      <c r="C210" s="2951">
        <v>0.121</v>
      </c>
      <c r="D210" s="2951">
        <v>0.121</v>
      </c>
      <c r="E210" s="2951">
        <v>0.125</v>
      </c>
      <c r="F210" s="2951">
        <v>0.13</v>
      </c>
      <c r="G210" s="2952">
        <v>0.123</v>
      </c>
    </row>
    <row r="211" spans="1:7">
      <c r="A211" s="2961" t="s">
        <v>304</v>
      </c>
      <c r="B211" s="2950" t="s">
        <v>2914</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2926</v>
      </c>
      <c r="C214" s="2951">
        <v>0.128</v>
      </c>
      <c r="D214" s="2951">
        <v>0.128</v>
      </c>
      <c r="E214" s="2951">
        <v>0.13</v>
      </c>
      <c r="F214" s="2951">
        <v>0.13</v>
      </c>
      <c r="G214" s="2952">
        <v>0.13</v>
      </c>
    </row>
    <row r="215" spans="1:7">
      <c r="A215" s="2961" t="s">
        <v>304</v>
      </c>
      <c r="B215" s="2950" t="s">
        <v>2930</v>
      </c>
      <c r="C215" s="2951">
        <v>0.13</v>
      </c>
      <c r="D215" s="2951">
        <v>0.13</v>
      </c>
      <c r="E215" s="2951">
        <v>0.13</v>
      </c>
      <c r="F215" s="2951">
        <v>0.129</v>
      </c>
      <c r="G215" s="2952">
        <v>0.13</v>
      </c>
    </row>
    <row r="216" spans="1:7">
      <c r="A216" s="2961" t="s">
        <v>304</v>
      </c>
      <c r="B216" s="2950" t="s">
        <v>2937</v>
      </c>
      <c r="C216" s="2951">
        <v>0.13</v>
      </c>
      <c r="D216" s="2951">
        <v>0.13</v>
      </c>
      <c r="E216" s="2951">
        <v>0.13</v>
      </c>
      <c r="F216" s="2951">
        <v>0.13</v>
      </c>
      <c r="G216" s="2952">
        <v>0.13</v>
      </c>
    </row>
    <row r="217" spans="1:7">
      <c r="A217" s="2961" t="s">
        <v>304</v>
      </c>
      <c r="B217" s="2950" t="s">
        <v>2944</v>
      </c>
      <c r="C217" s="2951">
        <v>0.129</v>
      </c>
      <c r="D217" s="2951">
        <v>0.129</v>
      </c>
      <c r="E217" s="2951">
        <v>0.13</v>
      </c>
      <c r="F217" s="2951">
        <v>0.13</v>
      </c>
      <c r="G217" s="2952">
        <v>0.13</v>
      </c>
    </row>
    <row r="218" spans="1:7">
      <c r="A218" s="2961" t="s">
        <v>304</v>
      </c>
      <c r="B218" s="2950" t="s">
        <v>2950</v>
      </c>
      <c r="C218" s="2962"/>
      <c r="D218" s="2962"/>
      <c r="E218" s="2962"/>
      <c r="F218" s="2951">
        <v>0.05</v>
      </c>
      <c r="G218" s="2968"/>
    </row>
    <row r="219" spans="1:7">
      <c r="A219" s="2961" t="s">
        <v>304</v>
      </c>
      <c r="B219" s="2950" t="s">
        <v>2957</v>
      </c>
      <c r="C219" s="2962"/>
      <c r="D219" s="2962"/>
      <c r="E219" s="2962"/>
      <c r="F219" s="2951">
        <v>0.05</v>
      </c>
      <c r="G219" s="2968"/>
    </row>
    <row r="220" spans="1:7">
      <c r="A220" s="2961" t="s">
        <v>304</v>
      </c>
      <c r="B220" s="2950" t="s">
        <v>2963</v>
      </c>
      <c r="C220" s="2962"/>
      <c r="D220" s="2962"/>
      <c r="E220" s="2962"/>
      <c r="F220" s="2951">
        <v>0.05</v>
      </c>
      <c r="G220" s="2968"/>
    </row>
    <row r="221" spans="1:7">
      <c r="A221" s="2961" t="s">
        <v>304</v>
      </c>
      <c r="B221" s="2950" t="s">
        <v>2968</v>
      </c>
      <c r="C221" s="2962"/>
      <c r="D221" s="2962"/>
      <c r="E221" s="2962"/>
      <c r="F221" s="2951">
        <v>0.05</v>
      </c>
      <c r="G221" s="2968"/>
    </row>
    <row r="222" spans="1:7">
      <c r="A222" s="2961" t="s">
        <v>304</v>
      </c>
      <c r="B222" s="2950" t="s">
        <v>2972</v>
      </c>
      <c r="C222" s="2962"/>
      <c r="D222" s="2962"/>
      <c r="E222" s="2962"/>
      <c r="F222" s="2951">
        <v>0.05</v>
      </c>
      <c r="G222" s="2968"/>
    </row>
    <row r="223" spans="1:7">
      <c r="A223" s="2961" t="s">
        <v>304</v>
      </c>
      <c r="B223" s="2950" t="s">
        <v>2977</v>
      </c>
      <c r="C223" s="2962"/>
      <c r="D223" s="2962"/>
      <c r="E223" s="2962"/>
      <c r="F223" s="2951">
        <v>0.05</v>
      </c>
      <c r="G223" s="2968"/>
    </row>
    <row r="224" spans="1:7">
      <c r="A224" s="2961" t="s">
        <v>304</v>
      </c>
      <c r="B224" s="2950" t="s">
        <v>2982</v>
      </c>
      <c r="C224" s="2962"/>
      <c r="D224" s="2962"/>
      <c r="E224" s="2962"/>
      <c r="F224" s="2951">
        <v>0.05</v>
      </c>
      <c r="G224" s="2968"/>
    </row>
    <row r="225" spans="1:7">
      <c r="A225" s="2961" t="s">
        <v>304</v>
      </c>
      <c r="B225" s="2950" t="s">
        <v>2987</v>
      </c>
      <c r="C225" s="2962"/>
      <c r="D225" s="2962"/>
      <c r="E225" s="2962"/>
      <c r="F225" s="2951">
        <v>0.05</v>
      </c>
      <c r="G225" s="2968"/>
    </row>
    <row r="226" spans="1:7">
      <c r="A226" s="2961" t="s">
        <v>304</v>
      </c>
      <c r="B226" s="2950" t="s">
        <v>3189</v>
      </c>
      <c r="C226" s="2962"/>
      <c r="D226" s="2962"/>
      <c r="E226" s="2962"/>
      <c r="F226" s="2951">
        <v>0.05</v>
      </c>
      <c r="G226" s="2968"/>
    </row>
    <row r="227" spans="1:7">
      <c r="A227" s="2961" t="s">
        <v>304</v>
      </c>
      <c r="B227" s="2950" t="s">
        <v>3190</v>
      </c>
      <c r="C227" s="2962"/>
      <c r="D227" s="2962"/>
      <c r="E227" s="2962"/>
      <c r="F227" s="2951">
        <v>0.05</v>
      </c>
      <c r="G227" s="2968"/>
    </row>
    <row r="228" spans="1:7">
      <c r="A228" s="2961" t="s">
        <v>304</v>
      </c>
      <c r="B228" s="2950" t="s">
        <v>3191</v>
      </c>
      <c r="C228" s="2962"/>
      <c r="D228" s="2962"/>
      <c r="E228" s="2962"/>
      <c r="F228" s="2951">
        <v>0.05</v>
      </c>
      <c r="G228" s="2968"/>
    </row>
    <row r="229" spans="1:7">
      <c r="A229" s="2961" t="s">
        <v>304</v>
      </c>
      <c r="B229" s="2950" t="s">
        <v>3192</v>
      </c>
      <c r="C229" s="2962"/>
      <c r="D229" s="2962"/>
      <c r="E229" s="2962"/>
      <c r="F229" s="2951">
        <v>0.05</v>
      </c>
      <c r="G229" s="2968"/>
    </row>
    <row r="230" spans="1:7">
      <c r="A230" s="2961" t="s">
        <v>304</v>
      </c>
      <c r="B230" s="2950" t="s">
        <v>3193</v>
      </c>
      <c r="C230" s="2962"/>
      <c r="D230" s="2962"/>
      <c r="E230" s="2962"/>
      <c r="F230" s="2951">
        <v>0.05</v>
      </c>
      <c r="G230" s="2968"/>
    </row>
    <row r="231" spans="1:7">
      <c r="A231" s="2961" t="s">
        <v>304</v>
      </c>
      <c r="B231" s="2950" t="s">
        <v>3194</v>
      </c>
      <c r="C231" s="2962"/>
      <c r="D231" s="2962"/>
      <c r="E231" s="2962"/>
      <c r="F231" s="2951">
        <v>0.05</v>
      </c>
      <c r="G231" s="2968"/>
    </row>
    <row r="232" spans="1:7">
      <c r="A232" s="2961" t="s">
        <v>304</v>
      </c>
      <c r="B232" s="2950" t="s">
        <v>3195</v>
      </c>
      <c r="C232" s="2962"/>
      <c r="D232" s="2962"/>
      <c r="E232" s="2962"/>
      <c r="F232" s="2951">
        <v>0.05</v>
      </c>
      <c r="G232" s="2968"/>
    </row>
    <row r="233" spans="1:7" ht="14.25" thickBot="1">
      <c r="A233" s="2964" t="s">
        <v>304</v>
      </c>
      <c r="B233" s="2954" t="s">
        <v>3196</v>
      </c>
      <c r="C233" s="2956"/>
      <c r="D233" s="2956"/>
      <c r="E233" s="2956"/>
      <c r="F233" s="2955">
        <v>0.05</v>
      </c>
      <c r="G233" s="2969"/>
    </row>
    <row r="234" spans="1:7">
      <c r="A234" s="2960" t="s">
        <v>305</v>
      </c>
      <c r="B234" s="2946" t="s">
        <v>2845</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2865</v>
      </c>
      <c r="C238" s="2951">
        <v>0.14899999999999999</v>
      </c>
      <c r="D238" s="2951">
        <v>0.14899999999999999</v>
      </c>
      <c r="E238" s="2951">
        <v>0.15</v>
      </c>
      <c r="F238" s="2951">
        <v>0.15</v>
      </c>
      <c r="G238" s="2952">
        <v>0.15</v>
      </c>
    </row>
    <row r="239" spans="1:7">
      <c r="A239" s="2961" t="s">
        <v>305</v>
      </c>
      <c r="B239" s="2950" t="s">
        <v>2869</v>
      </c>
      <c r="C239" s="2951">
        <v>0.15</v>
      </c>
      <c r="D239" s="2951">
        <v>0.15</v>
      </c>
      <c r="E239" s="2951">
        <v>0.15</v>
      </c>
      <c r="F239" s="2951">
        <v>0.15</v>
      </c>
      <c r="G239" s="2952">
        <v>0.15</v>
      </c>
    </row>
    <row r="240" spans="1:7">
      <c r="A240" s="2961" t="s">
        <v>305</v>
      </c>
      <c r="B240" s="2950" t="s">
        <v>2874</v>
      </c>
      <c r="C240" s="2951">
        <v>0.15</v>
      </c>
      <c r="D240" s="2951">
        <v>0.15</v>
      </c>
      <c r="E240" s="2951">
        <v>0.15</v>
      </c>
      <c r="F240" s="2951">
        <v>0.15</v>
      </c>
      <c r="G240" s="2952">
        <v>0.15</v>
      </c>
    </row>
    <row r="241" spans="1:7">
      <c r="A241" s="2961" t="s">
        <v>305</v>
      </c>
      <c r="B241" s="2950" t="s">
        <v>2878</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2884</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2892</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2897</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2905</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2918</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2927</v>
      </c>
      <c r="C258" s="2951">
        <v>0.14299999999999999</v>
      </c>
      <c r="D258" s="2951">
        <v>0.14299999999999999</v>
      </c>
      <c r="E258" s="2951">
        <v>0.15</v>
      </c>
      <c r="F258" s="2951">
        <v>0.14799999999999999</v>
      </c>
      <c r="G258" s="2952">
        <v>0.14599999999999999</v>
      </c>
    </row>
    <row r="259" spans="1:7">
      <c r="A259" s="2961" t="s">
        <v>305</v>
      </c>
      <c r="B259" s="2950" t="s">
        <v>2931</v>
      </c>
      <c r="C259" s="2951">
        <v>0.14399999999999999</v>
      </c>
      <c r="D259" s="2951">
        <v>0.14399999999999999</v>
      </c>
      <c r="E259" s="2951">
        <v>0.14899999999999999</v>
      </c>
      <c r="F259" s="2951">
        <v>0.14699999999999999</v>
      </c>
      <c r="G259" s="2952">
        <v>0.14599999999999999</v>
      </c>
    </row>
    <row r="260" spans="1:7">
      <c r="A260" s="2961" t="s">
        <v>305</v>
      </c>
      <c r="B260" s="2950" t="s">
        <v>2938</v>
      </c>
      <c r="C260" s="2951">
        <v>0.109</v>
      </c>
      <c r="D260" s="2951">
        <v>0.111</v>
      </c>
      <c r="E260" s="2951">
        <v>0.13100000000000001</v>
      </c>
      <c r="F260" s="2951">
        <v>0.126</v>
      </c>
      <c r="G260" s="2952">
        <v>0.11899999999999999</v>
      </c>
    </row>
    <row r="261" spans="1:7">
      <c r="A261" s="2961" t="s">
        <v>305</v>
      </c>
      <c r="B261" s="2950" t="s">
        <v>2945</v>
      </c>
      <c r="C261" s="2951">
        <v>0.1</v>
      </c>
      <c r="D261" s="2951">
        <v>0.1</v>
      </c>
      <c r="E261" s="2951">
        <v>0.11799999999999999</v>
      </c>
      <c r="F261" s="2951">
        <v>0.108</v>
      </c>
      <c r="G261" s="2952">
        <v>0.107</v>
      </c>
    </row>
    <row r="262" spans="1:7">
      <c r="A262" s="2961" t="s">
        <v>305</v>
      </c>
      <c r="B262" s="2950" t="s">
        <v>2951</v>
      </c>
      <c r="C262" s="2951">
        <v>0.1</v>
      </c>
      <c r="D262" s="2951">
        <v>0.1</v>
      </c>
      <c r="E262" s="2951">
        <v>0.1</v>
      </c>
      <c r="F262" s="2951">
        <v>0.14099999999999999</v>
      </c>
      <c r="G262" s="2952">
        <v>0.1</v>
      </c>
    </row>
    <row r="263" spans="1:7">
      <c r="A263" s="2961" t="s">
        <v>305</v>
      </c>
      <c r="B263" s="2950" t="s">
        <v>2958</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2969</v>
      </c>
      <c r="C265" s="2962"/>
      <c r="D265" s="2962"/>
      <c r="E265" s="2962"/>
      <c r="F265" s="2951">
        <v>0.05</v>
      </c>
      <c r="G265" s="2968"/>
    </row>
    <row r="266" spans="1:7">
      <c r="A266" s="2961" t="s">
        <v>305</v>
      </c>
      <c r="B266" s="2950" t="s">
        <v>2973</v>
      </c>
      <c r="C266" s="2962"/>
      <c r="D266" s="2962"/>
      <c r="E266" s="2962"/>
      <c r="F266" s="2951">
        <v>0.05</v>
      </c>
      <c r="G266" s="2968"/>
    </row>
    <row r="267" spans="1:7">
      <c r="A267" s="2961" t="s">
        <v>305</v>
      </c>
      <c r="B267" s="2950" t="s">
        <v>2978</v>
      </c>
      <c r="C267" s="2962"/>
      <c r="D267" s="2962"/>
      <c r="E267" s="2962"/>
      <c r="F267" s="2951">
        <v>0.05</v>
      </c>
      <c r="G267" s="2968"/>
    </row>
    <row r="268" spans="1:7">
      <c r="A268" s="2961" t="s">
        <v>305</v>
      </c>
      <c r="B268" s="2950" t="s">
        <v>2983</v>
      </c>
      <c r="C268" s="2962"/>
      <c r="D268" s="2962"/>
      <c r="E268" s="2962"/>
      <c r="F268" s="2951">
        <v>0.05</v>
      </c>
      <c r="G268" s="2968"/>
    </row>
    <row r="269" spans="1:7">
      <c r="A269" s="2961" t="s">
        <v>305</v>
      </c>
      <c r="B269" s="2950" t="s">
        <v>2988</v>
      </c>
      <c r="C269" s="2962"/>
      <c r="D269" s="2962"/>
      <c r="E269" s="2962"/>
      <c r="F269" s="2951">
        <v>0.05</v>
      </c>
      <c r="G269" s="2968"/>
    </row>
    <row r="270" spans="1:7">
      <c r="A270" s="2961" t="s">
        <v>305</v>
      </c>
      <c r="B270" s="2950" t="s">
        <v>2993</v>
      </c>
      <c r="C270" s="2962"/>
      <c r="D270" s="2962"/>
      <c r="E270" s="2962"/>
      <c r="F270" s="2951">
        <v>0.05</v>
      </c>
      <c r="G270" s="2968"/>
    </row>
    <row r="271" spans="1:7">
      <c r="A271" s="2961" t="s">
        <v>305</v>
      </c>
      <c r="B271" s="2950" t="s">
        <v>3197</v>
      </c>
      <c r="C271" s="2962"/>
      <c r="D271" s="2962"/>
      <c r="E271" s="2962"/>
      <c r="F271" s="2951">
        <v>0.05</v>
      </c>
      <c r="G271" s="2968"/>
    </row>
    <row r="272" spans="1:7">
      <c r="A272" s="2961" t="s">
        <v>305</v>
      </c>
      <c r="B272" s="2950" t="s">
        <v>3198</v>
      </c>
      <c r="C272" s="2962"/>
      <c r="D272" s="2962"/>
      <c r="E272" s="2962"/>
      <c r="F272" s="2951">
        <v>0.05</v>
      </c>
      <c r="G272" s="2968"/>
    </row>
    <row r="273" spans="1:7">
      <c r="A273" s="2961" t="s">
        <v>305</v>
      </c>
      <c r="B273" s="2950" t="s">
        <v>3199</v>
      </c>
      <c r="C273" s="2962"/>
      <c r="D273" s="2962"/>
      <c r="E273" s="2962"/>
      <c r="F273" s="2951">
        <v>0.05</v>
      </c>
      <c r="G273" s="2968"/>
    </row>
    <row r="274" spans="1:7">
      <c r="A274" s="2961" t="s">
        <v>305</v>
      </c>
      <c r="B274" s="2950" t="s">
        <v>3200</v>
      </c>
      <c r="C274" s="2962"/>
      <c r="D274" s="2962"/>
      <c r="E274" s="2962"/>
      <c r="F274" s="2951">
        <v>0.05</v>
      </c>
      <c r="G274" s="2968"/>
    </row>
    <row r="275" spans="1:7">
      <c r="A275" s="2961" t="s">
        <v>305</v>
      </c>
      <c r="B275" s="2950" t="s">
        <v>3201</v>
      </c>
      <c r="C275" s="2962"/>
      <c r="D275" s="2962"/>
      <c r="E275" s="2962"/>
      <c r="F275" s="2951">
        <v>0.05</v>
      </c>
      <c r="G275" s="2968"/>
    </row>
    <row r="276" spans="1:7" ht="14.25" thickBot="1">
      <c r="A276" s="2964" t="s">
        <v>305</v>
      </c>
      <c r="B276" s="2954" t="s">
        <v>3202</v>
      </c>
      <c r="C276" s="2956"/>
      <c r="D276" s="2956"/>
      <c r="E276" s="2956"/>
      <c r="F276" s="2955">
        <v>0.05</v>
      </c>
      <c r="G276" s="2969"/>
    </row>
    <row r="277" spans="1:7">
      <c r="A277" s="2960" t="s">
        <v>306</v>
      </c>
      <c r="B277" s="2946" t="s">
        <v>2846</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2858</v>
      </c>
      <c r="C279" s="2951">
        <v>0.15</v>
      </c>
      <c r="D279" s="2951">
        <v>0.15</v>
      </c>
      <c r="E279" s="2951">
        <v>0.15</v>
      </c>
      <c r="F279" s="2951">
        <v>0.15</v>
      </c>
      <c r="G279" s="2952">
        <v>0.15</v>
      </c>
    </row>
    <row r="280" spans="1:7">
      <c r="A280" s="2961" t="s">
        <v>306</v>
      </c>
      <c r="B280" s="2950" t="s">
        <v>2862</v>
      </c>
      <c r="C280" s="2951">
        <v>0.15</v>
      </c>
      <c r="D280" s="2951">
        <v>0.15</v>
      </c>
      <c r="E280" s="2951">
        <v>0.15</v>
      </c>
      <c r="F280" s="2951">
        <v>0.15</v>
      </c>
      <c r="G280" s="2952">
        <v>0.15</v>
      </c>
    </row>
    <row r="281" spans="1:7">
      <c r="A281" s="2961" t="s">
        <v>306</v>
      </c>
      <c r="B281" s="2950" t="s">
        <v>2866</v>
      </c>
      <c r="C281" s="2951">
        <v>0.15</v>
      </c>
      <c r="D281" s="2951">
        <v>0.15</v>
      </c>
      <c r="E281" s="2951">
        <v>0.15</v>
      </c>
      <c r="F281" s="2951">
        <v>0.15</v>
      </c>
      <c r="G281" s="2952">
        <v>0.15</v>
      </c>
    </row>
    <row r="282" spans="1:7">
      <c r="A282" s="2961" t="s">
        <v>306</v>
      </c>
      <c r="B282" s="2950" t="s">
        <v>2870</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2885</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2890</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2900</v>
      </c>
      <c r="C293" s="2951">
        <v>0.15</v>
      </c>
      <c r="D293" s="2951">
        <v>0.15</v>
      </c>
      <c r="E293" s="2951">
        <v>0.15</v>
      </c>
      <c r="F293" s="2951">
        <v>0.14499999999999999</v>
      </c>
      <c r="G293" s="2952">
        <v>0.15</v>
      </c>
    </row>
    <row r="294" spans="1:7">
      <c r="A294" s="2961" t="s">
        <v>306</v>
      </c>
      <c r="B294" s="2950" t="s">
        <v>2902</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2919</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2932</v>
      </c>
      <c r="C302" s="2951">
        <v>0.15</v>
      </c>
      <c r="D302" s="2951">
        <v>0.15</v>
      </c>
      <c r="E302" s="2951">
        <v>0.15</v>
      </c>
      <c r="F302" s="2951">
        <v>0.14699999999999999</v>
      </c>
      <c r="G302" s="2952">
        <v>0.15</v>
      </c>
    </row>
    <row r="303" spans="1:7">
      <c r="A303" s="2961" t="s">
        <v>306</v>
      </c>
      <c r="B303" s="2950" t="s">
        <v>2939</v>
      </c>
      <c r="C303" s="2951">
        <v>0.15</v>
      </c>
      <c r="D303" s="2951">
        <v>0.15</v>
      </c>
      <c r="E303" s="2951">
        <v>0.15</v>
      </c>
      <c r="F303" s="2951">
        <v>0.14199999999999999</v>
      </c>
      <c r="G303" s="2952">
        <v>0.15</v>
      </c>
    </row>
    <row r="304" spans="1:7">
      <c r="A304" s="2961" t="s">
        <v>306</v>
      </c>
      <c r="B304" s="2950" t="s">
        <v>2946</v>
      </c>
      <c r="C304" s="2951">
        <v>0.15</v>
      </c>
      <c r="D304" s="2951">
        <v>0.15</v>
      </c>
      <c r="E304" s="2951">
        <v>0.15</v>
      </c>
      <c r="F304" s="2951">
        <v>0.14499999999999999</v>
      </c>
      <c r="G304" s="2952">
        <v>0.15</v>
      </c>
    </row>
    <row r="305" spans="1:7">
      <c r="A305" s="2961" t="s">
        <v>306</v>
      </c>
      <c r="B305" s="2950" t="s">
        <v>2952</v>
      </c>
      <c r="C305" s="2951">
        <v>0.15</v>
      </c>
      <c r="D305" s="2951">
        <v>0.15</v>
      </c>
      <c r="E305" s="2951">
        <v>0.15</v>
      </c>
      <c r="F305" s="2951">
        <v>0.111</v>
      </c>
      <c r="G305" s="2952">
        <v>0.15</v>
      </c>
    </row>
    <row r="306" spans="1:7">
      <c r="A306" s="2961" t="s">
        <v>306</v>
      </c>
      <c r="B306" s="2950" t="s">
        <v>2959</v>
      </c>
      <c r="C306" s="2951">
        <v>0.15</v>
      </c>
      <c r="D306" s="2951">
        <v>0.15</v>
      </c>
      <c r="E306" s="2951">
        <v>0.15</v>
      </c>
      <c r="F306" s="2951">
        <v>0.126</v>
      </c>
      <c r="G306" s="2952">
        <v>0.15</v>
      </c>
    </row>
    <row r="307" spans="1:7">
      <c r="A307" s="2961" t="s">
        <v>306</v>
      </c>
      <c r="B307" s="2950" t="s">
        <v>2964</v>
      </c>
      <c r="C307" s="2951">
        <v>0.15</v>
      </c>
      <c r="D307" s="2951">
        <v>0.15</v>
      </c>
      <c r="E307" s="2951">
        <v>0.15</v>
      </c>
      <c r="F307" s="2951">
        <v>0.12</v>
      </c>
      <c r="G307" s="2952">
        <v>0.15</v>
      </c>
    </row>
    <row r="308" spans="1:7">
      <c r="A308" s="2961" t="s">
        <v>306</v>
      </c>
      <c r="B308" s="2950" t="s">
        <v>2970</v>
      </c>
      <c r="C308" s="2951">
        <v>0.15</v>
      </c>
      <c r="D308" s="2951">
        <v>0.15</v>
      </c>
      <c r="E308" s="2951">
        <v>0.15</v>
      </c>
      <c r="F308" s="2951">
        <v>0.13</v>
      </c>
      <c r="G308" s="2952">
        <v>0.15</v>
      </c>
    </row>
    <row r="309" spans="1:7">
      <c r="A309" s="2961" t="s">
        <v>306</v>
      </c>
      <c r="B309" s="2950" t="s">
        <v>2974</v>
      </c>
      <c r="C309" s="2951">
        <v>0.15</v>
      </c>
      <c r="D309" s="2951">
        <v>0.15</v>
      </c>
      <c r="E309" s="2951">
        <v>0.15</v>
      </c>
      <c r="F309" s="2951">
        <v>0.14099999999999999</v>
      </c>
      <c r="G309" s="2952">
        <v>0.15</v>
      </c>
    </row>
    <row r="310" spans="1:7">
      <c r="A310" s="2961" t="s">
        <v>306</v>
      </c>
      <c r="B310" s="2950" t="s">
        <v>2979</v>
      </c>
      <c r="C310" s="2951">
        <v>0.15</v>
      </c>
      <c r="D310" s="2951">
        <v>0.15</v>
      </c>
      <c r="E310" s="2951">
        <v>0.15</v>
      </c>
      <c r="F310" s="2951">
        <v>0.15</v>
      </c>
      <c r="G310" s="2952">
        <v>0.15</v>
      </c>
    </row>
    <row r="311" spans="1:7">
      <c r="A311" s="2961" t="s">
        <v>306</v>
      </c>
      <c r="B311" s="2950" t="s">
        <v>2984</v>
      </c>
      <c r="C311" s="2951">
        <v>0.13200000000000001</v>
      </c>
      <c r="D311" s="2951">
        <v>0.13300000000000001</v>
      </c>
      <c r="E311" s="2951">
        <v>0.14499999999999999</v>
      </c>
      <c r="F311" s="2951">
        <v>0.14199999999999999</v>
      </c>
      <c r="G311" s="2952">
        <v>0.14000000000000001</v>
      </c>
    </row>
    <row r="312" spans="1:7">
      <c r="A312" s="2961" t="s">
        <v>306</v>
      </c>
      <c r="B312" s="2950" t="s">
        <v>2989</v>
      </c>
      <c r="C312" s="2951">
        <v>0.13800000000000001</v>
      </c>
      <c r="D312" s="2951">
        <v>0.14000000000000001</v>
      </c>
      <c r="E312" s="2951">
        <v>0.14599999999999999</v>
      </c>
      <c r="F312" s="2951">
        <v>0.14899999999999999</v>
      </c>
      <c r="G312" s="2952">
        <v>0.14199999999999999</v>
      </c>
    </row>
    <row r="313" spans="1:7">
      <c r="A313" s="2961" t="s">
        <v>306</v>
      </c>
      <c r="B313" s="2950" t="s">
        <v>2994</v>
      </c>
      <c r="C313" s="2951">
        <v>0.125</v>
      </c>
      <c r="D313" s="2951">
        <v>0.127</v>
      </c>
      <c r="E313" s="2951">
        <v>0.14399999999999999</v>
      </c>
      <c r="F313" s="2951">
        <v>0.115</v>
      </c>
      <c r="G313" s="2952">
        <v>0.13600000000000001</v>
      </c>
    </row>
    <row r="314" spans="1:7">
      <c r="A314" s="2961" t="s">
        <v>306</v>
      </c>
      <c r="B314" s="2950" t="s">
        <v>3203</v>
      </c>
      <c r="C314" s="2967"/>
      <c r="D314" s="2967"/>
      <c r="E314" s="2967"/>
      <c r="F314" s="2951">
        <v>0.05</v>
      </c>
      <c r="G314" s="2968"/>
    </row>
    <row r="315" spans="1:7">
      <c r="A315" s="2961" t="s">
        <v>306</v>
      </c>
      <c r="B315" s="2950" t="s">
        <v>3204</v>
      </c>
      <c r="C315" s="2967"/>
      <c r="D315" s="2967"/>
      <c r="E315" s="2967"/>
      <c r="F315" s="2951">
        <v>0.05</v>
      </c>
      <c r="G315" s="2968"/>
    </row>
    <row r="316" spans="1:7">
      <c r="A316" s="2961" t="s">
        <v>306</v>
      </c>
      <c r="B316" s="2950" t="s">
        <v>3205</v>
      </c>
      <c r="C316" s="2962"/>
      <c r="D316" s="2962"/>
      <c r="E316" s="2962"/>
      <c r="F316" s="2951">
        <v>0.05</v>
      </c>
      <c r="G316" s="2968"/>
    </row>
    <row r="317" spans="1:7">
      <c r="A317" s="2961" t="s">
        <v>306</v>
      </c>
      <c r="B317" s="2950" t="s">
        <v>3206</v>
      </c>
      <c r="C317" s="2962"/>
      <c r="D317" s="2962"/>
      <c r="E317" s="2962"/>
      <c r="F317" s="2951">
        <v>0.05</v>
      </c>
      <c r="G317" s="2968"/>
    </row>
    <row r="318" spans="1:7">
      <c r="A318" s="2961" t="s">
        <v>306</v>
      </c>
      <c r="B318" s="2950" t="s">
        <v>3207</v>
      </c>
      <c r="C318" s="2962"/>
      <c r="D318" s="2962"/>
      <c r="E318" s="2962"/>
      <c r="F318" s="2951">
        <v>0.05</v>
      </c>
      <c r="G318" s="2968"/>
    </row>
    <row r="319" spans="1:7">
      <c r="A319" s="2961" t="s">
        <v>306</v>
      </c>
      <c r="B319" s="2950" t="s">
        <v>3208</v>
      </c>
      <c r="C319" s="2962"/>
      <c r="D319" s="2962"/>
      <c r="E319" s="2962"/>
      <c r="F319" s="2951">
        <v>0.05</v>
      </c>
      <c r="G319" s="2968"/>
    </row>
    <row r="320" spans="1:7">
      <c r="A320" s="2961" t="s">
        <v>306</v>
      </c>
      <c r="B320" s="2950" t="s">
        <v>3209</v>
      </c>
      <c r="C320" s="2962"/>
      <c r="D320" s="2962"/>
      <c r="E320" s="2962"/>
      <c r="F320" s="2951">
        <v>0.05</v>
      </c>
      <c r="G320" s="2968"/>
    </row>
    <row r="321" spans="1:7">
      <c r="A321" s="2961" t="s">
        <v>306</v>
      </c>
      <c r="B321" s="2950" t="s">
        <v>3210</v>
      </c>
      <c r="C321" s="2962"/>
      <c r="D321" s="2962"/>
      <c r="E321" s="2962"/>
      <c r="F321" s="2951">
        <v>0.05</v>
      </c>
      <c r="G321" s="2968"/>
    </row>
    <row r="322" spans="1:7">
      <c r="A322" s="2961" t="s">
        <v>306</v>
      </c>
      <c r="B322" s="2950" t="s">
        <v>3211</v>
      </c>
      <c r="C322" s="2962"/>
      <c r="D322" s="2962"/>
      <c r="E322" s="2962"/>
      <c r="F322" s="2951">
        <v>0.05</v>
      </c>
      <c r="G322" s="2968"/>
    </row>
    <row r="323" spans="1:7">
      <c r="A323" s="2961" t="s">
        <v>306</v>
      </c>
      <c r="B323" s="2950" t="s">
        <v>3212</v>
      </c>
      <c r="C323" s="2962"/>
      <c r="D323" s="2962"/>
      <c r="E323" s="2962"/>
      <c r="F323" s="2951">
        <v>0.05</v>
      </c>
      <c r="G323" s="2968"/>
    </row>
    <row r="324" spans="1:7">
      <c r="A324" s="2961" t="s">
        <v>306</v>
      </c>
      <c r="B324" s="2950" t="s">
        <v>3213</v>
      </c>
      <c r="C324" s="2962"/>
      <c r="D324" s="2962"/>
      <c r="E324" s="2962"/>
      <c r="F324" s="2951">
        <v>0.05</v>
      </c>
      <c r="G324" s="2968"/>
    </row>
    <row r="325" spans="1:7">
      <c r="A325" s="2961" t="s">
        <v>306</v>
      </c>
      <c r="B325" s="2950" t="s">
        <v>3214</v>
      </c>
      <c r="C325" s="2962"/>
      <c r="D325" s="2962"/>
      <c r="E325" s="2962"/>
      <c r="F325" s="2951">
        <v>0.05</v>
      </c>
      <c r="G325" s="2968"/>
    </row>
    <row r="326" spans="1:7" ht="14.25" thickBot="1">
      <c r="A326" s="2964" t="s">
        <v>306</v>
      </c>
      <c r="B326" s="2954" t="s">
        <v>3215</v>
      </c>
      <c r="C326" s="2956"/>
      <c r="D326" s="2956"/>
      <c r="E326" s="2956"/>
      <c r="F326" s="2955">
        <v>0.05</v>
      </c>
      <c r="G326" s="2969"/>
    </row>
    <row r="327" spans="1:7">
      <c r="A327" s="2960" t="s">
        <v>307</v>
      </c>
      <c r="B327" s="2946" t="s">
        <v>2847</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2859</v>
      </c>
      <c r="C329" s="2951">
        <v>0.15</v>
      </c>
      <c r="D329" s="2951">
        <v>0.15</v>
      </c>
      <c r="E329" s="2951">
        <v>0.15</v>
      </c>
      <c r="F329" s="2951">
        <v>0.15</v>
      </c>
      <c r="G329" s="2952">
        <v>0.15</v>
      </c>
    </row>
    <row r="330" spans="1:7">
      <c r="A330" s="2961" t="s">
        <v>307</v>
      </c>
      <c r="B330" s="2950" t="s">
        <v>2863</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2871</v>
      </c>
      <c r="C332" s="2951">
        <v>0.15</v>
      </c>
      <c r="D332" s="2951">
        <v>0.15</v>
      </c>
      <c r="E332" s="2951">
        <v>0.15</v>
      </c>
      <c r="F332" s="2951">
        <v>0.15</v>
      </c>
      <c r="G332" s="2952">
        <v>0.15</v>
      </c>
    </row>
    <row r="333" spans="1:7">
      <c r="A333" s="2961" t="s">
        <v>307</v>
      </c>
      <c r="B333" s="2950" t="s">
        <v>2875</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2881</v>
      </c>
      <c r="C336" s="2951">
        <v>0.15</v>
      </c>
      <c r="D336" s="2951">
        <v>0.15</v>
      </c>
      <c r="E336" s="2951">
        <v>0.15</v>
      </c>
      <c r="F336" s="2951">
        <v>0.14199999999999999</v>
      </c>
      <c r="G336" s="2952">
        <v>0.15</v>
      </c>
    </row>
    <row r="337" spans="1:7">
      <c r="A337" s="2961" t="s">
        <v>307</v>
      </c>
      <c r="B337" s="2950" t="s">
        <v>2886</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2893</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2898</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2906</v>
      </c>
      <c r="C345" s="2951">
        <v>0.15</v>
      </c>
      <c r="D345" s="2951">
        <v>0.15</v>
      </c>
      <c r="E345" s="2951">
        <v>0.15</v>
      </c>
      <c r="F345" s="2951">
        <v>0.13800000000000001</v>
      </c>
      <c r="G345" s="2952">
        <v>0.15</v>
      </c>
    </row>
    <row r="346" spans="1:7">
      <c r="A346" s="2961" t="s">
        <v>307</v>
      </c>
      <c r="B346" s="2950" t="s">
        <v>2908</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2915</v>
      </c>
      <c r="C348" s="2951">
        <v>0.15</v>
      </c>
      <c r="D348" s="2951">
        <v>0.15</v>
      </c>
      <c r="E348" s="2951">
        <v>0.15</v>
      </c>
      <c r="F348" s="2951">
        <v>0.14399999999999999</v>
      </c>
      <c r="G348" s="2952">
        <v>0.15</v>
      </c>
    </row>
    <row r="349" spans="1:7">
      <c r="A349" s="2961" t="s">
        <v>307</v>
      </c>
      <c r="B349" s="2950" t="s">
        <v>2920</v>
      </c>
      <c r="C349" s="2951">
        <v>0.15</v>
      </c>
      <c r="D349" s="2951">
        <v>0.15</v>
      </c>
      <c r="E349" s="2951">
        <v>0.15</v>
      </c>
      <c r="F349" s="2951">
        <v>0.15</v>
      </c>
      <c r="G349" s="2952">
        <v>0.15</v>
      </c>
    </row>
    <row r="350" spans="1:7">
      <c r="A350" s="2961" t="s">
        <v>307</v>
      </c>
      <c r="B350" s="2950" t="s">
        <v>2923</v>
      </c>
      <c r="C350" s="2951">
        <v>0.15</v>
      </c>
      <c r="D350" s="2951">
        <v>0.15</v>
      </c>
      <c r="E350" s="2951">
        <v>0.15</v>
      </c>
      <c r="F350" s="2951">
        <v>0.14699999999999999</v>
      </c>
      <c r="G350" s="2952">
        <v>0.15</v>
      </c>
    </row>
    <row r="351" spans="1:7">
      <c r="A351" s="2961" t="s">
        <v>307</v>
      </c>
      <c r="B351" s="2950" t="s">
        <v>2928</v>
      </c>
      <c r="C351" s="2951">
        <v>0.15</v>
      </c>
      <c r="D351" s="2951">
        <v>0.15</v>
      </c>
      <c r="E351" s="2951">
        <v>0.15</v>
      </c>
      <c r="F351" s="2951">
        <v>0.13</v>
      </c>
      <c r="G351" s="2952">
        <v>0.15</v>
      </c>
    </row>
    <row r="352" spans="1:7">
      <c r="A352" s="2961" t="s">
        <v>307</v>
      </c>
      <c r="B352" s="2950" t="s">
        <v>2933</v>
      </c>
      <c r="C352" s="2951">
        <v>0.15</v>
      </c>
      <c r="D352" s="2951">
        <v>0.15</v>
      </c>
      <c r="E352" s="2951">
        <v>0.15</v>
      </c>
      <c r="F352" s="2951">
        <v>0.14599999999999999</v>
      </c>
      <c r="G352" s="2952">
        <v>0.15</v>
      </c>
    </row>
    <row r="353" spans="1:7">
      <c r="A353" s="2961" t="s">
        <v>307</v>
      </c>
      <c r="B353" s="2950" t="s">
        <v>2940</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2953</v>
      </c>
      <c r="C355" s="2951">
        <v>0.15</v>
      </c>
      <c r="D355" s="2951">
        <v>0.15</v>
      </c>
      <c r="E355" s="2951">
        <v>0.15</v>
      </c>
      <c r="F355" s="2951">
        <v>0.15</v>
      </c>
      <c r="G355" s="2952">
        <v>0.15</v>
      </c>
    </row>
    <row r="356" spans="1:7">
      <c r="A356" s="2961" t="s">
        <v>307</v>
      </c>
      <c r="B356" s="2950" t="s">
        <v>2960</v>
      </c>
      <c r="C356" s="2951">
        <v>0.15</v>
      </c>
      <c r="D356" s="2951">
        <v>0.15</v>
      </c>
      <c r="E356" s="2951">
        <v>0.15</v>
      </c>
      <c r="F356" s="2951">
        <v>0.15</v>
      </c>
      <c r="G356" s="2952">
        <v>0.15</v>
      </c>
    </row>
    <row r="357" spans="1:7" ht="14.25" thickBot="1">
      <c r="A357" s="2964" t="s">
        <v>307</v>
      </c>
      <c r="B357" s="2954" t="s">
        <v>2965</v>
      </c>
      <c r="C357" s="2955">
        <v>0.126</v>
      </c>
      <c r="D357" s="2955">
        <v>0.127</v>
      </c>
      <c r="E357" s="2955">
        <v>0.14299999999999999</v>
      </c>
      <c r="F357" s="2955">
        <v>0.125</v>
      </c>
      <c r="G357" s="2957">
        <v>0.129</v>
      </c>
    </row>
    <row r="358" spans="1:7">
      <c r="A358" s="2960" t="s">
        <v>2834</v>
      </c>
      <c r="B358" s="2946" t="s">
        <v>2848</v>
      </c>
      <c r="C358" s="2947">
        <v>0.15</v>
      </c>
      <c r="D358" s="2947">
        <v>0.15</v>
      </c>
      <c r="E358" s="2947">
        <v>0.15</v>
      </c>
      <c r="F358" s="2947">
        <v>0.15</v>
      </c>
      <c r="G358" s="2948">
        <v>0.15</v>
      </c>
    </row>
    <row r="359" spans="1:7">
      <c r="A359" s="2961" t="s">
        <v>2834</v>
      </c>
      <c r="B359" s="2950" t="s">
        <v>2854</v>
      </c>
      <c r="C359" s="2951">
        <v>0.1</v>
      </c>
      <c r="D359" s="2951">
        <v>0.1</v>
      </c>
      <c r="E359" s="2951">
        <v>0.1</v>
      </c>
      <c r="F359" s="2951">
        <v>0.1</v>
      </c>
      <c r="G359" s="2952">
        <v>0.1</v>
      </c>
    </row>
    <row r="360" spans="1:7">
      <c r="A360" s="2961" t="s">
        <v>2834</v>
      </c>
      <c r="B360" s="2950" t="s">
        <v>2860</v>
      </c>
      <c r="C360" s="2951">
        <v>0.15</v>
      </c>
      <c r="D360" s="2951">
        <v>0.15</v>
      </c>
      <c r="E360" s="2951">
        <v>0.15</v>
      </c>
      <c r="F360" s="2951">
        <v>0.14899999999999999</v>
      </c>
      <c r="G360" s="2952">
        <v>0.15</v>
      </c>
    </row>
    <row r="361" spans="1:7">
      <c r="A361" s="2961" t="s">
        <v>2834</v>
      </c>
      <c r="B361" s="2950" t="s">
        <v>153</v>
      </c>
      <c r="C361" s="2951">
        <v>0.15</v>
      </c>
      <c r="D361" s="2951">
        <v>0.15</v>
      </c>
      <c r="E361" s="2951">
        <v>0.15</v>
      </c>
      <c r="F361" s="2951">
        <v>0.115</v>
      </c>
      <c r="G361" s="2952">
        <v>0.15</v>
      </c>
    </row>
    <row r="362" spans="1:7">
      <c r="A362" s="2961" t="s">
        <v>2834</v>
      </c>
      <c r="B362" s="2950" t="s">
        <v>2867</v>
      </c>
      <c r="C362" s="2951">
        <v>0.15</v>
      </c>
      <c r="D362" s="2951">
        <v>0.15</v>
      </c>
      <c r="E362" s="2951">
        <v>0.15</v>
      </c>
      <c r="F362" s="2951">
        <v>0.106</v>
      </c>
      <c r="G362" s="2952">
        <v>0.15</v>
      </c>
    </row>
    <row r="363" spans="1:7">
      <c r="A363" s="2961" t="s">
        <v>2834</v>
      </c>
      <c r="B363" s="2950" t="s">
        <v>2872</v>
      </c>
      <c r="C363" s="2951">
        <v>0.15</v>
      </c>
      <c r="D363" s="2951">
        <v>0.15</v>
      </c>
      <c r="E363" s="2951">
        <v>0.15</v>
      </c>
      <c r="F363" s="2951">
        <v>0.14699999999999999</v>
      </c>
      <c r="G363" s="2952">
        <v>0.15</v>
      </c>
    </row>
    <row r="364" spans="1:7">
      <c r="A364" s="2961" t="s">
        <v>2834</v>
      </c>
      <c r="B364" s="2950" t="s">
        <v>2876</v>
      </c>
      <c r="C364" s="2951">
        <v>0.15</v>
      </c>
      <c r="D364" s="2951">
        <v>0.15</v>
      </c>
      <c r="E364" s="2951">
        <v>0.15</v>
      </c>
      <c r="F364" s="2951">
        <v>0.14799999999999999</v>
      </c>
      <c r="G364" s="2952">
        <v>0.15</v>
      </c>
    </row>
    <row r="365" spans="1:7">
      <c r="A365" s="2961" t="s">
        <v>2834</v>
      </c>
      <c r="B365" s="2950" t="s">
        <v>200</v>
      </c>
      <c r="C365" s="2951">
        <v>0.15</v>
      </c>
      <c r="D365" s="2951">
        <v>0.15</v>
      </c>
      <c r="E365" s="2951">
        <v>0.15</v>
      </c>
      <c r="F365" s="2951">
        <v>0.15</v>
      </c>
      <c r="G365" s="2952">
        <v>0.15</v>
      </c>
    </row>
    <row r="366" spans="1:7">
      <c r="A366" s="2961" t="s">
        <v>2834</v>
      </c>
      <c r="B366" s="2950" t="s">
        <v>2879</v>
      </c>
      <c r="C366" s="2951">
        <v>0.15</v>
      </c>
      <c r="D366" s="2951">
        <v>0.15</v>
      </c>
      <c r="E366" s="2951">
        <v>0.15</v>
      </c>
      <c r="F366" s="2951">
        <v>0.15</v>
      </c>
      <c r="G366" s="2952">
        <v>0.15</v>
      </c>
    </row>
    <row r="367" spans="1:7">
      <c r="A367" s="2961" t="s">
        <v>2834</v>
      </c>
      <c r="B367" s="2950" t="s">
        <v>2882</v>
      </c>
      <c r="C367" s="2951">
        <v>0.15</v>
      </c>
      <c r="D367" s="2951">
        <v>0.15</v>
      </c>
      <c r="E367" s="2951">
        <v>0.15</v>
      </c>
      <c r="F367" s="2951">
        <v>0.14699999999999999</v>
      </c>
      <c r="G367" s="2952">
        <v>0.15</v>
      </c>
    </row>
    <row r="368" spans="1:7">
      <c r="A368" s="2961" t="s">
        <v>2834</v>
      </c>
      <c r="B368" s="2950" t="s">
        <v>2887</v>
      </c>
      <c r="C368" s="2951">
        <v>0.15</v>
      </c>
      <c r="D368" s="2951">
        <v>0.15</v>
      </c>
      <c r="E368" s="2951">
        <v>0.15</v>
      </c>
      <c r="F368" s="2951">
        <v>0.13600000000000001</v>
      </c>
      <c r="G368" s="2952">
        <v>0.15</v>
      </c>
    </row>
    <row r="369" spans="1:7">
      <c r="A369" s="2961" t="s">
        <v>2834</v>
      </c>
      <c r="B369" s="2950" t="s">
        <v>214</v>
      </c>
      <c r="C369" s="2951">
        <v>0.15</v>
      </c>
      <c r="D369" s="2951">
        <v>0.15</v>
      </c>
      <c r="E369" s="2951">
        <v>0.15</v>
      </c>
      <c r="F369" s="2951">
        <v>0.14399999999999999</v>
      </c>
      <c r="G369" s="2952">
        <v>0.15</v>
      </c>
    </row>
    <row r="370" spans="1:7">
      <c r="A370" s="2961" t="s">
        <v>2834</v>
      </c>
      <c r="B370" s="2950" t="s">
        <v>221</v>
      </c>
      <c r="C370" s="2951">
        <v>0.15</v>
      </c>
      <c r="D370" s="2951">
        <v>0.15</v>
      </c>
      <c r="E370" s="2951">
        <v>0.15</v>
      </c>
      <c r="F370" s="2951">
        <v>0.14599999999999999</v>
      </c>
      <c r="G370" s="2952">
        <v>0.15</v>
      </c>
    </row>
    <row r="371" spans="1:7">
      <c r="A371" s="2961" t="s">
        <v>2834</v>
      </c>
      <c r="B371" s="2950" t="s">
        <v>229</v>
      </c>
      <c r="C371" s="2951">
        <v>0.15</v>
      </c>
      <c r="D371" s="2951">
        <v>0.15</v>
      </c>
      <c r="E371" s="2951">
        <v>0.15</v>
      </c>
      <c r="F371" s="2951">
        <v>0.12</v>
      </c>
      <c r="G371" s="2952">
        <v>0.15</v>
      </c>
    </row>
    <row r="372" spans="1:7">
      <c r="A372" s="2961" t="s">
        <v>2834</v>
      </c>
      <c r="B372" s="2950" t="s">
        <v>2895</v>
      </c>
      <c r="C372" s="2951">
        <v>0.15</v>
      </c>
      <c r="D372" s="2951">
        <v>0.15</v>
      </c>
      <c r="E372" s="2951">
        <v>0.15</v>
      </c>
      <c r="F372" s="2951">
        <v>0.14299999999999999</v>
      </c>
      <c r="G372" s="2952">
        <v>0.15</v>
      </c>
    </row>
    <row r="373" spans="1:7">
      <c r="A373" s="2961" t="s">
        <v>2834</v>
      </c>
      <c r="B373" s="2950" t="s">
        <v>258</v>
      </c>
      <c r="C373" s="2951">
        <v>0.15</v>
      </c>
      <c r="D373" s="2951">
        <v>0.15</v>
      </c>
      <c r="E373" s="2951">
        <v>0.15</v>
      </c>
      <c r="F373" s="2951">
        <v>0.14599999999999999</v>
      </c>
      <c r="G373" s="2952">
        <v>0.15</v>
      </c>
    </row>
    <row r="374" spans="1:7">
      <c r="A374" s="2961" t="s">
        <v>2834</v>
      </c>
      <c r="B374" s="2950" t="s">
        <v>266</v>
      </c>
      <c r="C374" s="2951">
        <v>0.15</v>
      </c>
      <c r="D374" s="2951">
        <v>0.15</v>
      </c>
      <c r="E374" s="2951">
        <v>0.15</v>
      </c>
      <c r="F374" s="2951">
        <v>0.14399999999999999</v>
      </c>
      <c r="G374" s="2952">
        <v>0.15</v>
      </c>
    </row>
    <row r="375" spans="1:7">
      <c r="A375" s="2961" t="s">
        <v>2834</v>
      </c>
      <c r="B375" s="2950" t="s">
        <v>2903</v>
      </c>
      <c r="C375" s="2951">
        <v>0.15</v>
      </c>
      <c r="D375" s="2951">
        <v>0.15</v>
      </c>
      <c r="E375" s="2951">
        <v>0.15</v>
      </c>
      <c r="F375" s="2951">
        <v>0.13</v>
      </c>
      <c r="G375" s="2952">
        <v>0.15</v>
      </c>
    </row>
    <row r="376" spans="1:7">
      <c r="A376" s="2961" t="s">
        <v>2834</v>
      </c>
      <c r="B376" s="2950" t="s">
        <v>277</v>
      </c>
      <c r="C376" s="2951">
        <v>0.15</v>
      </c>
      <c r="D376" s="2951">
        <v>0.15</v>
      </c>
      <c r="E376" s="2951">
        <v>0.15</v>
      </c>
      <c r="F376" s="2951">
        <v>0.14199999999999999</v>
      </c>
      <c r="G376" s="2952">
        <v>0.15</v>
      </c>
    </row>
    <row r="377" spans="1:7" ht="14.25" thickBot="1">
      <c r="A377" s="2964" t="s">
        <v>2834</v>
      </c>
      <c r="B377" s="2954" t="s">
        <v>2909</v>
      </c>
      <c r="C377" s="2955">
        <v>0.15</v>
      </c>
      <c r="D377" s="2955">
        <v>0.15</v>
      </c>
      <c r="E377" s="2955">
        <v>0.15</v>
      </c>
      <c r="F377" s="2955">
        <v>0.14000000000000001</v>
      </c>
      <c r="G377" s="2957">
        <v>0.15</v>
      </c>
    </row>
    <row r="378" spans="1:7">
      <c r="A378" s="2960" t="s">
        <v>2835</v>
      </c>
      <c r="B378" s="2946" t="s">
        <v>2849</v>
      </c>
      <c r="C378" s="2947">
        <v>0.15</v>
      </c>
      <c r="D378" s="2947">
        <v>0.15</v>
      </c>
      <c r="E378" s="2947">
        <v>0.15</v>
      </c>
      <c r="F378" s="2947">
        <v>0.107</v>
      </c>
      <c r="G378" s="2948">
        <v>0.15</v>
      </c>
    </row>
    <row r="379" spans="1:7">
      <c r="A379" s="2961" t="s">
        <v>2835</v>
      </c>
      <c r="B379" s="2950" t="s">
        <v>2855</v>
      </c>
      <c r="C379" s="2951">
        <v>0.15</v>
      </c>
      <c r="D379" s="2951">
        <v>0.15</v>
      </c>
      <c r="E379" s="2951">
        <v>0.15</v>
      </c>
      <c r="F379" s="2951">
        <v>0.115</v>
      </c>
      <c r="G379" s="2952">
        <v>0.14899999999999999</v>
      </c>
    </row>
    <row r="380" spans="1:7">
      <c r="A380" s="2961" t="s">
        <v>2835</v>
      </c>
      <c r="B380" s="2950" t="s">
        <v>2861</v>
      </c>
      <c r="C380" s="2951">
        <v>0.15</v>
      </c>
      <c r="D380" s="2951">
        <v>0.15</v>
      </c>
      <c r="E380" s="2951">
        <v>0.15</v>
      </c>
      <c r="F380" s="2951">
        <v>0.1</v>
      </c>
      <c r="G380" s="2952">
        <v>0.14799999999999999</v>
      </c>
    </row>
    <row r="381" spans="1:7">
      <c r="A381" s="2961" t="s">
        <v>2835</v>
      </c>
      <c r="B381" s="2950" t="s">
        <v>2864</v>
      </c>
      <c r="C381" s="2951">
        <v>0.15</v>
      </c>
      <c r="D381" s="2951">
        <v>0.15</v>
      </c>
      <c r="E381" s="2951">
        <v>0.15</v>
      </c>
      <c r="F381" s="2951">
        <v>0.126</v>
      </c>
      <c r="G381" s="2952">
        <v>0.15</v>
      </c>
    </row>
    <row r="382" spans="1:7">
      <c r="A382" s="2961" t="s">
        <v>2835</v>
      </c>
      <c r="B382" s="2950" t="s">
        <v>2868</v>
      </c>
      <c r="C382" s="2951">
        <v>0.15</v>
      </c>
      <c r="D382" s="2951">
        <v>0.15</v>
      </c>
      <c r="E382" s="2951">
        <v>0.15</v>
      </c>
      <c r="F382" s="2951">
        <v>0.15</v>
      </c>
      <c r="G382" s="2952">
        <v>0.15</v>
      </c>
    </row>
    <row r="383" spans="1:7">
      <c r="A383" s="2961" t="s">
        <v>2835</v>
      </c>
      <c r="B383" s="2950" t="s">
        <v>2873</v>
      </c>
      <c r="C383" s="2951">
        <v>0.15</v>
      </c>
      <c r="D383" s="2951">
        <v>0.15</v>
      </c>
      <c r="E383" s="2951">
        <v>0.15</v>
      </c>
      <c r="F383" s="2951">
        <v>0.14699999999999999</v>
      </c>
      <c r="G383" s="2952">
        <v>0.15</v>
      </c>
    </row>
    <row r="384" spans="1:7" ht="14.25" thickBot="1">
      <c r="A384" s="2971" t="s">
        <v>2835</v>
      </c>
      <c r="B384" s="2972" t="s">
        <v>2877</v>
      </c>
      <c r="C384" s="2973">
        <v>0.15</v>
      </c>
      <c r="D384" s="2973">
        <v>0.15</v>
      </c>
      <c r="E384" s="2973">
        <v>0.15</v>
      </c>
      <c r="F384" s="2973">
        <v>0.15</v>
      </c>
      <c r="G384" s="2974">
        <v>0.15</v>
      </c>
    </row>
  </sheetData>
  <sheetProtection password="CEE9" sheet="1" objects="1" scenarios="1"/>
  <mergeCells count="1">
    <mergeCell ref="A1:B1"/>
  </mergeCells>
  <phoneticPr fontId="9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93" t="s">
        <v>946</v>
      </c>
      <c r="B1" s="3293"/>
      <c r="C1" s="3293"/>
      <c r="D1" s="3293"/>
    </row>
    <row r="2" spans="1:4" ht="18">
      <c r="A2" s="3294" t="s">
        <v>930</v>
      </c>
      <c r="B2" s="3294"/>
      <c r="C2" s="3294"/>
      <c r="D2" s="3294"/>
    </row>
    <row r="3" spans="1:4" ht="18.75">
      <c r="A3" s="1385" t="s">
        <v>931</v>
      </c>
      <c r="B3" s="1385" t="s">
        <v>932</v>
      </c>
      <c r="C3" s="1385" t="s">
        <v>933</v>
      </c>
      <c r="D3" s="1385" t="s">
        <v>934</v>
      </c>
    </row>
    <row r="4" spans="1:4" ht="56.25" customHeight="1">
      <c r="A4" s="1386">
        <f>项目基本情况!B4</f>
        <v>0</v>
      </c>
      <c r="B4" s="1387">
        <f>项目基本情况!C4</f>
        <v>0</v>
      </c>
      <c r="C4" s="1388"/>
      <c r="D4" s="1389" t="s">
        <v>935</v>
      </c>
    </row>
    <row r="5" spans="1:4" ht="56.25" customHeight="1">
      <c r="A5" s="1386">
        <f>项目基本情况!D4</f>
        <v>0</v>
      </c>
      <c r="B5" s="1387">
        <f>项目基本情况!E4</f>
        <v>0</v>
      </c>
      <c r="C5" s="1390"/>
      <c r="D5" s="1389" t="s">
        <v>935</v>
      </c>
    </row>
    <row r="6" spans="1:4" ht="18">
      <c r="A6" s="3294" t="s">
        <v>936</v>
      </c>
      <c r="B6" s="3294"/>
      <c r="C6" s="3294"/>
      <c r="D6" s="3294"/>
    </row>
    <row r="7" spans="1:4" ht="18.75">
      <c r="A7" s="1385" t="s">
        <v>931</v>
      </c>
      <c r="B7" s="1387" t="s">
        <v>937</v>
      </c>
      <c r="C7" s="1385" t="s">
        <v>933</v>
      </c>
      <c r="D7" s="1385" t="s">
        <v>934</v>
      </c>
    </row>
    <row r="8" spans="1:4" ht="56.25" customHeight="1">
      <c r="A8" s="1391" t="s">
        <v>390</v>
      </c>
      <c r="B8" s="1391" t="s">
        <v>0</v>
      </c>
      <c r="C8" s="1388"/>
      <c r="D8" s="1389" t="s">
        <v>935</v>
      </c>
    </row>
    <row r="10" spans="1:4" ht="18.75">
      <c r="A10" s="1392" t="s">
        <v>938</v>
      </c>
    </row>
    <row r="11" spans="1:4" ht="30" customHeight="1">
      <c r="A11" s="3295" t="s">
        <v>939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87" t="str">
        <f>IF(项目基本情况!B8="抵押","4.本次评估估价师所知悉的法定优先受偿款情况说明如下：","——")</f>
        <v>4.本次评估估价师所知悉的法定优先受偿款情况说明如下：</v>
      </c>
      <c r="B14" s="3292"/>
      <c r="C14" s="3292"/>
      <c r="D14" s="3292"/>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940</v>
      </c>
      <c r="B16" s="3289"/>
      <c r="C16" s="3289"/>
      <c r="D16" s="3289"/>
    </row>
    <row r="17" spans="1:4" ht="144" customHeight="1">
      <c r="A17" s="3289" t="s">
        <v>941</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7"/>
      <c r="C20" s="3287"/>
      <c r="D20" s="3287"/>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0"/>
      <c r="C21" s="3290"/>
      <c r="D21" s="3290"/>
    </row>
    <row r="22" spans="1:4" ht="18.75" customHeight="1">
      <c r="A22" s="3291" t="s">
        <v>942</v>
      </c>
      <c r="B22" s="3291"/>
      <c r="C22" s="3291"/>
      <c r="D22" s="3291"/>
    </row>
    <row r="23" spans="1:4">
      <c r="A23" s="1393"/>
      <c r="B23" s="452"/>
      <c r="C23" s="452"/>
      <c r="D23" s="452"/>
    </row>
    <row r="24" spans="1:4">
      <c r="A24" s="1393"/>
      <c r="B24" s="452"/>
      <c r="C24" s="452"/>
      <c r="D24" s="452"/>
    </row>
    <row r="25" spans="1:4" ht="18.75">
      <c r="A25" s="1394" t="s">
        <v>943</v>
      </c>
    </row>
    <row r="26" spans="1:4" ht="18">
      <c r="A26" s="1365"/>
    </row>
    <row r="27" spans="1:4" ht="18.75">
      <c r="A27" s="1365" t="s">
        <v>944</v>
      </c>
    </row>
    <row r="30" spans="1:4" ht="18.75">
      <c r="D30" s="1394" t="s">
        <v>945</v>
      </c>
    </row>
    <row r="31" spans="1:4" ht="13.5" customHeight="1">
      <c r="C31" s="3288">
        <v>42551</v>
      </c>
      <c r="D31" s="32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6"/>
  </cols>
  <sheetData>
    <row r="1" spans="1:6" ht="14.25">
      <c r="A1" s="3599" t="s">
        <v>3216</v>
      </c>
      <c r="B1" s="3599"/>
      <c r="C1" s="3599"/>
      <c r="D1" s="3599"/>
      <c r="E1" s="3599"/>
      <c r="F1" s="3600"/>
    </row>
    <row r="2" spans="1:6" ht="14.25">
      <c r="A2" s="2975" t="s">
        <v>3217</v>
      </c>
    </row>
    <row r="3" spans="1:6" ht="14.25">
      <c r="A3" s="2975" t="s">
        <v>3218</v>
      </c>
      <c r="F3" s="2976" t="s">
        <v>3219</v>
      </c>
    </row>
    <row r="4" spans="1:6">
      <c r="A4" s="2977" t="s">
        <v>669</v>
      </c>
      <c r="B4" s="2977" t="s">
        <v>670</v>
      </c>
      <c r="C4" s="2977" t="s">
        <v>21</v>
      </c>
      <c r="D4" s="2977" t="s">
        <v>671</v>
      </c>
      <c r="E4" s="2977" t="s">
        <v>3</v>
      </c>
      <c r="F4" s="2977" t="s">
        <v>3220</v>
      </c>
    </row>
    <row r="5" spans="1:6">
      <c r="A5" s="2978" t="s">
        <v>672</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10">
        <f>'基准地价修正-商业'!G23</f>
        <v>45952</v>
      </c>
      <c r="B1" s="2902" t="s">
        <v>3360</v>
      </c>
      <c r="C1" s="2903"/>
      <c r="D1" s="2903"/>
      <c r="E1" s="2903"/>
      <c r="F1" s="2903"/>
      <c r="G1" s="2903"/>
      <c r="H1" s="2903"/>
      <c r="I1" s="2903"/>
      <c r="J1" s="2869"/>
      <c r="K1" s="2903" t="s">
        <v>454</v>
      </c>
      <c r="L1" s="2903"/>
      <c r="M1" s="2903"/>
      <c r="N1" s="2903"/>
      <c r="O1" s="2903"/>
      <c r="P1" s="2903"/>
      <c r="Q1" s="2869"/>
      <c r="R1" s="3601" t="s">
        <v>456</v>
      </c>
      <c r="S1" s="3602"/>
      <c r="T1" s="3602"/>
      <c r="U1" s="3602"/>
      <c r="V1" s="3602"/>
      <c r="W1" s="3602"/>
      <c r="X1" s="2869"/>
      <c r="Y1" s="3601" t="s">
        <v>457</v>
      </c>
      <c r="Z1" s="3602"/>
      <c r="AA1" s="3602"/>
      <c r="AB1" s="3602"/>
      <c r="AC1" s="3602"/>
      <c r="AD1" s="3602"/>
    </row>
    <row r="2" spans="1:44" s="1987" customFormat="1" ht="14.25" thickBot="1">
      <c r="B2" s="2854"/>
      <c r="C2" s="2855"/>
      <c r="D2" s="1988" t="s">
        <v>2794</v>
      </c>
      <c r="E2" s="1989" t="s">
        <v>2795</v>
      </c>
      <c r="F2" s="1989" t="s">
        <v>2796</v>
      </c>
      <c r="G2" s="1989" t="s">
        <v>2797</v>
      </c>
      <c r="H2" s="1989" t="s">
        <v>2798</v>
      </c>
      <c r="I2" s="1989" t="s">
        <v>2615</v>
      </c>
      <c r="J2" s="2856"/>
      <c r="K2" s="1988" t="s">
        <v>2794</v>
      </c>
      <c r="L2" s="1989" t="s">
        <v>2795</v>
      </c>
      <c r="M2" s="1989" t="s">
        <v>2796</v>
      </c>
      <c r="N2" s="1989" t="s">
        <v>2797</v>
      </c>
      <c r="O2" s="1989" t="s">
        <v>2799</v>
      </c>
      <c r="P2" s="1989" t="s">
        <v>2615</v>
      </c>
      <c r="Q2" s="2856"/>
      <c r="R2" s="1988" t="s">
        <v>2794</v>
      </c>
      <c r="S2" s="1989" t="s">
        <v>2795</v>
      </c>
      <c r="T2" s="1989" t="s">
        <v>2796</v>
      </c>
      <c r="U2" s="1989" t="s">
        <v>2800</v>
      </c>
      <c r="V2" s="1989" t="s">
        <v>2801</v>
      </c>
      <c r="W2" s="1989" t="s">
        <v>2615</v>
      </c>
      <c r="X2" s="2856"/>
      <c r="Y2" s="1988" t="s">
        <v>2794</v>
      </c>
      <c r="Z2" s="1989" t="s">
        <v>2795</v>
      </c>
      <c r="AA2" s="1989" t="s">
        <v>2796</v>
      </c>
      <c r="AB2" s="1989" t="s">
        <v>2802</v>
      </c>
      <c r="AC2" s="1989" t="s">
        <v>2801</v>
      </c>
      <c r="AD2" s="1989" t="s">
        <v>2615</v>
      </c>
      <c r="AF2" t="s">
        <v>3380</v>
      </c>
      <c r="AG2" t="s">
        <v>670</v>
      </c>
      <c r="AH2" t="s">
        <v>21</v>
      </c>
      <c r="AI2" t="s">
        <v>3381</v>
      </c>
      <c r="AJ2" t="s">
        <v>3</v>
      </c>
      <c r="AK2" t="s">
        <v>3382</v>
      </c>
      <c r="AM2" t="s">
        <v>3380</v>
      </c>
      <c r="AN2" t="s">
        <v>670</v>
      </c>
      <c r="AO2" t="s">
        <v>21</v>
      </c>
      <c r="AP2" t="s">
        <v>3381</v>
      </c>
      <c r="AQ2" t="s">
        <v>3</v>
      </c>
      <c r="AR2" t="s">
        <v>3382</v>
      </c>
    </row>
    <row r="3" spans="1:44" s="2859" customFormat="1" ht="12.75">
      <c r="A3" s="2857" t="s">
        <v>2803</v>
      </c>
      <c r="B3" s="2858"/>
      <c r="D3" s="2859">
        <f>ROUND(AVERAGEIF(D4:D24,"&lt;&gt;0"),2)</f>
        <v>0.33</v>
      </c>
      <c r="E3" s="2859">
        <f t="shared" ref="E3:H3" si="0">ROUND(AVERAGEIF(E4:E24,"&lt;&gt;0"),2)</f>
        <v>0.14000000000000001</v>
      </c>
      <c r="F3" s="2859">
        <f t="shared" si="0"/>
        <v>-0.16</v>
      </c>
      <c r="G3" s="2859">
        <f t="shared" si="0"/>
        <v>0.39</v>
      </c>
      <c r="H3" s="2859">
        <f t="shared" si="0"/>
        <v>0.47</v>
      </c>
      <c r="I3" s="2859">
        <f>F3</f>
        <v>-0.16</v>
      </c>
      <c r="J3" s="2860"/>
      <c r="K3" s="2861">
        <f>ROUND(AVERAGEIF(K4:K24,"&lt;&gt;0"),4)</f>
        <v>3.3E-3</v>
      </c>
      <c r="L3" s="2862">
        <f t="shared" ref="L3:O3" si="1">ROUND(AVERAGEIF(L4:L24,"&lt;&gt;0"),4)</f>
        <v>1.4E-3</v>
      </c>
      <c r="M3" s="2862">
        <f t="shared" si="1"/>
        <v>-1.6000000000000001E-3</v>
      </c>
      <c r="N3" s="2862">
        <f t="shared" si="1"/>
        <v>3.8999999999999998E-3</v>
      </c>
      <c r="O3" s="2862">
        <f t="shared" si="1"/>
        <v>4.7000000000000002E-3</v>
      </c>
      <c r="P3" s="2862">
        <f>M3</f>
        <v>-1.6000000000000001E-3</v>
      </c>
      <c r="Q3" s="2860"/>
      <c r="R3" s="2863">
        <f>ROUND(SUMPRODUCT(PRODUCT(1+K4:K24)),4)</f>
        <v>1.0631999999999999</v>
      </c>
      <c r="S3" s="2864">
        <f t="shared" ref="S3:V3" si="2">ROUND(SUMPRODUCT(PRODUCT(1+L4:L24)),4)</f>
        <v>1.0268999999999999</v>
      </c>
      <c r="T3" s="2864">
        <f t="shared" si="2"/>
        <v>0.97040000000000004</v>
      </c>
      <c r="U3" s="2864">
        <f t="shared" si="2"/>
        <v>1.0765</v>
      </c>
      <c r="V3" s="2864">
        <f t="shared" si="2"/>
        <v>1.0933999999999999</v>
      </c>
      <c r="W3" s="2863">
        <f>T3</f>
        <v>0.97040000000000004</v>
      </c>
      <c r="X3" s="2860"/>
      <c r="Y3" s="2865">
        <f>ROUND(AVERAGEIF(Y11:Y24,"&lt;&gt;0"),4)</f>
        <v>8.3999999999999995E-3</v>
      </c>
      <c r="Z3" s="2866">
        <f t="shared" ref="Z3:AC3" si="3">ROUND(AVERAGEIF(Z11:Z24,"&lt;&gt;0"),4)</f>
        <v>3.5000000000000001E-3</v>
      </c>
      <c r="AA3" s="2867">
        <f t="shared" si="3"/>
        <v>8.0000000000000004E-4</v>
      </c>
      <c r="AB3" s="2865">
        <f t="shared" si="3"/>
        <v>9.1000000000000004E-3</v>
      </c>
      <c r="AC3" s="2868">
        <f t="shared" si="3"/>
        <v>6.1000000000000004E-3</v>
      </c>
      <c r="AD3" s="2865">
        <f>AA3</f>
        <v>8.0000000000000004E-4</v>
      </c>
    </row>
    <row r="4" spans="1:44"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44" s="2022" customFormat="1">
      <c r="A5" s="2017" t="s">
        <v>3379</v>
      </c>
      <c r="B5" s="2008">
        <v>2025</v>
      </c>
      <c r="C5" s="2019">
        <v>4</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 t="shared" ref="P5:P11" si="10">M5</f>
        <v>0</v>
      </c>
      <c r="Q5" s="2879"/>
      <c r="R5" s="2004">
        <f>ROUND(IF(项目基本情况!$B$8="出让",SUMPRODUCT(PRODUCT(1+K5:$K$24)),SUMPRODUCT(PRODUCT(1+K5:$K$23))),4)</f>
        <v>1.0529999999999999</v>
      </c>
      <c r="S5" s="2004">
        <f>ROUND(IF(项目基本情况!$B$8="出让",SUMPRODUCT(PRODUCT(1+L5:$L$24)),SUMPRODUCT(PRODUCT(1+L5:$L$23))),4)</f>
        <v>1.0251999999999999</v>
      </c>
      <c r="T5" s="2004">
        <f>ROUND(IF(项目基本情况!$B$8="出让",SUMPRODUCT(PRODUCT(1+M5:$M$24)),SUMPRODUCT(PRODUCT(1+M5:$M$23))),4)</f>
        <v>0.97289999999999999</v>
      </c>
      <c r="U5" s="2004">
        <f>ROUND(IF(项目基本情况!$B$8="出让",SUMPRODUCT(PRODUCT(1+N5:$N$24)),SUMPRODUCT(PRODUCT(1+N5:$N$23))),4)</f>
        <v>1.0647</v>
      </c>
      <c r="V5" s="2004">
        <f>ROUND(IF(项目基本情况!$B$8="出让",SUMPRODUCT(PRODUCT(1+O5:$O$24)),SUMPRODUCT(PRODUCT(1+O5:$O$23))),4)</f>
        <v>1.0894999999999999</v>
      </c>
      <c r="W5" s="2004">
        <f t="shared" ref="W5:W11" si="11">T5</f>
        <v>0.97289999999999999</v>
      </c>
      <c r="X5" s="2879"/>
      <c r="Y5" s="2005">
        <f t="shared" ref="Y5:Y11" si="12">IF(D5=0,0,ROUND(AVERAGE(D5:D18)/100,4))</f>
        <v>0</v>
      </c>
      <c r="Z5" s="2005">
        <f t="shared" ref="Z5" si="13">IF(E5=0,0,ROUND(AVERAGE(E5:E18)/100,4))</f>
        <v>0</v>
      </c>
      <c r="AA5" s="2005">
        <f t="shared" ref="AA5" si="14">IF(F5=0,0,ROUND(AVERAGE(F5:F18)/100,4))</f>
        <v>0</v>
      </c>
      <c r="AB5" s="2005">
        <f t="shared" ref="AB5" si="15">IF(G5=0,0,ROUND(AVERAGE(G5:G18)/100,4))</f>
        <v>0</v>
      </c>
      <c r="AC5" s="2005">
        <f t="shared" ref="AC5" si="16">IF(H5=0,0,ROUND(AVERAGE(H5:H18)/100,4))</f>
        <v>0</v>
      </c>
      <c r="AD5" s="2005">
        <f t="shared" ref="AD5" si="17">AA5</f>
        <v>0</v>
      </c>
      <c r="AF5" s="3124">
        <f>$AF$24*R5</f>
        <v>105.3</v>
      </c>
      <c r="AG5" s="3124">
        <f t="shared" ref="AG5:AK5" si="18">$AF$24*S5</f>
        <v>102.51999999999998</v>
      </c>
      <c r="AH5" s="3124">
        <f t="shared" si="18"/>
        <v>97.289999999999992</v>
      </c>
      <c r="AI5" s="3124">
        <f t="shared" si="18"/>
        <v>106.47</v>
      </c>
      <c r="AJ5" s="3124">
        <f t="shared" si="18"/>
        <v>108.94999999999999</v>
      </c>
      <c r="AK5" s="3124">
        <f t="shared" si="18"/>
        <v>97.289999999999992</v>
      </c>
      <c r="AM5" s="3130">
        <v>100</v>
      </c>
      <c r="AN5" s="3130">
        <v>100</v>
      </c>
      <c r="AO5" s="3130">
        <v>100</v>
      </c>
      <c r="AP5" s="3130">
        <v>100</v>
      </c>
      <c r="AQ5" s="3130">
        <v>100</v>
      </c>
      <c r="AR5" s="3130">
        <v>100</v>
      </c>
    </row>
    <row r="6" spans="1:44" s="2889" customFormat="1" ht="12.75">
      <c r="A6" s="2880" t="s">
        <v>3393</v>
      </c>
      <c r="B6" s="2881">
        <v>2025</v>
      </c>
      <c r="C6" s="2882">
        <v>3</v>
      </c>
      <c r="D6" s="2883">
        <v>-0.45</v>
      </c>
      <c r="E6" s="2883">
        <v>-0.22</v>
      </c>
      <c r="F6" s="2883">
        <v>-0.82</v>
      </c>
      <c r="G6" s="2883">
        <v>-0.39</v>
      </c>
      <c r="H6" s="2884">
        <v>0.04</v>
      </c>
      <c r="I6" s="2885">
        <f t="shared" ref="I6" si="19">F6</f>
        <v>-0.82</v>
      </c>
      <c r="J6" s="2886"/>
      <c r="K6" s="2887">
        <f t="shared" ref="K6" si="20">D6/100</f>
        <v>-4.5000000000000005E-3</v>
      </c>
      <c r="L6" s="2888">
        <f t="shared" ref="L6" si="21">E6/100</f>
        <v>-2.2000000000000001E-3</v>
      </c>
      <c r="M6" s="2888">
        <f t="shared" ref="M6" si="22">F6/100</f>
        <v>-8.199999999999999E-3</v>
      </c>
      <c r="N6" s="2888">
        <f t="shared" ref="N6" si="23">G6/100</f>
        <v>-3.9000000000000003E-3</v>
      </c>
      <c r="O6" s="2888">
        <f t="shared" ref="O6" si="24">H6/100</f>
        <v>4.0000000000000002E-4</v>
      </c>
      <c r="P6" s="2888">
        <f t="shared" si="10"/>
        <v>-8.199999999999999E-3</v>
      </c>
      <c r="Q6" s="2886"/>
      <c r="R6" s="2886">
        <f>ROUND(IF(项目基本情况!$B$8="出让",SUMPRODUCT(PRODUCT(1+K6:$K$24)),SUMPRODUCT(PRODUCT(1+K6:$K$23))),4)</f>
        <v>1.0529999999999999</v>
      </c>
      <c r="S6" s="2886">
        <f>ROUND(IF(项目基本情况!$B$8="出让",SUMPRODUCT(PRODUCT(1+L6:$L$24)),SUMPRODUCT(PRODUCT(1+L6:$L$23))),4)</f>
        <v>1.0251999999999999</v>
      </c>
      <c r="T6" s="2886">
        <f>ROUND(IF(项目基本情况!$B$8="出让",SUMPRODUCT(PRODUCT(1+M6:$M$24)),SUMPRODUCT(PRODUCT(1+M6:$M$23))),4)</f>
        <v>0.97289999999999999</v>
      </c>
      <c r="U6" s="2886">
        <f>ROUND(IF(项目基本情况!$B$8="出让",SUMPRODUCT(PRODUCT(1+N6:$N$24)),SUMPRODUCT(PRODUCT(1+N6:$N$23))),4)</f>
        <v>1.0647</v>
      </c>
      <c r="V6" s="2886">
        <f>ROUND(IF(项目基本情况!$B$8="出让",SUMPRODUCT(PRODUCT(1+O6:$O$24)),SUMPRODUCT(PRODUCT(1+O6:$O$23))),4)</f>
        <v>1.0894999999999999</v>
      </c>
      <c r="W6" s="2886">
        <f t="shared" si="11"/>
        <v>0.97289999999999999</v>
      </c>
      <c r="X6" s="2886"/>
      <c r="Y6" s="2888">
        <f t="shared" si="12"/>
        <v>1.4E-3</v>
      </c>
      <c r="Z6" s="2888">
        <f t="shared" ref="Z6" si="25">IF(E6=0,0,ROUND(AVERAGE(E6:E19)/100,4))</f>
        <v>5.0000000000000001E-4</v>
      </c>
      <c r="AA6" s="2888">
        <f t="shared" ref="AA6" si="26">IF(F6=0,0,ROUND(AVERAGE(F6:F19)/100,4))</f>
        <v>-2.7000000000000001E-3</v>
      </c>
      <c r="AB6" s="2888">
        <f t="shared" ref="AB6" si="27">IF(G6=0,0,ROUND(AVERAGE(G6:G19)/100,4))</f>
        <v>2E-3</v>
      </c>
      <c r="AC6" s="2888">
        <f t="shared" ref="AC6" si="28">IF(H6=0,0,ROUND(AVERAGE(H6:H19)/100,4))</f>
        <v>4.1999999999999997E-3</v>
      </c>
      <c r="AD6" s="2888">
        <f t="shared" ref="AD6" si="29">AA6</f>
        <v>-2.7000000000000001E-3</v>
      </c>
      <c r="AF6" s="3125">
        <f t="shared" ref="AF6:AF23" si="30">$AF$24*R6</f>
        <v>105.3</v>
      </c>
      <c r="AG6" s="3125">
        <f t="shared" ref="AG6:AG23" si="31">$AF$24*S6</f>
        <v>102.51999999999998</v>
      </c>
      <c r="AH6" s="3125">
        <f t="shared" ref="AH6:AH23" si="32">$AF$24*T6</f>
        <v>97.289999999999992</v>
      </c>
      <c r="AI6" s="3125">
        <f t="shared" ref="AI6:AI23" si="33">$AF$24*U6</f>
        <v>106.47</v>
      </c>
      <c r="AJ6" s="3125">
        <f t="shared" ref="AJ6:AJ23" si="34">$AF$24*V6</f>
        <v>108.94999999999999</v>
      </c>
      <c r="AK6" s="3125">
        <f t="shared" ref="AK6:AK23" si="35">$AF$24*W6</f>
        <v>97.289999999999992</v>
      </c>
      <c r="AM6" s="3125">
        <f>AM5/(1+D5/100)</f>
        <v>100</v>
      </c>
      <c r="AN6" s="3125">
        <f t="shared" ref="AN6:AR6" si="36">AN5/(1+E5/100)</f>
        <v>100</v>
      </c>
      <c r="AO6" s="3125">
        <f t="shared" si="36"/>
        <v>100</v>
      </c>
      <c r="AP6" s="3125">
        <f t="shared" si="36"/>
        <v>100</v>
      </c>
      <c r="AQ6" s="3125">
        <f t="shared" si="36"/>
        <v>100</v>
      </c>
      <c r="AR6" s="3125">
        <f t="shared" si="36"/>
        <v>100</v>
      </c>
    </row>
    <row r="7" spans="1:44" s="2022" customFormat="1" ht="12.75">
      <c r="A7" s="2017" t="s">
        <v>3394</v>
      </c>
      <c r="B7" s="2008">
        <v>2025</v>
      </c>
      <c r="C7" s="2019">
        <v>2</v>
      </c>
      <c r="D7" s="1984">
        <v>0.05</v>
      </c>
      <c r="E7" s="1984">
        <v>-0.62</v>
      </c>
      <c r="F7" s="1984">
        <v>-1.05</v>
      </c>
      <c r="G7" s="1984">
        <v>0.09</v>
      </c>
      <c r="H7" s="1984">
        <v>0.17</v>
      </c>
      <c r="I7" s="1985">
        <f t="shared" ref="I7" si="37">F7</f>
        <v>-1.05</v>
      </c>
      <c r="J7" s="2879"/>
      <c r="K7" s="2020">
        <f t="shared" ref="K7" si="38">D7/100</f>
        <v>5.0000000000000001E-4</v>
      </c>
      <c r="L7" s="2005">
        <f t="shared" ref="L7" si="39">E7/100</f>
        <v>-6.1999999999999998E-3</v>
      </c>
      <c r="M7" s="2005">
        <f t="shared" ref="M7" si="40">F7/100</f>
        <v>-1.0500000000000001E-2</v>
      </c>
      <c r="N7" s="2005">
        <f t="shared" ref="N7" si="41">G7/100</f>
        <v>8.9999999999999998E-4</v>
      </c>
      <c r="O7" s="2005">
        <f t="shared" ref="O7" si="42">H7/100</f>
        <v>1.7000000000000001E-3</v>
      </c>
      <c r="P7" s="2005">
        <f t="shared" si="10"/>
        <v>-1.0500000000000001E-2</v>
      </c>
      <c r="Q7" s="2879"/>
      <c r="R7" s="2004">
        <f>ROUND(IF(项目基本情况!$B$8="出让",SUMPRODUCT(PRODUCT(1+K7:$K$24)),SUMPRODUCT(PRODUCT(1+K7:$K$23))),4)</f>
        <v>1.0577000000000001</v>
      </c>
      <c r="S7" s="2004">
        <f>ROUND(IF(项目基本情况!$B$8="出让",SUMPRODUCT(PRODUCT(1+L7:$L$24)),SUMPRODUCT(PRODUCT(1+L7:$L$23))),4)</f>
        <v>1.0275000000000001</v>
      </c>
      <c r="T7" s="2004">
        <f>ROUND(IF(项目基本情况!$B$8="出让",SUMPRODUCT(PRODUCT(1+M7:$M$24)),SUMPRODUCT(PRODUCT(1+M7:$M$23))),4)</f>
        <v>0.98089999999999999</v>
      </c>
      <c r="U7" s="2004">
        <f>ROUND(IF(项目基本情况!$B$8="出让",SUMPRODUCT(PRODUCT(1+N7:$N$24)),SUMPRODUCT(PRODUCT(1+N7:$N$23))),4)</f>
        <v>1.0689</v>
      </c>
      <c r="V7" s="2004">
        <f>ROUND(IF(项目基本情况!$B$8="出让",SUMPRODUCT(PRODUCT(1+O7:$O$24)),SUMPRODUCT(PRODUCT(1+O7:$O$23))),4)</f>
        <v>1.0891</v>
      </c>
      <c r="W7" s="2004">
        <f t="shared" si="11"/>
        <v>0.98089999999999999</v>
      </c>
      <c r="X7" s="2879"/>
      <c r="Y7" s="2005">
        <f t="shared" si="12"/>
        <v>2.3E-3</v>
      </c>
      <c r="Z7" s="2005">
        <f t="shared" ref="Z7" si="43">IF(E7=0,0,ROUND(AVERAGE(E7:E20)/100,4))</f>
        <v>1E-3</v>
      </c>
      <c r="AA7" s="2005">
        <f t="shared" ref="AA7" si="44">IF(F7=0,0,ROUND(AVERAGE(F7:F20)/100,4))</f>
        <v>-1.9E-3</v>
      </c>
      <c r="AB7" s="2005">
        <f t="shared" ref="AB7" si="45">IF(G7=0,0,ROUND(AVERAGE(G7:G20)/100,4))</f>
        <v>2.8999999999999998E-3</v>
      </c>
      <c r="AC7" s="2005">
        <f t="shared" ref="AC7" si="46">IF(H7=0,0,ROUND(AVERAGE(H7:H20)/100,4))</f>
        <v>4.7000000000000002E-3</v>
      </c>
      <c r="AD7" s="2005">
        <f t="shared" ref="AD7" si="47">AA7</f>
        <v>-1.9E-3</v>
      </c>
      <c r="AF7" s="3124">
        <f t="shared" si="30"/>
        <v>105.77000000000001</v>
      </c>
      <c r="AG7" s="3124">
        <f t="shared" si="31"/>
        <v>102.75000000000001</v>
      </c>
      <c r="AH7" s="3124">
        <f t="shared" si="32"/>
        <v>98.09</v>
      </c>
      <c r="AI7" s="3124">
        <f t="shared" si="33"/>
        <v>106.89</v>
      </c>
      <c r="AJ7" s="3124">
        <f t="shared" si="34"/>
        <v>108.91</v>
      </c>
      <c r="AK7" s="3124">
        <f t="shared" si="35"/>
        <v>98.09</v>
      </c>
      <c r="AM7" s="3124">
        <f t="shared" ref="AM7:AM24" si="48">AM6/(1+D6/100)</f>
        <v>100.45203415369161</v>
      </c>
      <c r="AN7" s="3124">
        <f t="shared" ref="AN7:AN24" si="49">AN6/(1+E6/100)</f>
        <v>100.22048506714772</v>
      </c>
      <c r="AO7" s="3124">
        <f t="shared" ref="AO7:AO24" si="50">AO6/(1+F6/100)</f>
        <v>100.8267795926598</v>
      </c>
      <c r="AP7" s="3124">
        <f t="shared" ref="AP7:AP24" si="51">AP6/(1+G6/100)</f>
        <v>100.39152695512499</v>
      </c>
      <c r="AQ7" s="3124">
        <f t="shared" ref="AQ7:AQ24" si="52">AQ6/(1+H6/100)</f>
        <v>99.960015993602568</v>
      </c>
      <c r="AR7" s="3124">
        <f t="shared" ref="AR7:AR24" si="53">AR6/(1+I6/100)</f>
        <v>100.8267795926598</v>
      </c>
    </row>
    <row r="8" spans="1:44" s="2022" customFormat="1" ht="12.75">
      <c r="A8" s="2017" t="s">
        <v>3385</v>
      </c>
      <c r="B8" s="2008">
        <v>2025</v>
      </c>
      <c r="C8" s="2019">
        <v>1</v>
      </c>
      <c r="D8" s="1984">
        <v>0.56999999999999995</v>
      </c>
      <c r="E8" s="1984">
        <v>-0.56999999999999995</v>
      </c>
      <c r="F8" s="1984">
        <v>-0.9</v>
      </c>
      <c r="G8" s="1984">
        <v>1.1200000000000001</v>
      </c>
      <c r="H8" s="1984">
        <v>0.42</v>
      </c>
      <c r="I8" s="1985">
        <f t="shared" ref="I8" si="54">F8</f>
        <v>-0.9</v>
      </c>
      <c r="J8" s="2879"/>
      <c r="K8" s="2020">
        <f t="shared" ref="K8" si="55">D8/100</f>
        <v>5.6999999999999993E-3</v>
      </c>
      <c r="L8" s="2005">
        <f t="shared" ref="L8" si="56">E8/100</f>
        <v>-5.6999999999999993E-3</v>
      </c>
      <c r="M8" s="2005">
        <f t="shared" ref="M8" si="57">F8/100</f>
        <v>-9.0000000000000011E-3</v>
      </c>
      <c r="N8" s="2005">
        <f t="shared" ref="N8" si="58">G8/100</f>
        <v>1.1200000000000002E-2</v>
      </c>
      <c r="O8" s="2005">
        <f t="shared" ref="O8" si="59">H8/100</f>
        <v>4.1999999999999997E-3</v>
      </c>
      <c r="P8" s="2005">
        <f t="shared" si="10"/>
        <v>-9.0000000000000011E-3</v>
      </c>
      <c r="Q8" s="2879"/>
      <c r="R8" s="2004">
        <f>ROUND(IF(项目基本情况!$B$8="出让",SUMPRODUCT(PRODUCT(1+K8:$K$24)),SUMPRODUCT(PRODUCT(1+K8:$K$23))),4)</f>
        <v>1.0571999999999999</v>
      </c>
      <c r="S8" s="2004">
        <f>ROUND(IF(项目基本情况!$B$8="出让",SUMPRODUCT(PRODUCT(1+L8:$L$24)),SUMPRODUCT(PRODUCT(1+L8:$L$23))),4)</f>
        <v>1.0339</v>
      </c>
      <c r="T8" s="2004">
        <f>ROUND(IF(项目基本情况!$B$8="出让",SUMPRODUCT(PRODUCT(1+M8:$M$24)),SUMPRODUCT(PRODUCT(1+M8:$M$23))),4)</f>
        <v>0.99129999999999996</v>
      </c>
      <c r="U8" s="2004">
        <f>ROUND(IF(项目基本情况!$B$8="出让",SUMPRODUCT(PRODUCT(1+N8:$N$24)),SUMPRODUCT(PRODUCT(1+N8:$N$23))),4)</f>
        <v>1.0679000000000001</v>
      </c>
      <c r="V8" s="2004">
        <f>ROUND(IF(项目基本情况!$B$8="出让",SUMPRODUCT(PRODUCT(1+O8:$O$24)),SUMPRODUCT(PRODUCT(1+O8:$O$23))),4)</f>
        <v>1.0871999999999999</v>
      </c>
      <c r="W8" s="2004">
        <f t="shared" si="11"/>
        <v>0.99129999999999996</v>
      </c>
      <c r="X8" s="2879"/>
      <c r="Y8" s="2005">
        <f t="shared" si="12"/>
        <v>3.0000000000000001E-3</v>
      </c>
      <c r="Z8" s="2005">
        <f t="shared" ref="Z8" si="60">IF(E8=0,0,ROUND(AVERAGE(E8:E21)/100,4))</f>
        <v>1.6000000000000001E-3</v>
      </c>
      <c r="AA8" s="2005">
        <f t="shared" ref="AA8" si="61">IF(F8=0,0,ROUND(AVERAGE(F8:F21)/100,4))</f>
        <v>-1.1000000000000001E-3</v>
      </c>
      <c r="AB8" s="2005">
        <f t="shared" ref="AB8" si="62">IF(G8=0,0,ROUND(AVERAGE(G8:G21)/100,4))</f>
        <v>3.7000000000000002E-3</v>
      </c>
      <c r="AC8" s="2005">
        <f t="shared" ref="AC8" si="63">IF(H8=0,0,ROUND(AVERAGE(H8:H21)/100,4))</f>
        <v>4.8999999999999998E-3</v>
      </c>
      <c r="AD8" s="2005">
        <f t="shared" ref="AD8" si="64">AA8</f>
        <v>-1.1000000000000001E-3</v>
      </c>
      <c r="AF8" s="3124">
        <f t="shared" si="30"/>
        <v>105.72</v>
      </c>
      <c r="AG8" s="3124">
        <f t="shared" si="31"/>
        <v>103.39</v>
      </c>
      <c r="AH8" s="3124">
        <f t="shared" si="32"/>
        <v>99.13</v>
      </c>
      <c r="AI8" s="3124">
        <f t="shared" si="33"/>
        <v>106.79</v>
      </c>
      <c r="AJ8" s="3124">
        <f t="shared" si="34"/>
        <v>108.72</v>
      </c>
      <c r="AK8" s="3124">
        <f t="shared" si="35"/>
        <v>99.13</v>
      </c>
      <c r="AM8" s="3124">
        <f t="shared" si="48"/>
        <v>100.40183323707308</v>
      </c>
      <c r="AN8" s="3124">
        <f t="shared" si="49"/>
        <v>100.84572858437082</v>
      </c>
      <c r="AO8" s="3124">
        <f t="shared" si="50"/>
        <v>101.89669488899423</v>
      </c>
      <c r="AP8" s="3124">
        <f t="shared" si="51"/>
        <v>100.3012558248826</v>
      </c>
      <c r="AQ8" s="3124">
        <f t="shared" si="52"/>
        <v>99.790372360589558</v>
      </c>
      <c r="AR8" s="3124">
        <f t="shared" si="53"/>
        <v>101.89669488899423</v>
      </c>
    </row>
    <row r="9" spans="1:44" s="2022" customFormat="1" ht="12.75">
      <c r="A9" s="2017" t="s">
        <v>3384</v>
      </c>
      <c r="B9" s="2008">
        <v>2024</v>
      </c>
      <c r="C9" s="2019">
        <v>4</v>
      </c>
      <c r="D9" s="1984">
        <v>-1.02</v>
      </c>
      <c r="E9" s="1984">
        <v>-0.48</v>
      </c>
      <c r="F9" s="1984">
        <v>-0.75</v>
      </c>
      <c r="G9" s="1984">
        <v>-1.05</v>
      </c>
      <c r="H9" s="1984">
        <v>0.08</v>
      </c>
      <c r="I9" s="1985">
        <f t="shared" ref="I9" si="65">F9</f>
        <v>-0.75</v>
      </c>
      <c r="J9" s="2879"/>
      <c r="K9" s="2020">
        <f t="shared" ref="K9" si="66">D9/100</f>
        <v>-1.0200000000000001E-2</v>
      </c>
      <c r="L9" s="2005">
        <f t="shared" ref="L9" si="67">E9/100</f>
        <v>-4.7999999999999996E-3</v>
      </c>
      <c r="M9" s="2005">
        <f t="shared" ref="M9" si="68">F9/100</f>
        <v>-7.4999999999999997E-3</v>
      </c>
      <c r="N9" s="2005">
        <f t="shared" ref="N9" si="69">G9/100</f>
        <v>-1.0500000000000001E-2</v>
      </c>
      <c r="O9" s="2005">
        <f t="shared" ref="O9" si="70">H9/100</f>
        <v>8.0000000000000004E-4</v>
      </c>
      <c r="P9" s="2005">
        <f t="shared" si="10"/>
        <v>-7.4999999999999997E-3</v>
      </c>
      <c r="Q9" s="2879"/>
      <c r="R9" s="2004">
        <f>ROUND(IF(项目基本情况!$B$8="出让",SUMPRODUCT(PRODUCT(1+K9:$K$24)),SUMPRODUCT(PRODUCT(1+K9:$K$23))),4)</f>
        <v>1.0511999999999999</v>
      </c>
      <c r="S9" s="2004">
        <f>ROUND(IF(项目基本情况!$B$8="出让",SUMPRODUCT(PRODUCT(1+L9:$L$24)),SUMPRODUCT(PRODUCT(1+L9:$L$23))),4)</f>
        <v>1.0398000000000001</v>
      </c>
      <c r="T9" s="2004">
        <f>ROUND(IF(项目基本情况!$B$8="出让",SUMPRODUCT(PRODUCT(1+M9:$M$24)),SUMPRODUCT(PRODUCT(1+M9:$M$23))),4)</f>
        <v>1.0003</v>
      </c>
      <c r="U9" s="2004">
        <f>ROUND(IF(项目基本情况!$B$8="出让",SUMPRODUCT(PRODUCT(1+N9:$N$24)),SUMPRODUCT(PRODUCT(1+N9:$N$23))),4)</f>
        <v>1.0561</v>
      </c>
      <c r="V9" s="2004">
        <f>ROUND(IF(项目基本情况!$B$8="出让",SUMPRODUCT(PRODUCT(1+O9:$O$24)),SUMPRODUCT(PRODUCT(1+O9:$O$23))),4)</f>
        <v>1.0827</v>
      </c>
      <c r="W9" s="2004">
        <f t="shared" si="11"/>
        <v>1.0003</v>
      </c>
      <c r="X9" s="2879"/>
      <c r="Y9" s="2005">
        <f t="shared" si="12"/>
        <v>2.8999999999999998E-3</v>
      </c>
      <c r="Z9" s="2005">
        <f t="shared" ref="Z9" si="71">IF(E9=0,0,ROUND(AVERAGE(E9:E22)/100,4))</f>
        <v>2.3E-3</v>
      </c>
      <c r="AA9" s="2005">
        <f t="shared" ref="AA9" si="72">IF(F9=0,0,ROUND(AVERAGE(F9:F22)/100,4))</f>
        <v>-2.9999999999999997E-4</v>
      </c>
      <c r="AB9" s="2005">
        <f t="shared" ref="AB9" si="73">IF(G9=0,0,ROUND(AVERAGE(G9:G22)/100,4))</f>
        <v>3.3E-3</v>
      </c>
      <c r="AC9" s="2005">
        <f t="shared" ref="AC9" si="74">IF(H9=0,0,ROUND(AVERAGE(H9:H22)/100,4))</f>
        <v>5.0000000000000001E-3</v>
      </c>
      <c r="AD9" s="2005">
        <f t="shared" ref="AD9" si="75">AA9</f>
        <v>-2.9999999999999997E-4</v>
      </c>
      <c r="AF9" s="3124">
        <f t="shared" si="30"/>
        <v>105.11999999999999</v>
      </c>
      <c r="AG9" s="3124">
        <f t="shared" si="31"/>
        <v>103.98</v>
      </c>
      <c r="AH9" s="3124">
        <f t="shared" si="32"/>
        <v>100.03</v>
      </c>
      <c r="AI9" s="3124">
        <f t="shared" si="33"/>
        <v>105.61</v>
      </c>
      <c r="AJ9" s="3124">
        <f t="shared" si="34"/>
        <v>108.27</v>
      </c>
      <c r="AK9" s="3124">
        <f t="shared" si="35"/>
        <v>100.03</v>
      </c>
      <c r="AM9" s="3124">
        <f t="shared" si="48"/>
        <v>99.832786354850427</v>
      </c>
      <c r="AN9" s="3124">
        <f t="shared" si="49"/>
        <v>101.42384449800947</v>
      </c>
      <c r="AO9" s="3124">
        <f t="shared" si="50"/>
        <v>102.82209373258752</v>
      </c>
      <c r="AP9" s="3124">
        <f t="shared" si="51"/>
        <v>99.190324193910797</v>
      </c>
      <c r="AQ9" s="3124">
        <f t="shared" si="52"/>
        <v>99.373005736496282</v>
      </c>
      <c r="AR9" s="3124">
        <f t="shared" si="53"/>
        <v>102.82209373258752</v>
      </c>
    </row>
    <row r="10" spans="1:44" s="2022" customFormat="1" ht="12.75">
      <c r="A10" s="2017" t="s">
        <v>3364</v>
      </c>
      <c r="B10" s="2008">
        <v>2024</v>
      </c>
      <c r="C10" s="2019">
        <v>3</v>
      </c>
      <c r="D10" s="1984">
        <v>-1.19</v>
      </c>
      <c r="E10" s="1984">
        <v>-0.47</v>
      </c>
      <c r="F10" s="1984">
        <v>-0.28999999999999998</v>
      </c>
      <c r="G10" s="1984">
        <v>-0.74</v>
      </c>
      <c r="H10" s="1984">
        <v>-0.21</v>
      </c>
      <c r="I10" s="1985">
        <f t="shared" ref="I10" si="76">F10</f>
        <v>-0.28999999999999998</v>
      </c>
      <c r="J10" s="2879"/>
      <c r="K10" s="2020">
        <f t="shared" ref="K10" si="77">D10/100</f>
        <v>-1.1899999999999999E-2</v>
      </c>
      <c r="L10" s="2005">
        <f t="shared" ref="L10" si="78">E10/100</f>
        <v>-4.6999999999999993E-3</v>
      </c>
      <c r="M10" s="2005">
        <f t="shared" ref="M10" si="79">F10/100</f>
        <v>-2.8999999999999998E-3</v>
      </c>
      <c r="N10" s="2005">
        <f t="shared" ref="N10" si="80">G10/100</f>
        <v>-7.4000000000000003E-3</v>
      </c>
      <c r="O10" s="2005">
        <f t="shared" ref="O10" si="81">H10/100</f>
        <v>-2.0999999999999999E-3</v>
      </c>
      <c r="P10" s="2005">
        <f t="shared" si="10"/>
        <v>-2.8999999999999998E-3</v>
      </c>
      <c r="Q10" s="2879"/>
      <c r="R10" s="2004">
        <f>ROUND(IF(项目基本情况!$B$8="出让",SUMPRODUCT(PRODUCT(1+K10:$K$24)),SUMPRODUCT(PRODUCT(1+K10:$K$23))),4)</f>
        <v>1.0620000000000001</v>
      </c>
      <c r="S10" s="2004">
        <f>ROUND(IF(项目基本情况!$B$8="出让",SUMPRODUCT(PRODUCT(1+L10:$L$24)),SUMPRODUCT(PRODUCT(1+L10:$L$23))),4)</f>
        <v>1.0448</v>
      </c>
      <c r="T10" s="2004">
        <f>ROUND(IF(项目基本情况!$B$8="出让",SUMPRODUCT(PRODUCT(1+M10:$M$24)),SUMPRODUCT(PRODUCT(1+M10:$M$23))),4)</f>
        <v>1.0079</v>
      </c>
      <c r="U10" s="2004">
        <f>ROUND(IF(项目基本情况!$B$8="出让",SUMPRODUCT(PRODUCT(1+N10:$N$24)),SUMPRODUCT(PRODUCT(1+N10:$N$23))),4)</f>
        <v>1.0672999999999999</v>
      </c>
      <c r="V10" s="2004">
        <f>ROUND(IF(项目基本情况!$B$8="出让",SUMPRODUCT(PRODUCT(1+O10:$O$24)),SUMPRODUCT(PRODUCT(1+O10:$O$23))),4)</f>
        <v>1.0818000000000001</v>
      </c>
      <c r="W10" s="2004">
        <f t="shared" si="11"/>
        <v>1.0079</v>
      </c>
      <c r="X10" s="2879"/>
      <c r="Y10" s="2005">
        <f t="shared" si="12"/>
        <v>4.3E-3</v>
      </c>
      <c r="Z10" s="2005">
        <f t="shared" ref="Z10" si="82">IF(E10=0,0,ROUND(AVERAGE(E10:E23)/100,4))</f>
        <v>3.0999999999999999E-3</v>
      </c>
      <c r="AA10" s="2005">
        <f t="shared" ref="AA10" si="83">IF(F10=0,0,ROUND(AVERAGE(F10:F23)/100,4))</f>
        <v>5.9999999999999995E-4</v>
      </c>
      <c r="AB10" s="2005">
        <f t="shared" ref="AB10" si="84">IF(G10=0,0,ROUND(AVERAGE(G10:G23)/100,4))</f>
        <v>4.7000000000000002E-3</v>
      </c>
      <c r="AC10" s="2005">
        <f t="shared" ref="AC10" si="85">IF(H10=0,0,ROUND(AVERAGE(H10:H23)/100,4))</f>
        <v>5.5999999999999999E-3</v>
      </c>
      <c r="AD10" s="2005">
        <f t="shared" ref="AD10" si="86">AA10</f>
        <v>5.9999999999999995E-4</v>
      </c>
      <c r="AF10" s="3124">
        <f t="shared" si="30"/>
        <v>106.2</v>
      </c>
      <c r="AG10" s="3124">
        <f t="shared" si="31"/>
        <v>104.47999999999999</v>
      </c>
      <c r="AH10" s="3124">
        <f t="shared" si="32"/>
        <v>100.79</v>
      </c>
      <c r="AI10" s="3124">
        <f t="shared" si="33"/>
        <v>106.72999999999999</v>
      </c>
      <c r="AJ10" s="3124">
        <f t="shared" si="34"/>
        <v>108.18</v>
      </c>
      <c r="AK10" s="3124">
        <f t="shared" si="35"/>
        <v>100.79</v>
      </c>
      <c r="AM10" s="3124">
        <f t="shared" si="48"/>
        <v>100.86157441387192</v>
      </c>
      <c r="AN10" s="3124">
        <f t="shared" si="49"/>
        <v>101.91302702774264</v>
      </c>
      <c r="AO10" s="3124">
        <f t="shared" si="50"/>
        <v>103.59908688421916</v>
      </c>
      <c r="AP10" s="3124">
        <f t="shared" si="51"/>
        <v>100.24287437484668</v>
      </c>
      <c r="AQ10" s="3124">
        <f t="shared" si="52"/>
        <v>99.293570879792455</v>
      </c>
      <c r="AR10" s="3124">
        <f t="shared" si="53"/>
        <v>103.59908688421916</v>
      </c>
    </row>
    <row r="11" spans="1:44" s="2022" customFormat="1" ht="12.75">
      <c r="A11" s="2878" t="s">
        <v>3358</v>
      </c>
      <c r="B11" s="2008">
        <v>2024</v>
      </c>
      <c r="C11" s="2019">
        <v>2</v>
      </c>
      <c r="D11" s="1984">
        <v>-0.59</v>
      </c>
      <c r="E11" s="1984">
        <v>-0.21</v>
      </c>
      <c r="F11" s="1984">
        <v>-1.38</v>
      </c>
      <c r="G11" s="1984">
        <v>-1.24</v>
      </c>
      <c r="H11" s="2890">
        <v>0.34</v>
      </c>
      <c r="I11" s="1985">
        <f t="shared" ref="I11:I24" si="87">F11</f>
        <v>-1.38</v>
      </c>
      <c r="J11" s="2879"/>
      <c r="K11" s="2020">
        <f t="shared" ref="K11:O24" si="88">D11/100</f>
        <v>-5.8999999999999999E-3</v>
      </c>
      <c r="L11" s="2005">
        <f t="shared" si="88"/>
        <v>-2.0999999999999999E-3</v>
      </c>
      <c r="M11" s="2005">
        <f t="shared" si="88"/>
        <v>-1.38E-2</v>
      </c>
      <c r="N11" s="2005">
        <f t="shared" si="88"/>
        <v>-1.24E-2</v>
      </c>
      <c r="O11" s="2005">
        <f t="shared" si="88"/>
        <v>3.4000000000000002E-3</v>
      </c>
      <c r="P11" s="2005">
        <f t="shared" si="10"/>
        <v>-1.38E-2</v>
      </c>
      <c r="Q11" s="2879"/>
      <c r="R11" s="2004">
        <f>ROUND(IF(项目基本情况!$B$8="出让",SUMPRODUCT(PRODUCT(1+K11:$K$24)),SUMPRODUCT(PRODUCT(1+K11:$K$23))),4)</f>
        <v>1.0748</v>
      </c>
      <c r="S11" s="2004">
        <f>ROUND(IF(项目基本情况!$B$8="出让",SUMPRODUCT(PRODUCT(1+L11:$L$24)),SUMPRODUCT(PRODUCT(1+L11:$L$23))),4)</f>
        <v>1.0498000000000001</v>
      </c>
      <c r="T11" s="2004">
        <f>ROUND(IF(项目基本情况!$B$8="出让",SUMPRODUCT(PRODUCT(1+M11:$M$24)),SUMPRODUCT(PRODUCT(1+M11:$M$23))),4)</f>
        <v>1.0107999999999999</v>
      </c>
      <c r="U11" s="2004">
        <f>ROUND(IF(项目基本情况!$B$8="出让",SUMPRODUCT(PRODUCT(1+N11:$N$24)),SUMPRODUCT(PRODUCT(1+N11:$N$23))),4)</f>
        <v>1.0752999999999999</v>
      </c>
      <c r="V11" s="2004">
        <f>ROUND(IF(项目基本情况!$B$8="出让",SUMPRODUCT(PRODUCT(1+O11:$O$24)),SUMPRODUCT(PRODUCT(1+O11:$O$23))),4)</f>
        <v>1.0841000000000001</v>
      </c>
      <c r="W11" s="2004">
        <f t="shared" si="11"/>
        <v>1.0107999999999999</v>
      </c>
      <c r="X11" s="2879"/>
      <c r="Y11" s="2005">
        <f t="shared" si="12"/>
        <v>5.8999999999999999E-3</v>
      </c>
      <c r="Z11" s="2005">
        <f t="shared" ref="Z11:AC11" si="89">IF(E11=0,0,ROUND(AVERAGE(E11:E24)/100,4))</f>
        <v>3.5999999999999999E-3</v>
      </c>
      <c r="AA11" s="2005">
        <f t="shared" si="89"/>
        <v>5.9999999999999995E-4</v>
      </c>
      <c r="AB11" s="2005">
        <f t="shared" si="89"/>
        <v>6.0000000000000001E-3</v>
      </c>
      <c r="AC11" s="2005">
        <f t="shared" si="89"/>
        <v>6.0000000000000001E-3</v>
      </c>
      <c r="AD11" s="2005">
        <f t="shared" ref="AD11:AD23" si="90">AA11</f>
        <v>5.9999999999999995E-4</v>
      </c>
      <c r="AF11" s="3124">
        <f t="shared" si="30"/>
        <v>107.48</v>
      </c>
      <c r="AG11" s="3124">
        <f t="shared" si="31"/>
        <v>104.98</v>
      </c>
      <c r="AH11" s="3124">
        <f t="shared" si="32"/>
        <v>101.08</v>
      </c>
      <c r="AI11" s="3124">
        <f t="shared" si="33"/>
        <v>107.52999999999999</v>
      </c>
      <c r="AJ11" s="3124">
        <f t="shared" si="34"/>
        <v>108.41000000000001</v>
      </c>
      <c r="AK11" s="3124">
        <f t="shared" si="35"/>
        <v>101.08</v>
      </c>
      <c r="AM11" s="3124">
        <f t="shared" si="48"/>
        <v>102.07628217171533</v>
      </c>
      <c r="AN11" s="3124">
        <f t="shared" si="49"/>
        <v>102.39428014442143</v>
      </c>
      <c r="AO11" s="3124">
        <f t="shared" si="50"/>
        <v>103.90039803853091</v>
      </c>
      <c r="AP11" s="3124">
        <f t="shared" si="51"/>
        <v>100.99020186867487</v>
      </c>
      <c r="AQ11" s="3124">
        <f t="shared" si="52"/>
        <v>99.502526184780493</v>
      </c>
      <c r="AR11" s="3124">
        <f t="shared" si="53"/>
        <v>103.90039803853091</v>
      </c>
    </row>
    <row r="12" spans="1:44" s="2022" customFormat="1" ht="12.75">
      <c r="A12" s="2878" t="s">
        <v>3357</v>
      </c>
      <c r="B12" s="2008">
        <v>2024</v>
      </c>
      <c r="C12" s="2019">
        <v>1</v>
      </c>
      <c r="D12" s="1984">
        <v>0.08</v>
      </c>
      <c r="E12" s="1984">
        <v>0.46</v>
      </c>
      <c r="F12" s="1984">
        <v>-0.16</v>
      </c>
      <c r="G12" s="1984">
        <v>0.26</v>
      </c>
      <c r="H12" s="2890">
        <v>0.59</v>
      </c>
      <c r="I12" s="1985">
        <f t="shared" si="87"/>
        <v>-0.16</v>
      </c>
      <c r="J12" s="2879"/>
      <c r="K12" s="2020">
        <f t="shared" ref="K12" si="91">D12/100</f>
        <v>8.0000000000000004E-4</v>
      </c>
      <c r="L12" s="2005">
        <f t="shared" ref="L12" si="92">E12/100</f>
        <v>4.5999999999999999E-3</v>
      </c>
      <c r="M12" s="2005">
        <f t="shared" ref="M12" si="93">F12/100</f>
        <v>-1.6000000000000001E-3</v>
      </c>
      <c r="N12" s="2005">
        <f t="shared" ref="N12" si="94">G12/100</f>
        <v>2.5999999999999999E-3</v>
      </c>
      <c r="O12" s="2005">
        <f t="shared" ref="O12" si="95">H12/100</f>
        <v>5.8999999999999999E-3</v>
      </c>
      <c r="P12" s="2005">
        <f t="shared" ref="P12" si="96">M12</f>
        <v>-1.6000000000000001E-3</v>
      </c>
      <c r="Q12" s="2879"/>
      <c r="R12" s="2004">
        <f>ROUND(IF(项目基本情况!$B$8="出让",SUMPRODUCT(PRODUCT(1+K12:$K$24)),SUMPRODUCT(PRODUCT(1+K12:$K$23))),4)</f>
        <v>1.0811999999999999</v>
      </c>
      <c r="S12" s="2004">
        <f>ROUND(IF(项目基本情况!$B$8="出让",SUMPRODUCT(PRODUCT(1+L12:$L$24)),SUMPRODUCT(PRODUCT(1+L12:$L$23))),4)</f>
        <v>1.052</v>
      </c>
      <c r="T12" s="2004">
        <f>ROUND(IF(项目基本情况!$B$8="出让",SUMPRODUCT(PRODUCT(1+M12:$M$24)),SUMPRODUCT(PRODUCT(1+M12:$M$23))),4)</f>
        <v>1.0249999999999999</v>
      </c>
      <c r="U12" s="2004">
        <f>ROUND(IF(项目基本情况!$B$8="出让",SUMPRODUCT(PRODUCT(1+N12:$N$24)),SUMPRODUCT(PRODUCT(1+N12:$N$23))),4)</f>
        <v>1.0888</v>
      </c>
      <c r="V12" s="2004">
        <f>ROUND(IF(项目基本情况!$B$8="出让",SUMPRODUCT(PRODUCT(1+O12:$O$24)),SUMPRODUCT(PRODUCT(1+O12:$O$23))),4)</f>
        <v>1.0804</v>
      </c>
      <c r="W12" s="2004">
        <f t="shared" ref="W12" si="97">T12</f>
        <v>1.0249999999999999</v>
      </c>
      <c r="X12" s="2879"/>
      <c r="Y12" s="2005"/>
      <c r="Z12" s="2005"/>
      <c r="AA12" s="2005"/>
      <c r="AB12" s="2005"/>
      <c r="AC12" s="2005"/>
      <c r="AD12" s="2005"/>
      <c r="AF12" s="3124">
        <f t="shared" si="30"/>
        <v>108.11999999999999</v>
      </c>
      <c r="AG12" s="3124">
        <f t="shared" si="31"/>
        <v>105.2</v>
      </c>
      <c r="AH12" s="3124">
        <f t="shared" si="32"/>
        <v>102.49999999999999</v>
      </c>
      <c r="AI12" s="3124">
        <f t="shared" si="33"/>
        <v>108.88</v>
      </c>
      <c r="AJ12" s="3124">
        <f t="shared" si="34"/>
        <v>108.04</v>
      </c>
      <c r="AK12" s="3124">
        <f t="shared" si="35"/>
        <v>102.49999999999999</v>
      </c>
      <c r="AM12" s="3124">
        <f t="shared" si="48"/>
        <v>102.68210660065922</v>
      </c>
      <c r="AN12" s="3124">
        <f t="shared" si="49"/>
        <v>102.60976064176914</v>
      </c>
      <c r="AO12" s="3124">
        <f t="shared" si="50"/>
        <v>105.35428720191737</v>
      </c>
      <c r="AP12" s="3124">
        <f t="shared" si="51"/>
        <v>102.25820359323093</v>
      </c>
      <c r="AQ12" s="3124">
        <f t="shared" si="52"/>
        <v>99.165363947359467</v>
      </c>
      <c r="AR12" s="3124">
        <f t="shared" si="53"/>
        <v>105.35428720191737</v>
      </c>
    </row>
    <row r="13" spans="1:44" s="2022" customFormat="1" ht="12.75">
      <c r="A13" s="2878" t="s">
        <v>3353</v>
      </c>
      <c r="B13" s="2008">
        <v>2023</v>
      </c>
      <c r="C13" s="2019">
        <v>4</v>
      </c>
      <c r="D13" s="1984">
        <v>0.19</v>
      </c>
      <c r="E13" s="1984">
        <v>0.24</v>
      </c>
      <c r="F13" s="1984">
        <v>-0.16</v>
      </c>
      <c r="G13" s="1984">
        <v>0.17</v>
      </c>
      <c r="H13" s="2890">
        <v>0.61</v>
      </c>
      <c r="I13" s="1985">
        <f>F13</f>
        <v>-0.16</v>
      </c>
      <c r="J13" s="2879"/>
      <c r="K13" s="2020">
        <f t="shared" si="88"/>
        <v>1.9E-3</v>
      </c>
      <c r="L13" s="2005">
        <f t="shared" si="88"/>
        <v>2.3999999999999998E-3</v>
      </c>
      <c r="M13" s="2005">
        <f t="shared" si="88"/>
        <v>-1.6000000000000001E-3</v>
      </c>
      <c r="N13" s="2005">
        <f t="shared" si="88"/>
        <v>1.7000000000000001E-3</v>
      </c>
      <c r="O13" s="2005">
        <f t="shared" si="88"/>
        <v>6.0999999999999995E-3</v>
      </c>
      <c r="P13" s="2005">
        <f t="shared" ref="P13" si="98">M13</f>
        <v>-1.6000000000000001E-3</v>
      </c>
      <c r="Q13" s="2879"/>
      <c r="R13" s="2004">
        <f>ROUND(IF(项目基本情况!$B$8="出让",SUMPRODUCT(PRODUCT(1+K13:$K$24)),SUMPRODUCT(PRODUCT(1+K13:$K$23))),4)</f>
        <v>1.0804</v>
      </c>
      <c r="S13" s="2004">
        <f>ROUND(IF(项目基本情况!$B$8="出让",SUMPRODUCT(PRODUCT(1+L13:$L$24)),SUMPRODUCT(PRODUCT(1+L13:$L$23))),4)</f>
        <v>1.0471999999999999</v>
      </c>
      <c r="T13" s="2004">
        <f>ROUND(IF(项目基本情况!$B$8="出让",SUMPRODUCT(PRODUCT(1+M13:$M$24)),SUMPRODUCT(PRODUCT(1+M13:$M$23))),4)</f>
        <v>1.0266</v>
      </c>
      <c r="U13" s="2004">
        <f>ROUND(IF(项目基本情况!$B$8="出让",SUMPRODUCT(PRODUCT(1+N13:$N$24)),SUMPRODUCT(PRODUCT(1+N13:$N$23))),4)</f>
        <v>1.0859000000000001</v>
      </c>
      <c r="V13" s="2004">
        <f>ROUND(IF(项目基本情况!$B$8="出让",SUMPRODUCT(PRODUCT(1+O13:$O$24)),SUMPRODUCT(PRODUCT(1+O13:$O$23))),4)</f>
        <v>1.0741000000000001</v>
      </c>
      <c r="W13" s="2004">
        <f t="shared" ref="W13" si="99">T13</f>
        <v>1.0266</v>
      </c>
      <c r="X13" s="2879"/>
      <c r="Y13" s="2005"/>
      <c r="Z13" s="2005"/>
      <c r="AA13" s="2005"/>
      <c r="AB13" s="2005"/>
      <c r="AC13" s="2005"/>
      <c r="AD13" s="2005"/>
      <c r="AF13" s="3124">
        <f t="shared" si="30"/>
        <v>108.04</v>
      </c>
      <c r="AG13" s="3124">
        <f t="shared" si="31"/>
        <v>104.71999999999998</v>
      </c>
      <c r="AH13" s="3124">
        <f t="shared" si="32"/>
        <v>102.66</v>
      </c>
      <c r="AI13" s="3124">
        <f t="shared" si="33"/>
        <v>108.59</v>
      </c>
      <c r="AJ13" s="3124">
        <f t="shared" si="34"/>
        <v>107.41000000000001</v>
      </c>
      <c r="AK13" s="3124">
        <f t="shared" si="35"/>
        <v>102.66</v>
      </c>
      <c r="AM13" s="3124">
        <f t="shared" si="48"/>
        <v>102.60002657939572</v>
      </c>
      <c r="AN13" s="3124">
        <f t="shared" si="49"/>
        <v>102.13991702346122</v>
      </c>
      <c r="AO13" s="3124">
        <f t="shared" si="50"/>
        <v>105.52312420063839</v>
      </c>
      <c r="AP13" s="3124">
        <f t="shared" si="51"/>
        <v>101.99302173671548</v>
      </c>
      <c r="AQ13" s="3124">
        <f t="shared" si="52"/>
        <v>98.583719999363225</v>
      </c>
      <c r="AR13" s="3124">
        <f t="shared" si="53"/>
        <v>105.52312420063839</v>
      </c>
    </row>
    <row r="14" spans="1:44" s="2022" customFormat="1" ht="12.75">
      <c r="A14" s="2878" t="s">
        <v>3352</v>
      </c>
      <c r="B14" s="2008">
        <v>2023</v>
      </c>
      <c r="C14" s="2019">
        <v>3</v>
      </c>
      <c r="D14" s="1984">
        <v>0.25</v>
      </c>
      <c r="E14" s="1984">
        <v>0.5</v>
      </c>
      <c r="F14" s="1984">
        <v>0.31</v>
      </c>
      <c r="G14" s="1984">
        <v>0.21</v>
      </c>
      <c r="H14" s="2890">
        <v>0.43</v>
      </c>
      <c r="I14" s="1985">
        <f t="shared" si="87"/>
        <v>0.31</v>
      </c>
      <c r="J14" s="2879"/>
      <c r="K14" s="2020">
        <f t="shared" ref="K14:K16" si="100">D14/100</f>
        <v>2.5000000000000001E-3</v>
      </c>
      <c r="L14" s="2005">
        <f t="shared" ref="L14:L16" si="101">E14/100</f>
        <v>5.0000000000000001E-3</v>
      </c>
      <c r="M14" s="2005">
        <f t="shared" ref="M14:M16" si="102">F14/100</f>
        <v>3.0999999999999999E-3</v>
      </c>
      <c r="N14" s="2005">
        <f t="shared" ref="N14:N16" si="103">G14/100</f>
        <v>2.0999999999999999E-3</v>
      </c>
      <c r="O14" s="2005">
        <f t="shared" ref="O14:O16" si="104">H14/100</f>
        <v>4.3E-3</v>
      </c>
      <c r="P14" s="2005">
        <f t="shared" ref="P14:P16" si="105">M14</f>
        <v>3.0999999999999999E-3</v>
      </c>
      <c r="Q14" s="2879"/>
      <c r="R14" s="2004">
        <f>ROUND(IF(项目基本情况!$B$8="出让",SUMPRODUCT(PRODUCT(1+K14:$K$24)),SUMPRODUCT(PRODUCT(1+K14:$K$23))),4)</f>
        <v>1.0783</v>
      </c>
      <c r="S14" s="2004">
        <f>ROUND(IF(项目基本情况!$B$8="出让",SUMPRODUCT(PRODUCT(1+L14:$L$24)),SUMPRODUCT(PRODUCT(1+L14:$L$23))),4)</f>
        <v>1.0447</v>
      </c>
      <c r="T14" s="2004">
        <f>ROUND(IF(项目基本情况!$B$8="出让",SUMPRODUCT(PRODUCT(1+M14:$M$24)),SUMPRODUCT(PRODUCT(1+M14:$M$23))),4)</f>
        <v>1.0282</v>
      </c>
      <c r="U14" s="2004">
        <f>ROUND(IF(项目基本情况!$B$8="出让",SUMPRODUCT(PRODUCT(1+N14:$N$24)),SUMPRODUCT(PRODUCT(1+N14:$N$23))),4)</f>
        <v>1.0841000000000001</v>
      </c>
      <c r="V14" s="2004">
        <f>ROUND(IF(项目基本情况!$B$8="出让",SUMPRODUCT(PRODUCT(1+O14:$O$24)),SUMPRODUCT(PRODUCT(1+O14:$O$23))),4)</f>
        <v>1.0674999999999999</v>
      </c>
      <c r="W14" s="2004">
        <f t="shared" ref="W14:W15" si="106">T14</f>
        <v>1.0282</v>
      </c>
      <c r="X14" s="2879"/>
      <c r="Y14" s="2005"/>
      <c r="Z14" s="2005"/>
      <c r="AA14" s="2005"/>
      <c r="AB14" s="2005"/>
      <c r="AC14" s="2005"/>
      <c r="AD14" s="2005"/>
      <c r="AF14" s="3124">
        <f t="shared" si="30"/>
        <v>107.83</v>
      </c>
      <c r="AG14" s="3124">
        <f t="shared" si="31"/>
        <v>104.47</v>
      </c>
      <c r="AH14" s="3124">
        <f t="shared" si="32"/>
        <v>102.82</v>
      </c>
      <c r="AI14" s="3124">
        <f t="shared" si="33"/>
        <v>108.41000000000001</v>
      </c>
      <c r="AJ14" s="3124">
        <f t="shared" si="34"/>
        <v>106.74999999999999</v>
      </c>
      <c r="AK14" s="3124">
        <f t="shared" si="35"/>
        <v>102.82</v>
      </c>
      <c r="AM14" s="3124">
        <f t="shared" si="48"/>
        <v>102.40545621259179</v>
      </c>
      <c r="AN14" s="3124">
        <f t="shared" si="49"/>
        <v>101.89536813992541</v>
      </c>
      <c r="AO14" s="3124">
        <f t="shared" si="50"/>
        <v>105.69223177147275</v>
      </c>
      <c r="AP14" s="3124">
        <f t="shared" si="51"/>
        <v>101.81992785935456</v>
      </c>
      <c r="AQ14" s="3124">
        <f t="shared" si="52"/>
        <v>97.986005366626799</v>
      </c>
      <c r="AR14" s="3124">
        <f t="shared" si="53"/>
        <v>105.69223177147275</v>
      </c>
    </row>
    <row r="15" spans="1:44" s="2022" customFormat="1" ht="12.75">
      <c r="A15" s="2878" t="s">
        <v>3350</v>
      </c>
      <c r="B15" s="2008">
        <v>2023</v>
      </c>
      <c r="C15" s="2019">
        <v>2</v>
      </c>
      <c r="D15" s="1984">
        <v>0.91</v>
      </c>
      <c r="E15" s="1984">
        <v>0.66</v>
      </c>
      <c r="F15" s="1984">
        <v>0.47</v>
      </c>
      <c r="G15" s="1984">
        <v>0.96</v>
      </c>
      <c r="H15" s="2890">
        <v>0.71</v>
      </c>
      <c r="I15" s="1985">
        <f t="shared" si="87"/>
        <v>0.47</v>
      </c>
      <c r="J15" s="2879"/>
      <c r="K15" s="2020">
        <f t="shared" si="100"/>
        <v>9.1000000000000004E-3</v>
      </c>
      <c r="L15" s="2005">
        <f t="shared" si="101"/>
        <v>6.6E-3</v>
      </c>
      <c r="M15" s="2005">
        <f t="shared" si="102"/>
        <v>4.6999999999999993E-3</v>
      </c>
      <c r="N15" s="2005">
        <f t="shared" si="103"/>
        <v>9.5999999999999992E-3</v>
      </c>
      <c r="O15" s="2005">
        <f t="shared" si="104"/>
        <v>7.0999999999999995E-3</v>
      </c>
      <c r="P15" s="2005">
        <f t="shared" si="105"/>
        <v>4.6999999999999993E-3</v>
      </c>
      <c r="Q15" s="2879"/>
      <c r="R15" s="2004">
        <f>ROUND(IF(项目基本情况!$B$8="出让",SUMPRODUCT(PRODUCT(1+K15:$K$24)),SUMPRODUCT(PRODUCT(1+K15:$K$23))),4)</f>
        <v>1.0755999999999999</v>
      </c>
      <c r="S15" s="2004">
        <f>ROUND(IF(项目基本情况!$B$8="出让",SUMPRODUCT(PRODUCT(1+L15:$L$24)),SUMPRODUCT(PRODUCT(1+L15:$L$23))),4)</f>
        <v>1.0395000000000001</v>
      </c>
      <c r="T15" s="2004">
        <f>ROUND(IF(项目基本情况!$B$8="出让",SUMPRODUCT(PRODUCT(1+M15:$M$24)),SUMPRODUCT(PRODUCT(1+M15:$M$23))),4)</f>
        <v>1.0250999999999999</v>
      </c>
      <c r="U15" s="2004">
        <f>ROUND(IF(项目基本情况!$B$8="出让",SUMPRODUCT(PRODUCT(1+N15:$N$24)),SUMPRODUCT(PRODUCT(1+N15:$N$23))),4)</f>
        <v>1.0818000000000001</v>
      </c>
      <c r="V15" s="2004">
        <f>ROUND(IF(项目基本情况!$B$8="出让",SUMPRODUCT(PRODUCT(1+O15:$O$24)),SUMPRODUCT(PRODUCT(1+O15:$O$23))),4)</f>
        <v>1.0629999999999999</v>
      </c>
      <c r="W15" s="2004">
        <f t="shared" si="106"/>
        <v>1.0250999999999999</v>
      </c>
      <c r="X15" s="2879"/>
      <c r="Y15" s="2005"/>
      <c r="Z15" s="2005"/>
      <c r="AA15" s="2005"/>
      <c r="AB15" s="2005"/>
      <c r="AC15" s="2005"/>
      <c r="AD15" s="2005"/>
      <c r="AF15" s="3124">
        <f t="shared" si="30"/>
        <v>107.55999999999999</v>
      </c>
      <c r="AG15" s="3124">
        <f t="shared" si="31"/>
        <v>103.95</v>
      </c>
      <c r="AH15" s="3124">
        <f t="shared" si="32"/>
        <v>102.50999999999999</v>
      </c>
      <c r="AI15" s="3124">
        <f t="shared" si="33"/>
        <v>108.18</v>
      </c>
      <c r="AJ15" s="3124">
        <f t="shared" si="34"/>
        <v>106.3</v>
      </c>
      <c r="AK15" s="3124">
        <f t="shared" si="35"/>
        <v>102.50999999999999</v>
      </c>
      <c r="AM15" s="3124">
        <f t="shared" si="48"/>
        <v>102.15008101006663</v>
      </c>
      <c r="AN15" s="3124">
        <f t="shared" si="49"/>
        <v>101.38842600987604</v>
      </c>
      <c r="AO15" s="3124">
        <f t="shared" si="50"/>
        <v>105.36559841638196</v>
      </c>
      <c r="AP15" s="3124">
        <f t="shared" si="51"/>
        <v>101.60655409575348</v>
      </c>
      <c r="AQ15" s="3124">
        <f t="shared" si="52"/>
        <v>97.56646954757224</v>
      </c>
      <c r="AR15" s="3124">
        <f t="shared" si="53"/>
        <v>105.36559841638196</v>
      </c>
    </row>
    <row r="16" spans="1:44" s="2022" customFormat="1" ht="12.75">
      <c r="A16" s="2878" t="s">
        <v>3349</v>
      </c>
      <c r="B16" s="2008">
        <v>2023</v>
      </c>
      <c r="C16" s="2019">
        <v>1</v>
      </c>
      <c r="D16" s="1984">
        <v>0.89</v>
      </c>
      <c r="E16" s="1984">
        <v>0.74</v>
      </c>
      <c r="F16" s="1984">
        <v>0.56999999999999995</v>
      </c>
      <c r="G16" s="1984">
        <v>0.92</v>
      </c>
      <c r="H16" s="2890">
        <v>0.5</v>
      </c>
      <c r="I16" s="1985">
        <f t="shared" si="87"/>
        <v>0.56999999999999995</v>
      </c>
      <c r="J16" s="2879"/>
      <c r="K16" s="2020">
        <f t="shared" si="100"/>
        <v>8.8999999999999999E-3</v>
      </c>
      <c r="L16" s="2005">
        <f t="shared" si="101"/>
        <v>7.4000000000000003E-3</v>
      </c>
      <c r="M16" s="2005">
        <f t="shared" si="102"/>
        <v>5.6999999999999993E-3</v>
      </c>
      <c r="N16" s="2005">
        <f t="shared" si="103"/>
        <v>9.1999999999999998E-3</v>
      </c>
      <c r="O16" s="2005">
        <f t="shared" si="104"/>
        <v>5.0000000000000001E-3</v>
      </c>
      <c r="P16" s="2005">
        <f t="shared" si="105"/>
        <v>5.6999999999999993E-3</v>
      </c>
      <c r="Q16" s="2879"/>
      <c r="R16" s="2004">
        <f>ROUND(IF(项目基本情况!$B$8="出让",SUMPRODUCT(PRODUCT(1+K16:$K$24)),SUMPRODUCT(PRODUCT(1+K16:$K$23))),4)</f>
        <v>1.0659000000000001</v>
      </c>
      <c r="S16" s="2004">
        <f>ROUND(IF(项目基本情况!$B$8="出让",SUMPRODUCT(PRODUCT(1+L16:$L$24)),SUMPRODUCT(PRODUCT(1+L16:$L$23))),4)</f>
        <v>1.0326</v>
      </c>
      <c r="T16" s="2004">
        <f>ROUND(IF(项目基本情况!$B$8="出让",SUMPRODUCT(PRODUCT(1+M16:$M$24)),SUMPRODUCT(PRODUCT(1+M16:$M$23))),4)</f>
        <v>1.0203</v>
      </c>
      <c r="U16" s="2004">
        <f>ROUND(IF(项目基本情况!$B$8="出让",SUMPRODUCT(PRODUCT(1+N16:$N$24)),SUMPRODUCT(PRODUCT(1+N16:$N$23))),4)</f>
        <v>1.0714999999999999</v>
      </c>
      <c r="V16" s="2004">
        <f>ROUND(IF(项目基本情况!$B$8="出让",SUMPRODUCT(PRODUCT(1+O16:$O$24)),SUMPRODUCT(PRODUCT(1+O16:$O$23))),4)</f>
        <v>1.0555000000000001</v>
      </c>
      <c r="W16" s="2004">
        <f t="shared" ref="W16:W23" si="107">T16</f>
        <v>1.0203</v>
      </c>
      <c r="X16" s="2879"/>
      <c r="Y16" s="2005"/>
      <c r="Z16" s="2005"/>
      <c r="AA16" s="2005"/>
      <c r="AB16" s="2005"/>
      <c r="AC16" s="2005"/>
      <c r="AD16" s="2005"/>
      <c r="AF16" s="3124">
        <f t="shared" si="30"/>
        <v>106.59</v>
      </c>
      <c r="AG16" s="3124">
        <f t="shared" si="31"/>
        <v>103.25999999999999</v>
      </c>
      <c r="AH16" s="3124">
        <f t="shared" si="32"/>
        <v>102.03</v>
      </c>
      <c r="AI16" s="3124">
        <f t="shared" si="33"/>
        <v>107.14999999999999</v>
      </c>
      <c r="AJ16" s="3124">
        <f t="shared" si="34"/>
        <v>105.55000000000001</v>
      </c>
      <c r="AK16" s="3124">
        <f t="shared" si="35"/>
        <v>102.03</v>
      </c>
      <c r="AM16" s="3124">
        <f t="shared" si="48"/>
        <v>101.22889803792152</v>
      </c>
      <c r="AN16" s="3124">
        <f t="shared" si="49"/>
        <v>100.7236499204014</v>
      </c>
      <c r="AO16" s="3124">
        <f t="shared" si="50"/>
        <v>104.87269674169599</v>
      </c>
      <c r="AP16" s="3124">
        <f t="shared" si="51"/>
        <v>100.6404061962693</v>
      </c>
      <c r="AQ16" s="3124">
        <f t="shared" si="52"/>
        <v>96.878631265586563</v>
      </c>
      <c r="AR16" s="3124">
        <f t="shared" si="53"/>
        <v>104.87269674169599</v>
      </c>
    </row>
    <row r="17" spans="1:44" s="2022" customFormat="1" ht="12.75">
      <c r="A17" s="2878" t="s">
        <v>3348</v>
      </c>
      <c r="B17" s="2008">
        <v>2022</v>
      </c>
      <c r="C17" s="2019">
        <v>4</v>
      </c>
      <c r="D17" s="1984">
        <v>0.62</v>
      </c>
      <c r="E17" s="1984">
        <v>0.2</v>
      </c>
      <c r="F17" s="1984">
        <v>0.11</v>
      </c>
      <c r="G17" s="1984">
        <v>0.69</v>
      </c>
      <c r="H17" s="2890">
        <v>0.53</v>
      </c>
      <c r="I17" s="1985">
        <f t="shared" si="87"/>
        <v>0.11</v>
      </c>
      <c r="J17" s="2879"/>
      <c r="K17" s="2020">
        <f t="shared" si="88"/>
        <v>6.1999999999999998E-3</v>
      </c>
      <c r="L17" s="2005">
        <f t="shared" si="88"/>
        <v>2E-3</v>
      </c>
      <c r="M17" s="2005">
        <f t="shared" si="88"/>
        <v>1.1000000000000001E-3</v>
      </c>
      <c r="N17" s="2005">
        <f t="shared" si="88"/>
        <v>6.8999999999999999E-3</v>
      </c>
      <c r="O17" s="2005">
        <f t="shared" si="88"/>
        <v>5.3E-3</v>
      </c>
      <c r="P17" s="2005">
        <f t="shared" ref="P17:P24" si="108">M17</f>
        <v>1.1000000000000001E-3</v>
      </c>
      <c r="Q17" s="2879"/>
      <c r="R17" s="2004">
        <f>ROUND(IF(项目基本情况!$B$8="出让",SUMPRODUCT(PRODUCT(1+K17:$K$24)),SUMPRODUCT(PRODUCT(1+K17:$K$23))),4)</f>
        <v>1.0565</v>
      </c>
      <c r="S17" s="2004">
        <f>ROUND(IF(项目基本情况!$B$8="出让",SUMPRODUCT(PRODUCT(1+L17:$L$24)),SUMPRODUCT(PRODUCT(1+L17:$L$23))),4)</f>
        <v>1.0250999999999999</v>
      </c>
      <c r="T17" s="2004">
        <f>ROUND(IF(项目基本情况!$B$8="出让",SUMPRODUCT(PRODUCT(1+M17:$M$24)),SUMPRODUCT(PRODUCT(1+M17:$M$23))),4)</f>
        <v>1.0145</v>
      </c>
      <c r="U17" s="2004">
        <f>ROUND(IF(项目基本情况!$B$8="出让",SUMPRODUCT(PRODUCT(1+N17:$N$24)),SUMPRODUCT(PRODUCT(1+N17:$N$23))),4)</f>
        <v>1.0618000000000001</v>
      </c>
      <c r="V17" s="2004">
        <f>ROUND(IF(项目基本情况!$B$8="出让",SUMPRODUCT(PRODUCT(1+O17:$O$24)),SUMPRODUCT(PRODUCT(1+O17:$O$23))),4)</f>
        <v>1.0502</v>
      </c>
      <c r="W17" s="2004">
        <f t="shared" si="107"/>
        <v>1.0145</v>
      </c>
      <c r="X17" s="2879"/>
      <c r="Y17" s="2005">
        <f>IF(D17=0,0,ROUND(AVERAGE(D17:D25)/100,4))</f>
        <v>8.0999999999999996E-3</v>
      </c>
      <c r="Z17" s="2005">
        <f t="shared" ref="Z17:AC17" si="109">IF(E17=0,0,ROUND(AVERAGE(E17:E24)/100,4))</f>
        <v>3.3E-3</v>
      </c>
      <c r="AA17" s="2005">
        <f t="shared" si="109"/>
        <v>1.5E-3</v>
      </c>
      <c r="AB17" s="2005">
        <f t="shared" si="109"/>
        <v>8.8999999999999999E-3</v>
      </c>
      <c r="AC17" s="2005">
        <f t="shared" si="109"/>
        <v>6.6E-3</v>
      </c>
      <c r="AD17" s="2005">
        <f t="shared" si="90"/>
        <v>1.5E-3</v>
      </c>
      <c r="AF17" s="3124">
        <f t="shared" si="30"/>
        <v>105.65</v>
      </c>
      <c r="AG17" s="3124">
        <f t="shared" si="31"/>
        <v>102.50999999999999</v>
      </c>
      <c r="AH17" s="3124">
        <f t="shared" si="32"/>
        <v>101.44999999999999</v>
      </c>
      <c r="AI17" s="3124">
        <f t="shared" si="33"/>
        <v>106.18</v>
      </c>
      <c r="AJ17" s="3124">
        <f t="shared" si="34"/>
        <v>105.02</v>
      </c>
      <c r="AK17" s="3124">
        <f t="shared" si="35"/>
        <v>101.44999999999999</v>
      </c>
      <c r="AM17" s="3124">
        <f t="shared" si="48"/>
        <v>100.33590845269256</v>
      </c>
      <c r="AN17" s="3124">
        <f t="shared" si="49"/>
        <v>99.98377002223684</v>
      </c>
      <c r="AO17" s="3124">
        <f t="shared" si="50"/>
        <v>104.27831037257232</v>
      </c>
      <c r="AP17" s="3124">
        <f t="shared" si="51"/>
        <v>99.722955010175667</v>
      </c>
      <c r="AQ17" s="3124">
        <f t="shared" si="52"/>
        <v>96.396648025459271</v>
      </c>
      <c r="AR17" s="3124">
        <f t="shared" si="53"/>
        <v>104.27831037257232</v>
      </c>
    </row>
    <row r="18" spans="1:44" s="2022" customFormat="1" ht="12.75">
      <c r="A18" s="2878" t="s">
        <v>3346</v>
      </c>
      <c r="B18" s="2008">
        <v>2022</v>
      </c>
      <c r="C18" s="2019">
        <v>3</v>
      </c>
      <c r="D18" s="1984">
        <v>0.66</v>
      </c>
      <c r="E18" s="1984">
        <v>0.32</v>
      </c>
      <c r="F18" s="1984">
        <v>0.23</v>
      </c>
      <c r="G18" s="1984">
        <v>0.72</v>
      </c>
      <c r="H18" s="2890">
        <v>0.63</v>
      </c>
      <c r="I18" s="1985">
        <f t="shared" si="87"/>
        <v>0.23</v>
      </c>
      <c r="J18" s="2879"/>
      <c r="K18" s="2020">
        <f t="shared" si="88"/>
        <v>6.6E-3</v>
      </c>
      <c r="L18" s="2005">
        <f t="shared" si="88"/>
        <v>3.2000000000000002E-3</v>
      </c>
      <c r="M18" s="2005">
        <f t="shared" si="88"/>
        <v>2.3E-3</v>
      </c>
      <c r="N18" s="2005">
        <f t="shared" si="88"/>
        <v>7.1999999999999998E-3</v>
      </c>
      <c r="O18" s="2005">
        <f t="shared" si="88"/>
        <v>6.3E-3</v>
      </c>
      <c r="P18" s="2005">
        <f t="shared" si="108"/>
        <v>2.3E-3</v>
      </c>
      <c r="Q18" s="2879"/>
      <c r="R18" s="2004">
        <f>ROUND(IF(项目基本情况!$B$8="出让",SUMPRODUCT(PRODUCT(1+K18:$K$24)),SUMPRODUCT(PRODUCT(1+K18:$K$23))),4)</f>
        <v>1.05</v>
      </c>
      <c r="S18" s="2004">
        <f>ROUND(IF(项目基本情况!$B$8="出让",SUMPRODUCT(PRODUCT(1+L18:$L$24)),SUMPRODUCT(PRODUCT(1+L18:$L$23))),4)</f>
        <v>1.0229999999999999</v>
      </c>
      <c r="T18" s="2004">
        <f>ROUND(IF(项目基本情况!$B$8="出让",SUMPRODUCT(PRODUCT(1+M18:$M$24)),SUMPRODUCT(PRODUCT(1+M18:$M$23))),4)</f>
        <v>1.0134000000000001</v>
      </c>
      <c r="U18" s="2004">
        <f>ROUND(IF(项目基本情况!$B$8="出让",SUMPRODUCT(PRODUCT(1+N18:$N$24)),SUMPRODUCT(PRODUCT(1+N18:$N$23))),4)</f>
        <v>1.0545</v>
      </c>
      <c r="V18" s="2004">
        <f>ROUND(IF(项目基本情况!$B$8="出让",SUMPRODUCT(PRODUCT(1+O18:$O$24)),SUMPRODUCT(PRODUCT(1+O18:$O$23))),4)</f>
        <v>1.0447</v>
      </c>
      <c r="W18" s="2004">
        <f t="shared" si="107"/>
        <v>1.0134000000000001</v>
      </c>
      <c r="X18" s="2879"/>
      <c r="Y18" s="2005">
        <f>IF(D18=0,0,ROUND(AVERAGE(D18:D24)/100,4))</f>
        <v>8.3999999999999995E-3</v>
      </c>
      <c r="Z18" s="2005">
        <f t="shared" ref="Z18:AC18" si="110">IF(E18=0,0,ROUND(AVERAGE(E18:E24)/100,4))</f>
        <v>3.5000000000000001E-3</v>
      </c>
      <c r="AA18" s="2005">
        <f t="shared" si="110"/>
        <v>1.5E-3</v>
      </c>
      <c r="AB18" s="2005">
        <f t="shared" si="110"/>
        <v>9.1999999999999998E-3</v>
      </c>
      <c r="AC18" s="2005">
        <f t="shared" si="110"/>
        <v>6.7999999999999996E-3</v>
      </c>
      <c r="AD18" s="2005">
        <f t="shared" si="90"/>
        <v>1.5E-3</v>
      </c>
      <c r="AF18" s="3124">
        <f t="shared" si="30"/>
        <v>105</v>
      </c>
      <c r="AG18" s="3124">
        <f t="shared" si="31"/>
        <v>102.3</v>
      </c>
      <c r="AH18" s="3124">
        <f t="shared" si="32"/>
        <v>101.34</v>
      </c>
      <c r="AI18" s="3124">
        <f t="shared" si="33"/>
        <v>105.45</v>
      </c>
      <c r="AJ18" s="3124">
        <f t="shared" si="34"/>
        <v>104.47</v>
      </c>
      <c r="AK18" s="3124">
        <f t="shared" si="35"/>
        <v>101.34</v>
      </c>
      <c r="AM18" s="3124">
        <f t="shared" si="48"/>
        <v>99.717658967096568</v>
      </c>
      <c r="AN18" s="3124">
        <f t="shared" si="49"/>
        <v>99.784201618998836</v>
      </c>
      <c r="AO18" s="3124">
        <f t="shared" si="50"/>
        <v>104.1637302692761</v>
      </c>
      <c r="AP18" s="3124">
        <f t="shared" si="51"/>
        <v>99.039581895099488</v>
      </c>
      <c r="AQ18" s="3124">
        <f t="shared" si="52"/>
        <v>95.888439297184192</v>
      </c>
      <c r="AR18" s="3124">
        <f t="shared" si="53"/>
        <v>104.1637302692761</v>
      </c>
    </row>
    <row r="19" spans="1:44" s="2022" customFormat="1" ht="12.75">
      <c r="A19" s="2878" t="s">
        <v>3337</v>
      </c>
      <c r="B19" s="2008">
        <v>2022</v>
      </c>
      <c r="C19" s="2019">
        <v>2</v>
      </c>
      <c r="D19" s="1984">
        <v>0.93</v>
      </c>
      <c r="E19" s="1984">
        <v>0.15</v>
      </c>
      <c r="F19" s="1984">
        <v>0.01</v>
      </c>
      <c r="G19" s="1984">
        <v>1.05</v>
      </c>
      <c r="H19" s="2890">
        <v>1.08</v>
      </c>
      <c r="I19" s="1985">
        <f t="shared" si="87"/>
        <v>0.01</v>
      </c>
      <c r="J19" s="2879"/>
      <c r="K19" s="2020">
        <f t="shared" si="88"/>
        <v>9.300000000000001E-3</v>
      </c>
      <c r="L19" s="2005">
        <f t="shared" si="88"/>
        <v>1.5E-3</v>
      </c>
      <c r="M19" s="2005">
        <f t="shared" si="88"/>
        <v>1E-4</v>
      </c>
      <c r="N19" s="2005">
        <f t="shared" si="88"/>
        <v>1.0500000000000001E-2</v>
      </c>
      <c r="O19" s="2005">
        <f t="shared" si="88"/>
        <v>1.0800000000000001E-2</v>
      </c>
      <c r="P19" s="2005">
        <f t="shared" si="108"/>
        <v>1E-4</v>
      </c>
      <c r="Q19" s="2879"/>
      <c r="R19" s="2004">
        <f>ROUND(IF(项目基本情况!$B$8="出让",SUMPRODUCT(PRODUCT(1+K19:$K$24)),SUMPRODUCT(PRODUCT(1+K19:$K$23))),4)</f>
        <v>1.0430999999999999</v>
      </c>
      <c r="S19" s="2004">
        <f>ROUND(IF(项目基本情况!$B$8="出让",SUMPRODUCT(PRODUCT(1+L19:$L$24)),SUMPRODUCT(PRODUCT(1+L19:$L$23))),4)</f>
        <v>1.0197000000000001</v>
      </c>
      <c r="T19" s="2004">
        <f>ROUND(IF(项目基本情况!$B$8="出让",SUMPRODUCT(PRODUCT(1+M19:$M$24)),SUMPRODUCT(PRODUCT(1+M19:$M$23))),4)</f>
        <v>1.0109999999999999</v>
      </c>
      <c r="U19" s="2004">
        <f>ROUND(IF(项目基本情况!$B$8="出让",SUMPRODUCT(PRODUCT(1+N19:$N$24)),SUMPRODUCT(PRODUCT(1+N19:$N$23))),4)</f>
        <v>1.0468999999999999</v>
      </c>
      <c r="V19" s="2004">
        <f>ROUND(IF(项目基本情况!$B$8="出让",SUMPRODUCT(PRODUCT(1+O19:$O$24)),SUMPRODUCT(PRODUCT(1+O19:$O$23))),4)</f>
        <v>1.0382</v>
      </c>
      <c r="W19" s="2004">
        <f t="shared" si="107"/>
        <v>1.0109999999999999</v>
      </c>
      <c r="X19" s="2879"/>
      <c r="Y19" s="2005">
        <f>IF(D19=0,0,ROUND(AVERAGE(D19:D24)/100,4))</f>
        <v>8.6999999999999994E-3</v>
      </c>
      <c r="Z19" s="2005">
        <f t="shared" ref="Z19:AC19" si="111">IF(E19=0,0,ROUND(AVERAGE(E19:E24)/100,4))</f>
        <v>3.5000000000000001E-3</v>
      </c>
      <c r="AA19" s="2005">
        <f t="shared" si="111"/>
        <v>1.4E-3</v>
      </c>
      <c r="AB19" s="2005">
        <f t="shared" si="111"/>
        <v>9.4999999999999998E-3</v>
      </c>
      <c r="AC19" s="2005">
        <f t="shared" si="111"/>
        <v>6.8999999999999999E-3</v>
      </c>
      <c r="AD19" s="2005">
        <f t="shared" si="90"/>
        <v>1.4E-3</v>
      </c>
      <c r="AF19" s="3124">
        <f t="shared" si="30"/>
        <v>104.30999999999999</v>
      </c>
      <c r="AG19" s="3124">
        <f t="shared" si="31"/>
        <v>101.97</v>
      </c>
      <c r="AH19" s="3124">
        <f t="shared" si="32"/>
        <v>101.1</v>
      </c>
      <c r="AI19" s="3124">
        <f t="shared" si="33"/>
        <v>104.69</v>
      </c>
      <c r="AJ19" s="3124">
        <f t="shared" si="34"/>
        <v>103.82000000000001</v>
      </c>
      <c r="AK19" s="3124">
        <f t="shared" si="35"/>
        <v>101.1</v>
      </c>
      <c r="AM19" s="3124">
        <f t="shared" si="48"/>
        <v>99.063837638681278</v>
      </c>
      <c r="AN19" s="3124">
        <f t="shared" si="49"/>
        <v>99.465910704743649</v>
      </c>
      <c r="AO19" s="3124">
        <f t="shared" si="50"/>
        <v>103.92470345133803</v>
      </c>
      <c r="AP19" s="3124">
        <f t="shared" si="51"/>
        <v>98.331594415309254</v>
      </c>
      <c r="AQ19" s="3124">
        <f t="shared" si="52"/>
        <v>95.288124115258071</v>
      </c>
      <c r="AR19" s="3124">
        <f t="shared" si="53"/>
        <v>103.92470345133803</v>
      </c>
    </row>
    <row r="20" spans="1:44" s="2022" customFormat="1" ht="12.75">
      <c r="A20" s="2878" t="s">
        <v>2804</v>
      </c>
      <c r="B20" s="2008">
        <v>2022</v>
      </c>
      <c r="C20" s="2019">
        <v>1</v>
      </c>
      <c r="D20" s="1984">
        <v>0.89</v>
      </c>
      <c r="E20" s="1984">
        <v>0.44</v>
      </c>
      <c r="F20" s="1984">
        <v>0.37</v>
      </c>
      <c r="G20" s="1984">
        <v>0.96</v>
      </c>
      <c r="H20" s="2890">
        <v>0.64</v>
      </c>
      <c r="I20" s="1985">
        <f t="shared" si="87"/>
        <v>0.37</v>
      </c>
      <c r="J20" s="2879"/>
      <c r="K20" s="2020">
        <f t="shared" si="88"/>
        <v>8.8999999999999999E-3</v>
      </c>
      <c r="L20" s="2005">
        <f t="shared" si="88"/>
        <v>4.4000000000000003E-3</v>
      </c>
      <c r="M20" s="2005">
        <f t="shared" si="88"/>
        <v>3.7000000000000002E-3</v>
      </c>
      <c r="N20" s="2005">
        <f t="shared" si="88"/>
        <v>9.5999999999999992E-3</v>
      </c>
      <c r="O20" s="2005">
        <f t="shared" si="88"/>
        <v>6.4000000000000003E-3</v>
      </c>
      <c r="P20" s="2005">
        <f t="shared" si="108"/>
        <v>3.7000000000000002E-3</v>
      </c>
      <c r="Q20" s="2879"/>
      <c r="R20" s="2004">
        <f>ROUND(IF(项目基本情况!$B$8="出让",SUMPRODUCT(PRODUCT(1+K20:$K$24)),SUMPRODUCT(PRODUCT(1+K20:$K$23))),4)</f>
        <v>1.0335000000000001</v>
      </c>
      <c r="S20" s="2004">
        <f>ROUND(IF(项目基本情况!$B$8="出让",SUMPRODUCT(PRODUCT(1+L20:$L$24)),SUMPRODUCT(PRODUCT(1+L20:$L$23))),4)</f>
        <v>1.0182</v>
      </c>
      <c r="T20" s="2004">
        <f>ROUND(IF(项目基本情况!$B$8="出让",SUMPRODUCT(PRODUCT(1+M20:$M$24)),SUMPRODUCT(PRODUCT(1+M20:$M$23))),4)</f>
        <v>1.0108999999999999</v>
      </c>
      <c r="U20" s="2004">
        <f>ROUND(IF(项目基本情况!$B$8="出让",SUMPRODUCT(PRODUCT(1+N20:$N$24)),SUMPRODUCT(PRODUCT(1+N20:$N$23))),4)</f>
        <v>1.0361</v>
      </c>
      <c r="V20" s="2004">
        <f>ROUND(IF(项目基本情况!$B$8="出让",SUMPRODUCT(PRODUCT(1+O20:$O$24)),SUMPRODUCT(PRODUCT(1+O20:$O$23))),4)</f>
        <v>1.0270999999999999</v>
      </c>
      <c r="W20" s="2004">
        <f t="shared" si="107"/>
        <v>1.0108999999999999</v>
      </c>
      <c r="X20" s="2879"/>
      <c r="Y20" s="2005">
        <f>IF(D20=0,0,ROUND(AVERAGE(D20:D24)/100,4))</f>
        <v>8.6E-3</v>
      </c>
      <c r="Z20" s="2005">
        <f t="shared" ref="Z20:AC20" si="112">IF(E20=0,0,ROUND(AVERAGE(E20:E24)/100,4))</f>
        <v>3.8999999999999998E-3</v>
      </c>
      <c r="AA20" s="2005">
        <f t="shared" si="112"/>
        <v>1.6999999999999999E-3</v>
      </c>
      <c r="AB20" s="2005">
        <f t="shared" si="112"/>
        <v>9.2999999999999992E-3</v>
      </c>
      <c r="AC20" s="2005">
        <f t="shared" si="112"/>
        <v>6.1000000000000004E-3</v>
      </c>
      <c r="AD20" s="2005">
        <f t="shared" si="90"/>
        <v>1.6999999999999999E-3</v>
      </c>
      <c r="AF20" s="3124">
        <f t="shared" si="30"/>
        <v>103.35000000000001</v>
      </c>
      <c r="AG20" s="3124">
        <f t="shared" si="31"/>
        <v>101.82</v>
      </c>
      <c r="AH20" s="3124">
        <f t="shared" si="32"/>
        <v>101.08999999999999</v>
      </c>
      <c r="AI20" s="3124">
        <f t="shared" si="33"/>
        <v>103.61</v>
      </c>
      <c r="AJ20" s="3124">
        <f t="shared" si="34"/>
        <v>102.71</v>
      </c>
      <c r="AK20" s="3124">
        <f t="shared" si="35"/>
        <v>101.08999999999999</v>
      </c>
      <c r="AM20" s="3124">
        <f t="shared" si="48"/>
        <v>98.151033031488424</v>
      </c>
      <c r="AN20" s="3124">
        <f t="shared" si="49"/>
        <v>99.316935301790963</v>
      </c>
      <c r="AO20" s="3124">
        <f t="shared" si="50"/>
        <v>103.91431202013602</v>
      </c>
      <c r="AP20" s="3124">
        <f t="shared" si="51"/>
        <v>97.309841083928021</v>
      </c>
      <c r="AQ20" s="3124">
        <f t="shared" si="52"/>
        <v>94.270008028549739</v>
      </c>
      <c r="AR20" s="3124">
        <f t="shared" si="53"/>
        <v>103.91431202013602</v>
      </c>
    </row>
    <row r="21" spans="1:44" s="2022" customFormat="1" ht="12.75">
      <c r="A21" s="2878" t="s">
        <v>2805</v>
      </c>
      <c r="B21" s="2008">
        <v>2021</v>
      </c>
      <c r="C21" s="2019">
        <v>4</v>
      </c>
      <c r="D21" s="1984">
        <v>1.03</v>
      </c>
      <c r="E21" s="1984">
        <v>0.24</v>
      </c>
      <c r="F21" s="1984">
        <v>7.0000000000000007E-2</v>
      </c>
      <c r="G21" s="1984">
        <v>1.17</v>
      </c>
      <c r="H21" s="2890">
        <v>0.55000000000000004</v>
      </c>
      <c r="I21" s="1985">
        <f t="shared" si="87"/>
        <v>7.0000000000000007E-2</v>
      </c>
      <c r="J21" s="2879"/>
      <c r="K21" s="2020">
        <f t="shared" si="88"/>
        <v>1.03E-2</v>
      </c>
      <c r="L21" s="2005">
        <f t="shared" si="88"/>
        <v>2.3999999999999998E-3</v>
      </c>
      <c r="M21" s="2005">
        <f t="shared" si="88"/>
        <v>7.000000000000001E-4</v>
      </c>
      <c r="N21" s="2005">
        <f t="shared" si="88"/>
        <v>1.1699999999999999E-2</v>
      </c>
      <c r="O21" s="2005">
        <f t="shared" si="88"/>
        <v>5.5000000000000005E-3</v>
      </c>
      <c r="P21" s="2005">
        <f t="shared" si="108"/>
        <v>7.000000000000001E-4</v>
      </c>
      <c r="Q21" s="2879"/>
      <c r="R21" s="2004">
        <f>ROUND(IF(项目基本情况!$B$8="出让",SUMPRODUCT(PRODUCT(1+K21:$K$24)),SUMPRODUCT(PRODUCT(1+K21:$K$23))),4)</f>
        <v>1.0244</v>
      </c>
      <c r="S21" s="2004">
        <f>ROUND(IF(项目基本情况!$B$8="出让",SUMPRODUCT(PRODUCT(1+L21:$L$24)),SUMPRODUCT(PRODUCT(1+L21:$L$23))),4)</f>
        <v>1.0138</v>
      </c>
      <c r="T21" s="2004">
        <f>ROUND(IF(项目基本情况!$B$8="出让",SUMPRODUCT(PRODUCT(1+M21:$M$24)),SUMPRODUCT(PRODUCT(1+M21:$M$23))),4)</f>
        <v>1.0072000000000001</v>
      </c>
      <c r="U21" s="2004">
        <f>ROUND(IF(项目基本情况!$B$8="出让",SUMPRODUCT(PRODUCT(1+N21:$N$24)),SUMPRODUCT(PRODUCT(1+N21:$N$23))),4)</f>
        <v>1.0262</v>
      </c>
      <c r="V21" s="2004">
        <f>ROUND(IF(项目基本情况!$B$8="出让",SUMPRODUCT(PRODUCT(1+O21:$O$24)),SUMPRODUCT(PRODUCT(1+O21:$O$23))),4)</f>
        <v>1.0205</v>
      </c>
      <c r="W21" s="2004">
        <f t="shared" si="107"/>
        <v>1.0072000000000001</v>
      </c>
      <c r="X21" s="2879"/>
      <c r="Y21" s="2005">
        <f>IF(D21=0,0,ROUND(AVERAGE(D21:D24)/100,4))</f>
        <v>8.5000000000000006E-3</v>
      </c>
      <c r="Z21" s="2005">
        <f t="shared" ref="Z21:AC21" si="113">IF(E21=0,0,ROUND(AVERAGE(E21:E24)/100,4))</f>
        <v>3.8E-3</v>
      </c>
      <c r="AA21" s="2005">
        <f t="shared" si="113"/>
        <v>1.1999999999999999E-3</v>
      </c>
      <c r="AB21" s="2005">
        <f t="shared" si="113"/>
        <v>9.2999999999999992E-3</v>
      </c>
      <c r="AC21" s="2005">
        <f t="shared" si="113"/>
        <v>6.0000000000000001E-3</v>
      </c>
      <c r="AD21" s="2005">
        <f t="shared" si="90"/>
        <v>1.1999999999999999E-3</v>
      </c>
      <c r="AF21" s="3124">
        <f t="shared" si="30"/>
        <v>102.44</v>
      </c>
      <c r="AG21" s="3124">
        <f t="shared" si="31"/>
        <v>101.38000000000001</v>
      </c>
      <c r="AH21" s="3124">
        <f t="shared" si="32"/>
        <v>100.72000000000001</v>
      </c>
      <c r="AI21" s="3124">
        <f t="shared" si="33"/>
        <v>102.62</v>
      </c>
      <c r="AJ21" s="3124">
        <f t="shared" si="34"/>
        <v>102.05</v>
      </c>
      <c r="AK21" s="3124">
        <f t="shared" si="35"/>
        <v>100.72000000000001</v>
      </c>
      <c r="AM21" s="3124">
        <f t="shared" si="48"/>
        <v>97.285194797788122</v>
      </c>
      <c r="AN21" s="3124">
        <f t="shared" si="49"/>
        <v>98.881855139178583</v>
      </c>
      <c r="AO21" s="3124">
        <f t="shared" si="50"/>
        <v>103.53124640842485</v>
      </c>
      <c r="AP21" s="3124">
        <f t="shared" si="51"/>
        <v>96.384549409595891</v>
      </c>
      <c r="AQ21" s="3124">
        <f t="shared" si="52"/>
        <v>93.670516721531939</v>
      </c>
      <c r="AR21" s="3124">
        <f t="shared" si="53"/>
        <v>103.53124640842485</v>
      </c>
    </row>
    <row r="22" spans="1:44" s="2022" customFormat="1" ht="12.75">
      <c r="A22" s="2878" t="s">
        <v>2806</v>
      </c>
      <c r="B22" s="2008">
        <v>2021</v>
      </c>
      <c r="C22" s="2019">
        <v>3</v>
      </c>
      <c r="D22" s="1984">
        <v>0.47</v>
      </c>
      <c r="E22" s="1984">
        <v>0.41</v>
      </c>
      <c r="F22" s="1984">
        <v>0.24</v>
      </c>
      <c r="G22" s="1984">
        <v>0.48</v>
      </c>
      <c r="H22" s="2890">
        <v>0.48</v>
      </c>
      <c r="I22" s="1985">
        <f t="shared" si="87"/>
        <v>0.24</v>
      </c>
      <c r="J22" s="2879"/>
      <c r="K22" s="2020">
        <f t="shared" si="88"/>
        <v>4.6999999999999993E-3</v>
      </c>
      <c r="L22" s="2005">
        <f t="shared" si="88"/>
        <v>4.0999999999999995E-3</v>
      </c>
      <c r="M22" s="2005">
        <f t="shared" si="88"/>
        <v>2.3999999999999998E-3</v>
      </c>
      <c r="N22" s="2005">
        <f t="shared" si="88"/>
        <v>4.7999999999999996E-3</v>
      </c>
      <c r="O22" s="2005">
        <f t="shared" si="88"/>
        <v>4.7999999999999996E-3</v>
      </c>
      <c r="P22" s="2005">
        <f t="shared" si="108"/>
        <v>2.3999999999999998E-3</v>
      </c>
      <c r="Q22" s="2879"/>
      <c r="R22" s="2004">
        <f>ROUND(IF(项目基本情况!$B$8="出让",SUMPRODUCT(PRODUCT(1+K22:$K$24)),SUMPRODUCT(PRODUCT(1+K22:$K$23))),4)</f>
        <v>1.0139</v>
      </c>
      <c r="S22" s="2004">
        <f>ROUND(IF(项目基本情况!$B$8="出让",SUMPRODUCT(PRODUCT(1+L22:$L$24)),SUMPRODUCT(PRODUCT(1+L22:$L$23))),4)</f>
        <v>1.0113000000000001</v>
      </c>
      <c r="T22" s="2004">
        <f>ROUND(IF(项目基本情况!$B$8="出让",SUMPRODUCT(PRODUCT(1+M22:$M$24)),SUMPRODUCT(PRODUCT(1+M22:$M$23))),4)</f>
        <v>1.0065</v>
      </c>
      <c r="U22" s="2004">
        <f>ROUND(IF(项目基本情况!$B$8="出让",SUMPRODUCT(PRODUCT(1+N22:$N$24)),SUMPRODUCT(PRODUCT(1+N22:$N$23))),4)</f>
        <v>1.0143</v>
      </c>
      <c r="V22" s="2004">
        <f>ROUND(IF(项目基本情况!$B$8="出让",SUMPRODUCT(PRODUCT(1+O22:$O$24)),SUMPRODUCT(PRODUCT(1+O22:$O$23))),4)</f>
        <v>1.0148999999999999</v>
      </c>
      <c r="W22" s="2004">
        <f t="shared" si="107"/>
        <v>1.0065</v>
      </c>
      <c r="X22" s="2879"/>
      <c r="Y22" s="2005">
        <f>IF(D22=0,0,ROUND(AVERAGE(D22:D24)/100,4))</f>
        <v>7.9000000000000008E-3</v>
      </c>
      <c r="Z22" s="2005">
        <f>IF(E22=0,0,ROUND(AVERAGE(E22:E24)/100,4))</f>
        <v>4.3E-3</v>
      </c>
      <c r="AA22" s="2005">
        <f>IF(F22=0,0,ROUND(AVERAGE(F22:F24)/100,4))</f>
        <v>1.2999999999999999E-3</v>
      </c>
      <c r="AB22" s="2005">
        <f>IF(G22=0,0,ROUND(AVERAGE(G22:G24)/100,4))</f>
        <v>8.5000000000000006E-3</v>
      </c>
      <c r="AC22" s="2005">
        <f>IF(H22=0,0,ROUND(AVERAGE(H22:H24)/100,4))</f>
        <v>6.1999999999999998E-3</v>
      </c>
      <c r="AD22" s="2005">
        <f t="shared" si="90"/>
        <v>1.2999999999999999E-3</v>
      </c>
      <c r="AF22" s="3124">
        <f t="shared" si="30"/>
        <v>101.39</v>
      </c>
      <c r="AG22" s="3124">
        <f t="shared" si="31"/>
        <v>101.13000000000001</v>
      </c>
      <c r="AH22" s="3124">
        <f t="shared" si="32"/>
        <v>100.64999999999999</v>
      </c>
      <c r="AI22" s="3124">
        <f t="shared" si="33"/>
        <v>101.42999999999999</v>
      </c>
      <c r="AJ22" s="3124">
        <f t="shared" si="34"/>
        <v>101.49</v>
      </c>
      <c r="AK22" s="3124">
        <f t="shared" si="35"/>
        <v>100.64999999999999</v>
      </c>
      <c r="AM22" s="3124">
        <f t="shared" si="48"/>
        <v>96.293373055318341</v>
      </c>
      <c r="AN22" s="3124">
        <f t="shared" si="49"/>
        <v>98.645106882660201</v>
      </c>
      <c r="AO22" s="3124">
        <f t="shared" si="50"/>
        <v>103.45882523076332</v>
      </c>
      <c r="AP22" s="3124">
        <f t="shared" si="51"/>
        <v>95.269891676975277</v>
      </c>
      <c r="AQ22" s="3124">
        <f t="shared" si="52"/>
        <v>93.158146913507636</v>
      </c>
      <c r="AR22" s="3124">
        <f t="shared" si="53"/>
        <v>103.45882523076332</v>
      </c>
    </row>
    <row r="23" spans="1:44" s="2022" customFormat="1" ht="12.75">
      <c r="A23" s="2878" t="s">
        <v>2807</v>
      </c>
      <c r="B23" s="2008">
        <v>2021</v>
      </c>
      <c r="C23" s="2019">
        <v>2</v>
      </c>
      <c r="D23" s="1984">
        <v>0.92</v>
      </c>
      <c r="E23" s="1984">
        <v>0.72</v>
      </c>
      <c r="F23" s="1984">
        <v>0.41</v>
      </c>
      <c r="G23" s="1984">
        <v>0.95</v>
      </c>
      <c r="H23" s="2890">
        <v>1.01</v>
      </c>
      <c r="I23" s="1985">
        <f t="shared" si="87"/>
        <v>0.41</v>
      </c>
      <c r="J23" s="2879"/>
      <c r="K23" s="2020">
        <f t="shared" si="88"/>
        <v>9.1999999999999998E-3</v>
      </c>
      <c r="L23" s="2005">
        <f t="shared" si="88"/>
        <v>7.1999999999999998E-3</v>
      </c>
      <c r="M23" s="2005">
        <f t="shared" si="88"/>
        <v>4.0999999999999995E-3</v>
      </c>
      <c r="N23" s="2005">
        <f t="shared" si="88"/>
        <v>9.4999999999999998E-3</v>
      </c>
      <c r="O23" s="2005">
        <f t="shared" si="88"/>
        <v>1.01E-2</v>
      </c>
      <c r="P23" s="2005">
        <f t="shared" si="108"/>
        <v>4.0999999999999995E-3</v>
      </c>
      <c r="Q23" s="2879"/>
      <c r="R23" s="2004">
        <f>ROUND(IF(项目基本情况!$B$8="出让",SUMPRODUCT(PRODUCT(1+K23:$K$24)),SUMPRODUCT(PRODUCT(1+K23:$K$23))),4)</f>
        <v>1.0092000000000001</v>
      </c>
      <c r="S23" s="2004">
        <f>ROUND(IF(项目基本情况!$B$8="出让",SUMPRODUCT(PRODUCT(1+L23:$L$24)),SUMPRODUCT(PRODUCT(1+L23:$L$23))),4)</f>
        <v>1.0072000000000001</v>
      </c>
      <c r="T23" s="2004">
        <f>ROUND(IF(项目基本情况!$B$8="出让",SUMPRODUCT(PRODUCT(1+M23:$M$24)),SUMPRODUCT(PRODUCT(1+M23:$M$23))),4)</f>
        <v>1.0041</v>
      </c>
      <c r="U23" s="2004">
        <f>ROUND(IF(项目基本情况!$B$8="出让",SUMPRODUCT(PRODUCT(1+N23:$N$24)),SUMPRODUCT(PRODUCT(1+N23:$N$23))),4)</f>
        <v>1.0095000000000001</v>
      </c>
      <c r="V23" s="2004">
        <f>ROUND(IF(项目基本情况!$B$8="出让",SUMPRODUCT(PRODUCT(1+O23:$O$24)),SUMPRODUCT(PRODUCT(1+O23:$O$23))),4)</f>
        <v>1.0101</v>
      </c>
      <c r="W23" s="2004">
        <f t="shared" si="107"/>
        <v>1.0041</v>
      </c>
      <c r="X23" s="2879"/>
      <c r="Y23" s="2005">
        <f>IF(D23=0,0,ROUND(AVERAGE(D23:D24)/100,4))</f>
        <v>9.4999999999999998E-3</v>
      </c>
      <c r="Z23" s="2005">
        <f>IF(E23=0,0,ROUND(AVERAGE(E23:E24)/100,4))</f>
        <v>4.4000000000000003E-3</v>
      </c>
      <c r="AA23" s="2005">
        <f>IF(F23=0,0,ROUND(AVERAGE(F23:F24)/100,4))</f>
        <v>8.0000000000000004E-4</v>
      </c>
      <c r="AB23" s="2005">
        <f>IF(G23=0,0,ROUND(AVERAGE(G23:G24)/100,4))</f>
        <v>1.03E-2</v>
      </c>
      <c r="AC23" s="2005">
        <f>IF(H23=0,0,ROUND(AVERAGE(H23:H24)/100,4))</f>
        <v>6.8999999999999999E-3</v>
      </c>
      <c r="AD23" s="2005">
        <f t="shared" si="90"/>
        <v>8.0000000000000004E-4</v>
      </c>
      <c r="AF23" s="3124">
        <f t="shared" si="30"/>
        <v>100.92000000000002</v>
      </c>
      <c r="AG23" s="3124">
        <f t="shared" si="31"/>
        <v>100.72000000000001</v>
      </c>
      <c r="AH23" s="3124">
        <f t="shared" si="32"/>
        <v>100.41</v>
      </c>
      <c r="AI23" s="3124">
        <f t="shared" si="33"/>
        <v>100.95</v>
      </c>
      <c r="AJ23" s="3124">
        <f t="shared" si="34"/>
        <v>101.01</v>
      </c>
      <c r="AK23" s="3124">
        <f t="shared" si="35"/>
        <v>100.41</v>
      </c>
      <c r="AM23" s="3124">
        <f t="shared" si="48"/>
        <v>95.842911371870557</v>
      </c>
      <c r="AN23" s="3124">
        <f t="shared" si="49"/>
        <v>98.242313397729504</v>
      </c>
      <c r="AO23" s="3124">
        <f t="shared" si="50"/>
        <v>103.21111854625232</v>
      </c>
      <c r="AP23" s="3124">
        <f t="shared" si="51"/>
        <v>94.81478072947381</v>
      </c>
      <c r="AQ23" s="3124">
        <f t="shared" si="52"/>
        <v>92.713123918697889</v>
      </c>
      <c r="AR23" s="3124">
        <f t="shared" si="53"/>
        <v>103.21111854625232</v>
      </c>
    </row>
    <row r="24" spans="1:44" s="2901" customFormat="1" ht="14.25" thickBot="1">
      <c r="A24" s="2891" t="s">
        <v>2808</v>
      </c>
      <c r="B24" s="2892">
        <v>2021</v>
      </c>
      <c r="C24" s="2893">
        <v>1</v>
      </c>
      <c r="D24" s="2894">
        <v>0.97</v>
      </c>
      <c r="E24" s="2894">
        <v>0.16</v>
      </c>
      <c r="F24" s="2894">
        <v>-0.25</v>
      </c>
      <c r="G24" s="2894">
        <v>1.1100000000000001</v>
      </c>
      <c r="H24" s="2895">
        <v>0.36</v>
      </c>
      <c r="I24" s="2896">
        <f t="shared" si="87"/>
        <v>-0.25</v>
      </c>
      <c r="J24" s="2897"/>
      <c r="K24" s="2898">
        <f t="shared" si="88"/>
        <v>9.7000000000000003E-3</v>
      </c>
      <c r="L24" s="2899">
        <f t="shared" si="88"/>
        <v>1.6000000000000001E-3</v>
      </c>
      <c r="M24" s="2899">
        <f>F24/100</f>
        <v>-2.5000000000000001E-3</v>
      </c>
      <c r="N24" s="2899">
        <f t="shared" si="88"/>
        <v>1.11E-2</v>
      </c>
      <c r="O24" s="2899">
        <f t="shared" si="88"/>
        <v>3.5999999999999999E-3</v>
      </c>
      <c r="P24" s="2899">
        <f t="shared" si="108"/>
        <v>-2.5000000000000001E-3</v>
      </c>
      <c r="Q24" s="2897"/>
      <c r="R24" s="2900">
        <v>1</v>
      </c>
      <c r="S24" s="2900">
        <v>1</v>
      </c>
      <c r="T24" s="2900">
        <v>1</v>
      </c>
      <c r="U24" s="2900">
        <v>1</v>
      </c>
      <c r="V24" s="2900">
        <v>1</v>
      </c>
      <c r="W24" s="2900">
        <f t="shared" ref="W24" si="114">T24</f>
        <v>1</v>
      </c>
      <c r="X24" s="2897"/>
      <c r="Y24" s="2899">
        <f>IF(D24=0,0,ROUND(AVERAGE(D24:D24)/100,4))</f>
        <v>9.7000000000000003E-3</v>
      </c>
      <c r="Z24" s="2899">
        <f>IF(E24=0,0,ROUND(AVERAGE(E24:E24)/100,4))</f>
        <v>1.6000000000000001E-3</v>
      </c>
      <c r="AA24" s="2899">
        <f>IF(F24=0,0,ROUND(AVERAGE(F24:F24)/100,4))</f>
        <v>-2.5000000000000001E-3</v>
      </c>
      <c r="AB24" s="2899">
        <f>IF(G24=0,0,ROUND(AVERAGE(G24:G24)/100,4))</f>
        <v>1.11E-2</v>
      </c>
      <c r="AC24" s="2899">
        <f>IF(H24=0,0,ROUND(AVERAGE(H24:H24)/100,4))</f>
        <v>3.5999999999999999E-3</v>
      </c>
      <c r="AD24" s="2899">
        <f>AA24</f>
        <v>-2.5000000000000001E-3</v>
      </c>
      <c r="AF24" s="3132">
        <v>100</v>
      </c>
      <c r="AG24" s="3132">
        <v>100</v>
      </c>
      <c r="AH24" s="3132">
        <v>100</v>
      </c>
      <c r="AI24" s="3132">
        <v>100</v>
      </c>
      <c r="AJ24" s="3132">
        <v>100</v>
      </c>
      <c r="AK24" s="3132">
        <v>100</v>
      </c>
      <c r="AM24" s="3131">
        <f t="shared" si="48"/>
        <v>94.969194779895503</v>
      </c>
      <c r="AN24" s="3131">
        <f t="shared" si="49"/>
        <v>97.540025216173049</v>
      </c>
      <c r="AO24" s="3131">
        <f t="shared" si="50"/>
        <v>102.78968085474786</v>
      </c>
      <c r="AP24" s="3131">
        <f t="shared" si="51"/>
        <v>93.922516819686777</v>
      </c>
      <c r="AQ24" s="3131">
        <f t="shared" si="52"/>
        <v>91.78608446559538</v>
      </c>
      <c r="AR24" s="3131">
        <f t="shared" si="53"/>
        <v>102.78968085474786</v>
      </c>
    </row>
    <row r="25" spans="1:44" ht="14.25" thickTop="1"/>
    <row r="26" spans="1:44">
      <c r="A26" s="3114" t="s">
        <v>3363</v>
      </c>
    </row>
    <row r="27" spans="1:44">
      <c r="I27" s="1383" t="s">
        <v>2809</v>
      </c>
    </row>
    <row r="29" spans="1:44" s="1986" customFormat="1" ht="12.75">
      <c r="B29" s="2902" t="s">
        <v>3361</v>
      </c>
      <c r="C29" s="2903"/>
      <c r="D29" s="2903"/>
      <c r="E29" s="2903"/>
      <c r="F29" s="2903"/>
      <c r="G29" s="2903"/>
      <c r="H29" s="2903"/>
      <c r="I29" s="2903"/>
      <c r="J29" s="2869"/>
      <c r="K29" s="2903" t="s">
        <v>2810</v>
      </c>
      <c r="L29" s="2903"/>
      <c r="M29" s="2903"/>
      <c r="N29" s="2903"/>
      <c r="O29" s="2903"/>
      <c r="P29" s="2903"/>
      <c r="Q29" s="2869"/>
      <c r="R29" s="3601" t="s">
        <v>2811</v>
      </c>
      <c r="S29" s="3602"/>
      <c r="T29" s="3602"/>
      <c r="U29" s="3602"/>
      <c r="V29" s="3602"/>
      <c r="W29" s="3602"/>
      <c r="X29" s="2869"/>
      <c r="Y29" s="3601" t="s">
        <v>2812</v>
      </c>
      <c r="Z29" s="3602"/>
      <c r="AA29" s="3602"/>
      <c r="AB29" s="3602"/>
      <c r="AC29" s="3602"/>
      <c r="AD29" s="3602"/>
    </row>
    <row r="30" spans="1:44" s="1987" customFormat="1" ht="14.25" thickBot="1">
      <c r="B30" s="2854"/>
      <c r="C30" s="2855"/>
      <c r="D30" s="1988" t="s">
        <v>2813</v>
      </c>
      <c r="E30" s="1989" t="s">
        <v>2814</v>
      </c>
      <c r="F30" s="1989" t="s">
        <v>2815</v>
      </c>
      <c r="G30" s="1989" t="s">
        <v>2816</v>
      </c>
      <c r="H30" s="1989"/>
      <c r="I30" s="1989" t="s">
        <v>2817</v>
      </c>
      <c r="J30" s="2856"/>
      <c r="K30" s="1988" t="s">
        <v>2813</v>
      </c>
      <c r="L30" s="1989" t="s">
        <v>2814</v>
      </c>
      <c r="M30" s="1989" t="s">
        <v>2815</v>
      </c>
      <c r="N30" s="1989" t="s">
        <v>2816</v>
      </c>
      <c r="O30" s="1989"/>
      <c r="P30" s="1989" t="s">
        <v>2817</v>
      </c>
      <c r="Q30" s="2856"/>
      <c r="R30" s="1988" t="s">
        <v>2813</v>
      </c>
      <c r="S30" s="1989" t="s">
        <v>2814</v>
      </c>
      <c r="T30" s="1989" t="s">
        <v>2815</v>
      </c>
      <c r="U30" s="1989" t="s">
        <v>2816</v>
      </c>
      <c r="V30" s="1989"/>
      <c r="W30" s="1989" t="s">
        <v>2817</v>
      </c>
      <c r="X30" s="2856"/>
      <c r="Y30" s="1988" t="s">
        <v>2813</v>
      </c>
      <c r="Z30" s="1989" t="s">
        <v>2814</v>
      </c>
      <c r="AA30" s="1989" t="s">
        <v>2815</v>
      </c>
      <c r="AB30" s="1989" t="s">
        <v>2816</v>
      </c>
      <c r="AC30" s="1989"/>
      <c r="AD30" s="1989" t="s">
        <v>2817</v>
      </c>
      <c r="AG30" t="s">
        <v>670</v>
      </c>
      <c r="AH30" t="s">
        <v>21</v>
      </c>
      <c r="AI30" t="s">
        <v>3381</v>
      </c>
      <c r="AJ30"/>
      <c r="AK30" t="s">
        <v>3382</v>
      </c>
      <c r="AN30" t="s">
        <v>670</v>
      </c>
      <c r="AO30" t="s">
        <v>21</v>
      </c>
      <c r="AP30" t="s">
        <v>3381</v>
      </c>
      <c r="AQ30"/>
      <c r="AR30" t="s">
        <v>3382</v>
      </c>
    </row>
    <row r="31" spans="1:44" s="2859" customFormat="1" ht="12.75">
      <c r="A31" s="2857" t="s">
        <v>2818</v>
      </c>
      <c r="B31" s="2858"/>
      <c r="E31" s="2859">
        <f t="shared" ref="E31:G31" si="115">ROUND(AVERAGEIF(E32:E52,"&lt;&gt;0"),2)</f>
        <v>0.04</v>
      </c>
      <c r="F31" s="2859">
        <f t="shared" si="115"/>
        <v>-7.0000000000000007E-2</v>
      </c>
      <c r="G31" s="2859">
        <f t="shared" si="115"/>
        <v>0.2</v>
      </c>
      <c r="I31" s="2859">
        <f>F31</f>
        <v>-7.0000000000000007E-2</v>
      </c>
      <c r="J31" s="2860"/>
      <c r="K31" s="2861"/>
      <c r="L31" s="2862">
        <f t="shared" ref="L31:N31" si="116">ROUND(AVERAGEIF(L32:L52,"&lt;&gt;0"),4)</f>
        <v>4.0000000000000002E-4</v>
      </c>
      <c r="M31" s="2862">
        <f t="shared" si="116"/>
        <v>-6.9999999999999999E-4</v>
      </c>
      <c r="N31" s="2862">
        <f t="shared" si="116"/>
        <v>2E-3</v>
      </c>
      <c r="O31" s="2862"/>
      <c r="P31" s="2862">
        <f>M31</f>
        <v>-6.9999999999999999E-4</v>
      </c>
      <c r="Q31" s="2860"/>
      <c r="R31" s="2863"/>
      <c r="S31" s="2864">
        <f>ROUND(SUMPRODUCT(PRODUCT(1+L32:L52)),4)</f>
        <v>1.0072000000000001</v>
      </c>
      <c r="T31" s="2864">
        <f t="shared" ref="T31:U31" si="117">ROUND(SUMPRODUCT(PRODUCT(1+M32:M52)),4)</f>
        <v>0.98699999999999999</v>
      </c>
      <c r="U31" s="2864">
        <f t="shared" si="117"/>
        <v>1.0375000000000001</v>
      </c>
      <c r="V31" s="2864"/>
      <c r="W31" s="2863">
        <f>T31</f>
        <v>0.98699999999999999</v>
      </c>
      <c r="X31" s="2860"/>
      <c r="Y31" s="2865"/>
      <c r="Z31" s="2866">
        <f t="shared" ref="Z31:AB31" si="118">ROUND(AVERAGEIF(Z32:Z52,"&lt;&gt;0"),4)</f>
        <v>2.8999999999999998E-3</v>
      </c>
      <c r="AA31" s="2867">
        <f t="shared" si="118"/>
        <v>2.3E-3</v>
      </c>
      <c r="AB31" s="2865">
        <f t="shared" si="118"/>
        <v>6.0000000000000001E-3</v>
      </c>
      <c r="AC31" s="2868"/>
      <c r="AD31" s="2865">
        <f>AA31</f>
        <v>2.3E-3</v>
      </c>
    </row>
    <row r="32" spans="1:44" s="1986" customFormat="1" ht="12.75">
      <c r="B32" s="2002"/>
      <c r="J32" s="2869"/>
      <c r="K32" s="2870"/>
      <c r="L32" s="2871"/>
      <c r="M32" s="2871"/>
      <c r="N32" s="2871"/>
      <c r="O32" s="2871"/>
      <c r="P32" s="2871"/>
      <c r="Q32" s="2869"/>
      <c r="R32" s="2004"/>
      <c r="S32" s="2872"/>
      <c r="T32" s="2873"/>
      <c r="U32" s="2004"/>
      <c r="V32" s="2874"/>
      <c r="W32" s="2004"/>
      <c r="X32" s="2869"/>
      <c r="Y32" s="2005"/>
      <c r="Z32" s="2875"/>
      <c r="AA32" s="2876"/>
      <c r="AB32" s="2005"/>
      <c r="AC32" s="2877"/>
      <c r="AD32" s="2005"/>
    </row>
    <row r="33" spans="1:44" s="2022" customFormat="1">
      <c r="A33" s="2017" t="s">
        <v>3379</v>
      </c>
      <c r="B33" s="2008">
        <v>2025</v>
      </c>
      <c r="C33" s="2019">
        <v>4</v>
      </c>
      <c r="D33" s="1984"/>
      <c r="E33" s="1984">
        <v>0</v>
      </c>
      <c r="F33" s="1984">
        <v>0</v>
      </c>
      <c r="G33" s="1984">
        <v>0</v>
      </c>
      <c r="H33" s="1984"/>
      <c r="I33" s="1985">
        <f t="shared" ref="I33" si="119">F33</f>
        <v>0</v>
      </c>
      <c r="J33" s="2879"/>
      <c r="K33" s="2020"/>
      <c r="L33" s="2005">
        <f t="shared" ref="L33" si="120">E33/100</f>
        <v>0</v>
      </c>
      <c r="M33" s="2005">
        <f t="shared" ref="M33" si="121">F33/100</f>
        <v>0</v>
      </c>
      <c r="N33" s="2005">
        <f t="shared" ref="N33" si="122">G33/100</f>
        <v>0</v>
      </c>
      <c r="O33" s="2005"/>
      <c r="P33" s="2005">
        <f t="shared" ref="P33:P39" si="123">M33</f>
        <v>0</v>
      </c>
      <c r="Q33" s="2879"/>
      <c r="R33" s="2004"/>
      <c r="S33" s="2004">
        <f>ROUND(IF(项目基本情况!$B$8="出让",SUMPRODUCT(PRODUCT(1+L33:L$52)),SUMPRODUCT(PRODUCT(1+L33:L$51))),4)</f>
        <v>1.0037</v>
      </c>
      <c r="T33" s="2004">
        <f>ROUND(IF(项目基本情况!$B$8="出让",SUMPRODUCT(PRODUCT(1+M33:M$52)),SUMPRODUCT(PRODUCT(1+M33:M$51))),4)</f>
        <v>0.98229999999999995</v>
      </c>
      <c r="U33" s="2004">
        <f>ROUND(IF(项目基本情况!$B$8="出让",SUMPRODUCT(PRODUCT(1+N33:N$52)),SUMPRODUCT(PRODUCT(1+N33:N$51))),4)</f>
        <v>1.0274000000000001</v>
      </c>
      <c r="V33" s="2004"/>
      <c r="W33" s="2004">
        <f t="shared" ref="W33:W39" si="124">T33</f>
        <v>0.98229999999999995</v>
      </c>
      <c r="X33" s="2879"/>
      <c r="Y33" s="2005"/>
      <c r="Z33" s="2875">
        <f t="shared" ref="Z33" si="125">IF(E33=0,0,ROUND(AVERAGE(E33:E46)/100,4))</f>
        <v>0</v>
      </c>
      <c r="AA33" s="2875">
        <f t="shared" ref="AA33" si="126">IF(F33=0,0,ROUND(AVERAGE(F33:F46)/100,4))</f>
        <v>0</v>
      </c>
      <c r="AB33" s="2875">
        <f t="shared" ref="AB33" si="127">IF(G33=0,0,ROUND(AVERAGE(G33:G46)/100,4))</f>
        <v>0</v>
      </c>
      <c r="AC33" s="2877"/>
      <c r="AD33" s="2005">
        <f t="shared" ref="AD33:AD39" si="128">IF(I33=0,0,ROUND(AVERAGE(I33:I46)/100,4))</f>
        <v>0</v>
      </c>
      <c r="AG33" s="3124">
        <f t="shared" ref="AG33:AG50" si="129">$AG$52*S33</f>
        <v>100.37</v>
      </c>
      <c r="AH33" s="3124">
        <f t="shared" ref="AH33:AH50" si="130">$AG$52*T33</f>
        <v>98.22999999999999</v>
      </c>
      <c r="AI33" s="3124">
        <f t="shared" ref="AI33:AI50" si="131">$AG$52*U33</f>
        <v>102.74000000000001</v>
      </c>
      <c r="AJ33" s="3126"/>
      <c r="AK33" s="3124">
        <f t="shared" ref="AK33:AK50" si="132">$AG$52*W33</f>
        <v>98.22999999999999</v>
      </c>
      <c r="AN33" s="3129">
        <v>100</v>
      </c>
      <c r="AO33" s="3129">
        <v>100</v>
      </c>
      <c r="AP33" s="3129">
        <v>100</v>
      </c>
      <c r="AQ33" s="3129"/>
      <c r="AR33" s="3129">
        <v>100</v>
      </c>
    </row>
    <row r="34" spans="1:44" s="2889" customFormat="1" ht="12.75">
      <c r="A34" s="2880" t="s">
        <v>3395</v>
      </c>
      <c r="B34" s="2881">
        <v>2025</v>
      </c>
      <c r="C34" s="2882">
        <v>3</v>
      </c>
      <c r="D34" s="2883"/>
      <c r="E34" s="2883">
        <v>-0.8</v>
      </c>
      <c r="F34" s="2883">
        <v>-1.45</v>
      </c>
      <c r="G34" s="2883">
        <v>-0.62</v>
      </c>
      <c r="H34" s="2884"/>
      <c r="I34" s="2885">
        <f t="shared" ref="I34" si="133">F34</f>
        <v>-1.45</v>
      </c>
      <c r="J34" s="2886"/>
      <c r="K34" s="2887"/>
      <c r="L34" s="2888">
        <f t="shared" ref="L34" si="134">E34/100</f>
        <v>-8.0000000000000002E-3</v>
      </c>
      <c r="M34" s="2888">
        <f t="shared" ref="M34" si="135">F34/100</f>
        <v>-1.4499999999999999E-2</v>
      </c>
      <c r="N34" s="2888">
        <f t="shared" ref="N34" si="136">G34/100</f>
        <v>-6.1999999999999998E-3</v>
      </c>
      <c r="O34" s="2888"/>
      <c r="P34" s="2888">
        <f t="shared" si="123"/>
        <v>-1.4499999999999999E-2</v>
      </c>
      <c r="Q34" s="2886"/>
      <c r="R34" s="2886"/>
      <c r="S34" s="2886">
        <f>ROUND(IF(项目基本情况!$B$8="出让",SUMPRODUCT(PRODUCT(1+L34:L$52)),SUMPRODUCT(PRODUCT(1+L34:L$51))),4)</f>
        <v>1.0037</v>
      </c>
      <c r="T34" s="2886">
        <f>ROUND(IF(项目基本情况!$B$8="出让",SUMPRODUCT(PRODUCT(1+M34:M$52)),SUMPRODUCT(PRODUCT(1+M34:M$51))),4)</f>
        <v>0.98229999999999995</v>
      </c>
      <c r="U34" s="2886">
        <f>ROUND(IF(项目基本情况!$B$8="出让",SUMPRODUCT(PRODUCT(1+N34:N$52)),SUMPRODUCT(PRODUCT(1+N34:N$51))),4)</f>
        <v>1.0274000000000001</v>
      </c>
      <c r="V34" s="2886"/>
      <c r="W34" s="2886">
        <f t="shared" si="124"/>
        <v>0.98229999999999995</v>
      </c>
      <c r="X34" s="2886"/>
      <c r="Y34" s="2888"/>
      <c r="Z34" s="2904">
        <f t="shared" ref="Z34" si="137">IF(E34=0,0,ROUND(AVERAGE(E34:E47)/100,4))</f>
        <v>-1.2999999999999999E-3</v>
      </c>
      <c r="AA34" s="2905">
        <f t="shared" ref="AA34" si="138">IF(F34=0,0,ROUND(AVERAGE(F34:F47)/100,4))</f>
        <v>-2.2000000000000001E-3</v>
      </c>
      <c r="AB34" s="2888">
        <f t="shared" ref="AB34" si="139">IF(G34=0,0,ROUND(AVERAGE(G34:G47)/100,4))</f>
        <v>-2.9999999999999997E-4</v>
      </c>
      <c r="AC34" s="2906"/>
      <c r="AD34" s="2888">
        <f t="shared" si="128"/>
        <v>-2.2000000000000001E-3</v>
      </c>
      <c r="AG34" s="3125">
        <f t="shared" si="129"/>
        <v>100.37</v>
      </c>
      <c r="AH34" s="3125">
        <f t="shared" si="130"/>
        <v>98.22999999999999</v>
      </c>
      <c r="AI34" s="3125">
        <f t="shared" si="131"/>
        <v>102.74000000000001</v>
      </c>
      <c r="AJ34" s="3127"/>
      <c r="AK34" s="3125">
        <f t="shared" si="132"/>
        <v>98.22999999999999</v>
      </c>
      <c r="AN34" s="3125">
        <f>AN33/(1+E33/100)</f>
        <v>100</v>
      </c>
      <c r="AO34" s="3125">
        <f t="shared" ref="AO34:AR34" si="140">AO33/(1+F33/100)</f>
        <v>100</v>
      </c>
      <c r="AP34" s="3125">
        <f t="shared" si="140"/>
        <v>100</v>
      </c>
      <c r="AQ34" s="3125"/>
      <c r="AR34" s="3125">
        <f t="shared" si="140"/>
        <v>100</v>
      </c>
    </row>
    <row r="35" spans="1:44" s="2022" customFormat="1" ht="12.75">
      <c r="A35" s="2017" t="s">
        <v>3394</v>
      </c>
      <c r="B35" s="2008">
        <v>2025</v>
      </c>
      <c r="C35" s="2019">
        <v>2</v>
      </c>
      <c r="D35" s="1984"/>
      <c r="E35" s="1984">
        <v>-0.31</v>
      </c>
      <c r="F35" s="1984">
        <v>-1.03</v>
      </c>
      <c r="G35" s="1984">
        <v>0.03</v>
      </c>
      <c r="H35" s="1984"/>
      <c r="I35" s="1985">
        <f t="shared" ref="I35" si="141">F35</f>
        <v>-1.03</v>
      </c>
      <c r="J35" s="2879"/>
      <c r="K35" s="2020"/>
      <c r="L35" s="2005">
        <f t="shared" ref="L35" si="142">E35/100</f>
        <v>-3.0999999999999999E-3</v>
      </c>
      <c r="M35" s="2005">
        <f t="shared" ref="M35" si="143">F35/100</f>
        <v>-1.03E-2</v>
      </c>
      <c r="N35" s="2005">
        <f t="shared" ref="N35" si="144">G35/100</f>
        <v>2.9999999999999997E-4</v>
      </c>
      <c r="O35" s="2005"/>
      <c r="P35" s="2005">
        <f t="shared" si="123"/>
        <v>-1.03E-2</v>
      </c>
      <c r="Q35" s="2879"/>
      <c r="R35" s="2004"/>
      <c r="S35" s="2004">
        <f>ROUND(IF(项目基本情况!$B$8="出让",SUMPRODUCT(PRODUCT(1+L35:L$52)),SUMPRODUCT(PRODUCT(1+L35:L$51))),4)</f>
        <v>1.0118</v>
      </c>
      <c r="T35" s="2004">
        <f>ROUND(IF(项目基本情况!$B$8="出让",SUMPRODUCT(PRODUCT(1+M35:M$52)),SUMPRODUCT(PRODUCT(1+M35:M$51))),4)</f>
        <v>0.99680000000000002</v>
      </c>
      <c r="U35" s="2004">
        <f>ROUND(IF(项目基本情况!$B$8="出让",SUMPRODUCT(PRODUCT(1+N35:N$52)),SUMPRODUCT(PRODUCT(1+N35:N$51))),4)</f>
        <v>1.0338000000000001</v>
      </c>
      <c r="V35" s="2004"/>
      <c r="W35" s="2004">
        <f t="shared" si="124"/>
        <v>0.99680000000000002</v>
      </c>
      <c r="X35" s="2879"/>
      <c r="Y35" s="2005"/>
      <c r="Z35" s="2875">
        <f t="shared" ref="Z35" si="145">IF(E35=0,0,ROUND(AVERAGE(E35:E48)/100,4))</f>
        <v>-2.9999999999999997E-4</v>
      </c>
      <c r="AA35" s="2875">
        <f t="shared" ref="AA35" si="146">IF(F35=0,0,ROUND(AVERAGE(F35:F48)/100,4))</f>
        <v>-8.0000000000000004E-4</v>
      </c>
      <c r="AB35" s="2875">
        <f t="shared" ref="AB35" si="147">IF(G35=0,0,ROUND(AVERAGE(G35:G48)/100,4))</f>
        <v>5.0000000000000001E-4</v>
      </c>
      <c r="AC35" s="2877"/>
      <c r="AD35" s="2005">
        <f t="shared" si="128"/>
        <v>-8.0000000000000004E-4</v>
      </c>
      <c r="AG35" s="3124">
        <f t="shared" si="129"/>
        <v>101.18</v>
      </c>
      <c r="AH35" s="3124">
        <f t="shared" si="130"/>
        <v>99.68</v>
      </c>
      <c r="AI35" s="3124">
        <f t="shared" si="131"/>
        <v>103.38000000000001</v>
      </c>
      <c r="AJ35" s="3126"/>
      <c r="AK35" s="3124">
        <f t="shared" si="132"/>
        <v>99.68</v>
      </c>
      <c r="AN35" s="3124">
        <f t="shared" ref="AN35:AN52" si="148">AN34/(1+E34/100)</f>
        <v>100.80645161290323</v>
      </c>
      <c r="AO35" s="3124">
        <f t="shared" ref="AO35" si="149">AO34/(1+F34/100)</f>
        <v>101.47133434804667</v>
      </c>
      <c r="AP35" s="3124">
        <f t="shared" ref="AP35" si="150">AP34/(1+G34/100)</f>
        <v>100.6238679814852</v>
      </c>
      <c r="AQ35" s="3124"/>
      <c r="AR35" s="3124">
        <f t="shared" ref="AR35" si="151">AR34/(1+I34/100)</f>
        <v>101.47133434804667</v>
      </c>
    </row>
    <row r="36" spans="1:44" s="2022" customFormat="1" ht="12.75">
      <c r="A36" s="2017" t="s">
        <v>3383</v>
      </c>
      <c r="B36" s="2008">
        <v>2025</v>
      </c>
      <c r="C36" s="2019">
        <v>1</v>
      </c>
      <c r="D36" s="1984"/>
      <c r="E36" s="1984">
        <v>-1.47</v>
      </c>
      <c r="F36" s="1984">
        <v>-0.98</v>
      </c>
      <c r="G36" s="1984">
        <v>-0.51</v>
      </c>
      <c r="H36" s="1984"/>
      <c r="I36" s="1985">
        <f t="shared" ref="I36" si="152">F36</f>
        <v>-0.98</v>
      </c>
      <c r="J36" s="2879"/>
      <c r="K36" s="2020"/>
      <c r="L36" s="2005">
        <f t="shared" ref="L36" si="153">E36/100</f>
        <v>-1.47E-2</v>
      </c>
      <c r="M36" s="2005">
        <f t="shared" ref="M36" si="154">F36/100</f>
        <v>-9.7999999999999997E-3</v>
      </c>
      <c r="N36" s="2005">
        <f t="shared" ref="N36" si="155">G36/100</f>
        <v>-5.1000000000000004E-3</v>
      </c>
      <c r="O36" s="2005"/>
      <c r="P36" s="2005">
        <f t="shared" si="123"/>
        <v>-9.7999999999999997E-3</v>
      </c>
      <c r="Q36" s="2879"/>
      <c r="R36" s="2004"/>
      <c r="S36" s="2004">
        <f>ROUND(IF(项目基本情况!$B$8="出让",SUMPRODUCT(PRODUCT(1+L36:L$52)),SUMPRODUCT(PRODUCT(1+L36:L$51))),4)</f>
        <v>1.0148999999999999</v>
      </c>
      <c r="T36" s="2004">
        <f>ROUND(IF(项目基本情况!$B$8="出让",SUMPRODUCT(PRODUCT(1+M36:M$52)),SUMPRODUCT(PRODUCT(1+M36:M$51))),4)</f>
        <v>1.0072000000000001</v>
      </c>
      <c r="U36" s="2004">
        <f>ROUND(IF(项目基本情况!$B$8="出让",SUMPRODUCT(PRODUCT(1+N36:N$52)),SUMPRODUCT(PRODUCT(1+N36:N$51))),4)</f>
        <v>1.0335000000000001</v>
      </c>
      <c r="V36" s="2004"/>
      <c r="W36" s="2004">
        <f t="shared" si="124"/>
        <v>1.0072000000000001</v>
      </c>
      <c r="X36" s="2879"/>
      <c r="Y36" s="2005"/>
      <c r="Z36" s="2875">
        <f t="shared" ref="Z36" si="156">IF(E36=0,0,ROUND(AVERAGE(E36:E49)/100,4))</f>
        <v>4.0000000000000002E-4</v>
      </c>
      <c r="AA36" s="2875">
        <f t="shared" ref="AA36" si="157">IF(F36=0,0,ROUND(AVERAGE(F36:F49)/100,4))</f>
        <v>0</v>
      </c>
      <c r="AB36" s="2875">
        <f t="shared" ref="AB36" si="158">IF(G36=0,0,ROUND(AVERAGE(G36:G49)/100,4))</f>
        <v>1E-3</v>
      </c>
      <c r="AC36" s="2877"/>
      <c r="AD36" s="2005">
        <f t="shared" si="128"/>
        <v>0</v>
      </c>
      <c r="AG36" s="3124">
        <f t="shared" si="129"/>
        <v>101.49</v>
      </c>
      <c r="AH36" s="3124">
        <f t="shared" si="130"/>
        <v>100.72000000000001</v>
      </c>
      <c r="AI36" s="3124">
        <f t="shared" si="131"/>
        <v>103.35000000000001</v>
      </c>
      <c r="AJ36" s="3126"/>
      <c r="AK36" s="3124">
        <f t="shared" si="132"/>
        <v>100.72000000000001</v>
      </c>
      <c r="AN36" s="3124">
        <f t="shared" si="148"/>
        <v>101.11992337536687</v>
      </c>
      <c r="AO36" s="3124">
        <f t="shared" ref="AO36:AO52" si="159">AO35/(1+F35/100)</f>
        <v>102.52736622011383</v>
      </c>
      <c r="AP36" s="3124">
        <f t="shared" ref="AP36:AP52" si="160">AP35/(1+G35/100)</f>
        <v>100.59368987452285</v>
      </c>
      <c r="AQ36" s="3124"/>
      <c r="AR36" s="3124">
        <f t="shared" ref="AR36:AR52" si="161">AR35/(1+I35/100)</f>
        <v>102.52736622011383</v>
      </c>
    </row>
    <row r="37" spans="1:44" s="2022" customFormat="1" ht="12.75">
      <c r="A37" s="2017" t="s">
        <v>3384</v>
      </c>
      <c r="B37" s="2008">
        <v>2024</v>
      </c>
      <c r="C37" s="2019">
        <v>4</v>
      </c>
      <c r="D37" s="1984"/>
      <c r="E37" s="1984">
        <v>-0.61</v>
      </c>
      <c r="F37" s="1984">
        <v>-0.71</v>
      </c>
      <c r="G37" s="1984">
        <v>-0.88</v>
      </c>
      <c r="H37" s="1984"/>
      <c r="I37" s="1985">
        <f t="shared" ref="I37" si="162">F37</f>
        <v>-0.71</v>
      </c>
      <c r="J37" s="2879"/>
      <c r="K37" s="2020"/>
      <c r="L37" s="2005">
        <f t="shared" ref="L37" si="163">E37/100</f>
        <v>-6.0999999999999995E-3</v>
      </c>
      <c r="M37" s="2005">
        <f t="shared" ref="M37" si="164">F37/100</f>
        <v>-7.0999999999999995E-3</v>
      </c>
      <c r="N37" s="2005">
        <f t="shared" ref="N37" si="165">G37/100</f>
        <v>-8.8000000000000005E-3</v>
      </c>
      <c r="O37" s="2005"/>
      <c r="P37" s="2005">
        <f t="shared" si="123"/>
        <v>-7.0999999999999995E-3</v>
      </c>
      <c r="Q37" s="2879"/>
      <c r="R37" s="2004"/>
      <c r="S37" s="2004">
        <f>ROUND(IF(项目基本情况!$B$8="出让",SUMPRODUCT(PRODUCT(1+L37:L$52)),SUMPRODUCT(PRODUCT(1+L37:L$51))),4)</f>
        <v>1.0301</v>
      </c>
      <c r="T37" s="2004">
        <f>ROUND(IF(项目基本情况!$B$8="出让",SUMPRODUCT(PRODUCT(1+M37:M$52)),SUMPRODUCT(PRODUCT(1+M37:M$51))),4)</f>
        <v>1.0170999999999999</v>
      </c>
      <c r="U37" s="2004">
        <f>ROUND(IF(项目基本情况!$B$8="出让",SUMPRODUCT(PRODUCT(1+N37:N$52)),SUMPRODUCT(PRODUCT(1+N37:N$51))),4)</f>
        <v>1.0387999999999999</v>
      </c>
      <c r="V37" s="2004"/>
      <c r="W37" s="2004">
        <f t="shared" si="124"/>
        <v>1.0170999999999999</v>
      </c>
      <c r="X37" s="2879"/>
      <c r="Y37" s="2005"/>
      <c r="Z37" s="2875">
        <f t="shared" ref="Z37" si="166">IF(E37=0,0,ROUND(AVERAGE(E37:E50)/100,4))</f>
        <v>1.6999999999999999E-3</v>
      </c>
      <c r="AA37" s="2875">
        <f t="shared" ref="AA37" si="167">IF(F37=0,0,ROUND(AVERAGE(F37:F50)/100,4))</f>
        <v>8.9999999999999998E-4</v>
      </c>
      <c r="AB37" s="2875">
        <f t="shared" ref="AB37" si="168">IF(G37=0,0,ROUND(AVERAGE(G37:G50)/100,4))</f>
        <v>2E-3</v>
      </c>
      <c r="AC37" s="2877"/>
      <c r="AD37" s="2005">
        <f t="shared" si="128"/>
        <v>8.9999999999999998E-4</v>
      </c>
      <c r="AG37" s="3124">
        <f t="shared" si="129"/>
        <v>103.01</v>
      </c>
      <c r="AH37" s="3124">
        <f t="shared" si="130"/>
        <v>101.71</v>
      </c>
      <c r="AI37" s="3124">
        <f t="shared" si="131"/>
        <v>103.88</v>
      </c>
      <c r="AJ37" s="3126"/>
      <c r="AK37" s="3124">
        <f t="shared" si="132"/>
        <v>101.71</v>
      </c>
      <c r="AN37" s="3124">
        <f t="shared" si="148"/>
        <v>102.62856325521858</v>
      </c>
      <c r="AO37" s="3124">
        <f t="shared" si="159"/>
        <v>103.54207859029877</v>
      </c>
      <c r="AP37" s="3124">
        <f t="shared" si="160"/>
        <v>101.10934754701262</v>
      </c>
      <c r="AQ37" s="3124"/>
      <c r="AR37" s="3124">
        <f t="shared" si="161"/>
        <v>103.54207859029877</v>
      </c>
    </row>
    <row r="38" spans="1:44" s="2022" customFormat="1" ht="12.75">
      <c r="A38" s="2017" t="s">
        <v>3355</v>
      </c>
      <c r="B38" s="2008">
        <v>2024</v>
      </c>
      <c r="C38" s="2019">
        <v>3</v>
      </c>
      <c r="D38" s="1984"/>
      <c r="E38" s="1984">
        <v>-0.66</v>
      </c>
      <c r="F38" s="1984">
        <v>-0.52</v>
      </c>
      <c r="G38" s="1984">
        <v>-2.87</v>
      </c>
      <c r="H38" s="1984"/>
      <c r="I38" s="1985">
        <f t="shared" ref="I38" si="169">F38</f>
        <v>-0.52</v>
      </c>
      <c r="J38" s="2879"/>
      <c r="K38" s="2020"/>
      <c r="L38" s="2005">
        <f t="shared" ref="L38" si="170">E38/100</f>
        <v>-6.6E-3</v>
      </c>
      <c r="M38" s="2005">
        <f t="shared" ref="M38" si="171">F38/100</f>
        <v>-5.1999999999999998E-3</v>
      </c>
      <c r="N38" s="2005">
        <f t="shared" ref="N38" si="172">G38/100</f>
        <v>-2.87E-2</v>
      </c>
      <c r="O38" s="2005"/>
      <c r="P38" s="2005">
        <f t="shared" si="123"/>
        <v>-5.1999999999999998E-3</v>
      </c>
      <c r="Q38" s="2879"/>
      <c r="R38" s="2004"/>
      <c r="S38" s="2004">
        <f>ROUND(IF(项目基本情况!$B$8="出让",SUMPRODUCT(PRODUCT(1+L38:L$52)),SUMPRODUCT(PRODUCT(1+L38:L$51))),4)</f>
        <v>1.0364</v>
      </c>
      <c r="T38" s="2004">
        <f>ROUND(IF(项目基本情况!$B$8="出让",SUMPRODUCT(PRODUCT(1+M38:M$52)),SUMPRODUCT(PRODUCT(1+M38:M$51))),4)</f>
        <v>1.0244</v>
      </c>
      <c r="U38" s="2004">
        <f>ROUND(IF(项目基本情况!$B$8="出让",SUMPRODUCT(PRODUCT(1+N38:N$52)),SUMPRODUCT(PRODUCT(1+N38:N$51))),4)</f>
        <v>1.048</v>
      </c>
      <c r="V38" s="2004"/>
      <c r="W38" s="2004">
        <f t="shared" si="124"/>
        <v>1.0244</v>
      </c>
      <c r="X38" s="2879"/>
      <c r="Y38" s="2005"/>
      <c r="Z38" s="2875">
        <f t="shared" ref="Z38:AB39" si="173">IF(E38=0,0,ROUND(AVERAGE(E38:E51)/100,4))</f>
        <v>2.5999999999999999E-3</v>
      </c>
      <c r="AA38" s="2875">
        <f t="shared" si="173"/>
        <v>1.6999999999999999E-3</v>
      </c>
      <c r="AB38" s="2875">
        <f t="shared" si="173"/>
        <v>3.3999999999999998E-3</v>
      </c>
      <c r="AC38" s="2877"/>
      <c r="AD38" s="2005">
        <f t="shared" si="128"/>
        <v>1.6999999999999999E-3</v>
      </c>
      <c r="AG38" s="3124">
        <f t="shared" si="129"/>
        <v>103.64</v>
      </c>
      <c r="AH38" s="3124">
        <f t="shared" si="130"/>
        <v>102.44</v>
      </c>
      <c r="AI38" s="3124">
        <f t="shared" si="131"/>
        <v>104.80000000000001</v>
      </c>
      <c r="AJ38" s="3126"/>
      <c r="AK38" s="3124">
        <f t="shared" si="132"/>
        <v>102.44</v>
      </c>
      <c r="AN38" s="3124">
        <f t="shared" si="148"/>
        <v>103.25843973761805</v>
      </c>
      <c r="AO38" s="3124">
        <f t="shared" si="159"/>
        <v>104.28248422831984</v>
      </c>
      <c r="AP38" s="3124">
        <f t="shared" si="160"/>
        <v>102.00700922822097</v>
      </c>
      <c r="AQ38" s="3124"/>
      <c r="AR38" s="3124">
        <f t="shared" si="161"/>
        <v>104.28248422831984</v>
      </c>
    </row>
    <row r="39" spans="1:44" s="2022" customFormat="1" ht="12.75">
      <c r="A39" s="2878" t="s">
        <v>3359</v>
      </c>
      <c r="B39" s="2008">
        <v>2024</v>
      </c>
      <c r="C39" s="2019">
        <v>2</v>
      </c>
      <c r="D39" s="1984"/>
      <c r="E39" s="1984">
        <v>-0.31</v>
      </c>
      <c r="F39" s="1984">
        <v>-0.39</v>
      </c>
      <c r="G39" s="1984">
        <v>1.23</v>
      </c>
      <c r="H39" s="2890"/>
      <c r="I39" s="1985">
        <f t="shared" ref="I39:I52" si="174">F39</f>
        <v>-0.39</v>
      </c>
      <c r="J39" s="2879"/>
      <c r="K39" s="2020"/>
      <c r="L39" s="2005">
        <f t="shared" ref="L39:N52" si="175">E39/100</f>
        <v>-3.0999999999999999E-3</v>
      </c>
      <c r="M39" s="2005">
        <f t="shared" si="175"/>
        <v>-3.9000000000000003E-3</v>
      </c>
      <c r="N39" s="2005">
        <f t="shared" si="175"/>
        <v>1.23E-2</v>
      </c>
      <c r="O39" s="2005"/>
      <c r="P39" s="2005">
        <f t="shared" si="123"/>
        <v>-3.9000000000000003E-3</v>
      </c>
      <c r="Q39" s="2879"/>
      <c r="R39" s="2004"/>
      <c r="S39" s="2004">
        <f>ROUND(IF(项目基本情况!$B$8="出让",SUMPRODUCT(PRODUCT(1+L39:L$52)),SUMPRODUCT(PRODUCT(1+L39:L$51))),4)</f>
        <v>1.0432999999999999</v>
      </c>
      <c r="T39" s="2004">
        <f>ROUND(IF(项目基本情况!$B$8="出让",SUMPRODUCT(PRODUCT(1+M39:M$52)),SUMPRODUCT(PRODUCT(1+M39:M$51))),4)</f>
        <v>1.0298</v>
      </c>
      <c r="U39" s="2004">
        <f>ROUND(IF(项目基本情况!$B$8="出让",SUMPRODUCT(PRODUCT(1+N39:N$52)),SUMPRODUCT(PRODUCT(1+N39:N$51))),4)</f>
        <v>1.079</v>
      </c>
      <c r="V39" s="2004"/>
      <c r="W39" s="2004">
        <f t="shared" si="124"/>
        <v>1.0298</v>
      </c>
      <c r="X39" s="2879"/>
      <c r="Y39" s="2005"/>
      <c r="Z39" s="2875">
        <f t="shared" si="173"/>
        <v>3.3E-3</v>
      </c>
      <c r="AA39" s="2876">
        <f t="shared" si="173"/>
        <v>2.3999999999999998E-3</v>
      </c>
      <c r="AB39" s="2005">
        <f t="shared" si="173"/>
        <v>6.1999999999999998E-3</v>
      </c>
      <c r="AC39" s="2877"/>
      <c r="AD39" s="2005">
        <f t="shared" si="128"/>
        <v>2.3999999999999998E-3</v>
      </c>
      <c r="AG39" s="3124">
        <f t="shared" si="129"/>
        <v>104.32999999999998</v>
      </c>
      <c r="AH39" s="3124">
        <f t="shared" si="130"/>
        <v>102.98</v>
      </c>
      <c r="AI39" s="3124">
        <f t="shared" si="131"/>
        <v>107.89999999999999</v>
      </c>
      <c r="AJ39" s="3126"/>
      <c r="AK39" s="3124">
        <f t="shared" si="132"/>
        <v>102.98</v>
      </c>
      <c r="AN39" s="3124">
        <f t="shared" si="148"/>
        <v>103.94447326114158</v>
      </c>
      <c r="AO39" s="3124">
        <f t="shared" si="159"/>
        <v>104.82758768427809</v>
      </c>
      <c r="AP39" s="3124">
        <f t="shared" si="160"/>
        <v>105.02111523547921</v>
      </c>
      <c r="AQ39" s="3124"/>
      <c r="AR39" s="3124">
        <f t="shared" si="161"/>
        <v>104.82758768427809</v>
      </c>
    </row>
    <row r="40" spans="1:44" s="2022" customFormat="1" ht="12.75">
      <c r="A40" s="2878" t="s">
        <v>3356</v>
      </c>
      <c r="B40" s="2008">
        <v>2024</v>
      </c>
      <c r="C40" s="2019">
        <v>1</v>
      </c>
      <c r="D40" s="1984"/>
      <c r="E40" s="1984">
        <v>0.25</v>
      </c>
      <c r="F40" s="1984">
        <v>0.4</v>
      </c>
      <c r="G40" s="1984">
        <v>-0.63</v>
      </c>
      <c r="H40" s="2890"/>
      <c r="I40" s="1985">
        <f t="shared" ref="I40:I41" si="176">F40</f>
        <v>0.4</v>
      </c>
      <c r="J40" s="2879"/>
      <c r="K40" s="2020"/>
      <c r="L40" s="2005">
        <f t="shared" ref="L40" si="177">E40/100</f>
        <v>2.5000000000000001E-3</v>
      </c>
      <c r="M40" s="2005">
        <f t="shared" ref="M40" si="178">F40/100</f>
        <v>4.0000000000000001E-3</v>
      </c>
      <c r="N40" s="2005">
        <f t="shared" ref="N40" si="179">G40/100</f>
        <v>-6.3E-3</v>
      </c>
      <c r="O40" s="2005"/>
      <c r="P40" s="2005">
        <f t="shared" ref="P40" si="180">M40</f>
        <v>4.0000000000000001E-3</v>
      </c>
      <c r="Q40" s="2879"/>
      <c r="R40" s="2004"/>
      <c r="S40" s="2004">
        <f>ROUND(IF(项目基本情况!$B$8="出让",SUMPRODUCT(PRODUCT(1+L40:L$52)),SUMPRODUCT(PRODUCT(1+L40:L$51))),4)</f>
        <v>1.0465</v>
      </c>
      <c r="T40" s="2004">
        <f>ROUND(IF(项目基本情况!$B$8="出让",SUMPRODUCT(PRODUCT(1+M40:M$52)),SUMPRODUCT(PRODUCT(1+M40:M$51))),4)</f>
        <v>1.0338000000000001</v>
      </c>
      <c r="U40" s="2004">
        <f>ROUND(IF(项目基本情况!$B$8="出让",SUMPRODUCT(PRODUCT(1+N40:N$52)),SUMPRODUCT(PRODUCT(1+N40:N$51))),4)</f>
        <v>1.0659000000000001</v>
      </c>
      <c r="V40" s="2004"/>
      <c r="W40" s="2004">
        <f t="shared" ref="W40" si="181">T40</f>
        <v>1.0338000000000001</v>
      </c>
      <c r="X40" s="2879"/>
      <c r="Y40" s="2005"/>
      <c r="Z40" s="2875"/>
      <c r="AA40" s="2876"/>
      <c r="AB40" s="2005"/>
      <c r="AC40" s="2877"/>
      <c r="AD40" s="2005"/>
      <c r="AG40" s="3124">
        <f t="shared" si="129"/>
        <v>104.65</v>
      </c>
      <c r="AH40" s="3124">
        <f t="shared" si="130"/>
        <v>103.38000000000001</v>
      </c>
      <c r="AI40" s="3124">
        <f t="shared" si="131"/>
        <v>106.59</v>
      </c>
      <c r="AJ40" s="3126"/>
      <c r="AK40" s="3124">
        <f t="shared" si="132"/>
        <v>103.38000000000001</v>
      </c>
      <c r="AN40" s="3124">
        <f t="shared" si="148"/>
        <v>104.2677031408783</v>
      </c>
      <c r="AO40" s="3124">
        <f t="shared" si="159"/>
        <v>105.23801594646932</v>
      </c>
      <c r="AP40" s="3124">
        <f t="shared" si="160"/>
        <v>103.74505110686478</v>
      </c>
      <c r="AQ40" s="3124"/>
      <c r="AR40" s="3124">
        <f t="shared" si="161"/>
        <v>105.23801594646932</v>
      </c>
    </row>
    <row r="41" spans="1:44" s="2022" customFormat="1" ht="12.75">
      <c r="A41" s="2878" t="s">
        <v>3354</v>
      </c>
      <c r="B41" s="2008">
        <v>2023</v>
      </c>
      <c r="C41" s="2019">
        <v>4</v>
      </c>
      <c r="D41" s="1984"/>
      <c r="E41" s="1984">
        <v>7.0000000000000007E-2</v>
      </c>
      <c r="F41" s="1984">
        <v>0.09</v>
      </c>
      <c r="G41" s="1984">
        <v>0.03</v>
      </c>
      <c r="H41" s="2890"/>
      <c r="I41" s="1985">
        <f t="shared" si="176"/>
        <v>0.09</v>
      </c>
      <c r="J41" s="2879"/>
      <c r="K41" s="2020"/>
      <c r="L41" s="2005">
        <f t="shared" si="175"/>
        <v>7.000000000000001E-4</v>
      </c>
      <c r="M41" s="2005">
        <f t="shared" si="175"/>
        <v>8.9999999999999998E-4</v>
      </c>
      <c r="N41" s="2005">
        <f t="shared" si="175"/>
        <v>2.9999999999999997E-4</v>
      </c>
      <c r="O41" s="2005"/>
      <c r="P41" s="2005">
        <f t="shared" ref="P41" si="182">M41</f>
        <v>8.9999999999999998E-4</v>
      </c>
      <c r="Q41" s="2879"/>
      <c r="R41" s="2004"/>
      <c r="S41" s="2004">
        <f>ROUND(IF(项目基本情况!$B$8="出让",SUMPRODUCT(PRODUCT(1+L41:L$52)),SUMPRODUCT(PRODUCT(1+L41:L$51))),4)</f>
        <v>1.0439000000000001</v>
      </c>
      <c r="T41" s="2004">
        <f>ROUND(IF(项目基本情况!$B$8="出让",SUMPRODUCT(PRODUCT(1+M41:M$52)),SUMPRODUCT(PRODUCT(1+M41:M$51))),4)</f>
        <v>1.0297000000000001</v>
      </c>
      <c r="U41" s="2004">
        <f>ROUND(IF(项目基本情况!$B$8="出让",SUMPRODUCT(PRODUCT(1+N41:N$52)),SUMPRODUCT(PRODUCT(1+N41:N$51))),4)</f>
        <v>1.0727</v>
      </c>
      <c r="V41" s="2004"/>
      <c r="W41" s="2004">
        <f t="shared" ref="W41" si="183">T41</f>
        <v>1.0297000000000001</v>
      </c>
      <c r="X41" s="2879"/>
      <c r="Y41" s="2005"/>
      <c r="Z41" s="2875"/>
      <c r="AA41" s="2876"/>
      <c r="AB41" s="2005"/>
      <c r="AC41" s="2877"/>
      <c r="AD41" s="2005"/>
      <c r="AG41" s="3124">
        <f t="shared" si="129"/>
        <v>104.39</v>
      </c>
      <c r="AH41" s="3124">
        <f t="shared" si="130"/>
        <v>102.97</v>
      </c>
      <c r="AI41" s="3124">
        <f t="shared" si="131"/>
        <v>107.27</v>
      </c>
      <c r="AJ41" s="3126"/>
      <c r="AK41" s="3124">
        <f t="shared" si="132"/>
        <v>102.97</v>
      </c>
      <c r="AN41" s="3124">
        <f t="shared" si="148"/>
        <v>104.00768393105068</v>
      </c>
      <c r="AO41" s="3124">
        <f t="shared" si="159"/>
        <v>104.81874098253915</v>
      </c>
      <c r="AP41" s="3124">
        <f t="shared" si="160"/>
        <v>104.40278867552055</v>
      </c>
      <c r="AQ41" s="3124"/>
      <c r="AR41" s="3124">
        <f t="shared" si="161"/>
        <v>104.81874098253915</v>
      </c>
    </row>
    <row r="42" spans="1:44" s="2022" customFormat="1" ht="12.75">
      <c r="A42" s="2878" t="s">
        <v>3352</v>
      </c>
      <c r="B42" s="2008">
        <v>2023</v>
      </c>
      <c r="C42" s="2019">
        <v>3</v>
      </c>
      <c r="D42" s="1984"/>
      <c r="E42" s="1984">
        <v>0.35</v>
      </c>
      <c r="F42" s="1984">
        <v>0.17</v>
      </c>
      <c r="G42" s="1984">
        <v>0.52</v>
      </c>
      <c r="H42" s="2890"/>
      <c r="I42" s="1985">
        <f t="shared" si="174"/>
        <v>0.17</v>
      </c>
      <c r="J42" s="2879"/>
      <c r="K42" s="2020"/>
      <c r="L42" s="2005">
        <f t="shared" ref="L42:L44" si="184">E42/100</f>
        <v>3.4999999999999996E-3</v>
      </c>
      <c r="M42" s="2005">
        <f t="shared" ref="M42:M44" si="185">F42/100</f>
        <v>1.7000000000000001E-3</v>
      </c>
      <c r="N42" s="2005">
        <f t="shared" ref="N42:N44" si="186">G42/100</f>
        <v>5.1999999999999998E-3</v>
      </c>
      <c r="O42" s="2005"/>
      <c r="P42" s="2005">
        <f t="shared" ref="P42:P44" si="187">M42</f>
        <v>1.7000000000000001E-3</v>
      </c>
      <c r="Q42" s="2879"/>
      <c r="R42" s="2004"/>
      <c r="S42" s="2004">
        <f>ROUND(IF(项目基本情况!$B$8="出让",SUMPRODUCT(PRODUCT(1+L42:L$52)),SUMPRODUCT(PRODUCT(1+L42:L$51))),4)</f>
        <v>1.0431999999999999</v>
      </c>
      <c r="T42" s="2004">
        <f>ROUND(IF(项目基本情况!$B$8="出让",SUMPRODUCT(PRODUCT(1+M42:M$52)),SUMPRODUCT(PRODUCT(1+M42:M$51))),4)</f>
        <v>1.0286999999999999</v>
      </c>
      <c r="U42" s="2004">
        <f>ROUND(IF(项目基本情况!$B$8="出让",SUMPRODUCT(PRODUCT(1+N42:N$52)),SUMPRODUCT(PRODUCT(1+N42:N$51))),4)</f>
        <v>1.0723</v>
      </c>
      <c r="V42" s="2004"/>
      <c r="W42" s="2004">
        <f t="shared" ref="W42:W44" si="188">T42</f>
        <v>1.0286999999999999</v>
      </c>
      <c r="X42" s="2879"/>
      <c r="Y42" s="2005"/>
      <c r="Z42" s="2875"/>
      <c r="AA42" s="2876"/>
      <c r="AB42" s="2005"/>
      <c r="AC42" s="2877"/>
      <c r="AD42" s="2005"/>
      <c r="AG42" s="3124">
        <f t="shared" si="129"/>
        <v>104.32</v>
      </c>
      <c r="AH42" s="3124">
        <f t="shared" si="130"/>
        <v>102.86999999999999</v>
      </c>
      <c r="AI42" s="3124">
        <f t="shared" si="131"/>
        <v>107.23</v>
      </c>
      <c r="AJ42" s="3126"/>
      <c r="AK42" s="3124">
        <f t="shared" si="132"/>
        <v>102.86999999999999</v>
      </c>
      <c r="AN42" s="3124">
        <f t="shared" si="148"/>
        <v>103.9349294804144</v>
      </c>
      <c r="AO42" s="3124">
        <f t="shared" si="159"/>
        <v>104.72448894249092</v>
      </c>
      <c r="AP42" s="3124">
        <f t="shared" si="160"/>
        <v>104.37147723235086</v>
      </c>
      <c r="AQ42" s="3124"/>
      <c r="AR42" s="3124">
        <f t="shared" si="161"/>
        <v>104.72448894249092</v>
      </c>
    </row>
    <row r="43" spans="1:44" s="2022" customFormat="1" ht="12.75">
      <c r="A43" s="2878" t="s">
        <v>3351</v>
      </c>
      <c r="B43" s="2008">
        <v>2023</v>
      </c>
      <c r="C43" s="2019">
        <v>2</v>
      </c>
      <c r="D43" s="1984"/>
      <c r="E43" s="1984">
        <v>0.5</v>
      </c>
      <c r="F43" s="1984">
        <v>0.45</v>
      </c>
      <c r="G43" s="1984">
        <v>0.89</v>
      </c>
      <c r="H43" s="2890"/>
      <c r="I43" s="1985">
        <f t="shared" si="174"/>
        <v>0.45</v>
      </c>
      <c r="J43" s="2879"/>
      <c r="K43" s="2020"/>
      <c r="L43" s="2005">
        <f t="shared" si="184"/>
        <v>5.0000000000000001E-3</v>
      </c>
      <c r="M43" s="2005">
        <f t="shared" si="185"/>
        <v>4.5000000000000005E-3</v>
      </c>
      <c r="N43" s="2005">
        <f t="shared" si="186"/>
        <v>8.8999999999999999E-3</v>
      </c>
      <c r="O43" s="2005"/>
      <c r="P43" s="2005">
        <f t="shared" si="187"/>
        <v>4.5000000000000005E-3</v>
      </c>
      <c r="Q43" s="2879"/>
      <c r="R43" s="2004"/>
      <c r="S43" s="2004">
        <f>ROUND(IF(项目基本情况!$B$8="出让",SUMPRODUCT(PRODUCT(1+L43:L$52)),SUMPRODUCT(PRODUCT(1+L43:L$51))),4)</f>
        <v>1.0396000000000001</v>
      </c>
      <c r="T43" s="2004">
        <f>ROUND(IF(项目基本情况!$B$8="出让",SUMPRODUCT(PRODUCT(1+M43:M$52)),SUMPRODUCT(PRODUCT(1+M43:M$51))),4)</f>
        <v>1.0269999999999999</v>
      </c>
      <c r="U43" s="2004">
        <f>ROUND(IF(项目基本情况!$B$8="出让",SUMPRODUCT(PRODUCT(1+N43:N$52)),SUMPRODUCT(PRODUCT(1+N43:N$51))),4)</f>
        <v>1.0668</v>
      </c>
      <c r="V43" s="2004"/>
      <c r="W43" s="2004">
        <f t="shared" si="188"/>
        <v>1.0269999999999999</v>
      </c>
      <c r="X43" s="2879"/>
      <c r="Y43" s="2005"/>
      <c r="Z43" s="2875"/>
      <c r="AA43" s="2876"/>
      <c r="AB43" s="2005"/>
      <c r="AC43" s="2877"/>
      <c r="AD43" s="2005"/>
      <c r="AG43" s="3124">
        <f t="shared" si="129"/>
        <v>103.96000000000001</v>
      </c>
      <c r="AH43" s="3124">
        <f t="shared" si="130"/>
        <v>102.69999999999999</v>
      </c>
      <c r="AI43" s="3124">
        <f t="shared" si="131"/>
        <v>106.67999999999999</v>
      </c>
      <c r="AJ43" s="3126"/>
      <c r="AK43" s="3124">
        <f t="shared" si="132"/>
        <v>102.69999999999999</v>
      </c>
      <c r="AN43" s="3124">
        <f t="shared" si="148"/>
        <v>103.5724259894513</v>
      </c>
      <c r="AO43" s="3124">
        <f t="shared" si="159"/>
        <v>104.5467594514235</v>
      </c>
      <c r="AP43" s="3124">
        <f t="shared" si="160"/>
        <v>103.83155315593996</v>
      </c>
      <c r="AQ43" s="3124"/>
      <c r="AR43" s="3124">
        <f t="shared" si="161"/>
        <v>104.5467594514235</v>
      </c>
    </row>
    <row r="44" spans="1:44" s="2022" customFormat="1" ht="12.75">
      <c r="A44" s="2878" t="s">
        <v>3349</v>
      </c>
      <c r="B44" s="2008">
        <v>2023</v>
      </c>
      <c r="C44" s="2019">
        <v>1</v>
      </c>
      <c r="D44" s="1984"/>
      <c r="E44" s="1984">
        <v>0.55000000000000004</v>
      </c>
      <c r="F44" s="1984">
        <v>0.59</v>
      </c>
      <c r="G44" s="1984">
        <v>0.64</v>
      </c>
      <c r="H44" s="2890"/>
      <c r="I44" s="1985">
        <f t="shared" si="174"/>
        <v>0.59</v>
      </c>
      <c r="J44" s="2879"/>
      <c r="K44" s="2020"/>
      <c r="L44" s="2005">
        <f t="shared" si="184"/>
        <v>5.5000000000000005E-3</v>
      </c>
      <c r="M44" s="2005">
        <f t="shared" si="185"/>
        <v>5.8999999999999999E-3</v>
      </c>
      <c r="N44" s="2005">
        <f t="shared" si="186"/>
        <v>6.4000000000000003E-3</v>
      </c>
      <c r="O44" s="2005"/>
      <c r="P44" s="2005">
        <f t="shared" si="187"/>
        <v>5.8999999999999999E-3</v>
      </c>
      <c r="Q44" s="2879"/>
      <c r="R44" s="2004"/>
      <c r="S44" s="2004">
        <f>ROUND(IF(项目基本情况!$B$8="出让",SUMPRODUCT(PRODUCT(1+L44:L$52)),SUMPRODUCT(PRODUCT(1+L44:L$51))),4)</f>
        <v>1.0344</v>
      </c>
      <c r="T44" s="2004">
        <f>ROUND(IF(项目基本情况!$B$8="出让",SUMPRODUCT(PRODUCT(1+M44:M$52)),SUMPRODUCT(PRODUCT(1+M44:M$51))),4)</f>
        <v>1.0224</v>
      </c>
      <c r="U44" s="2004">
        <f>ROUND(IF(项目基本情况!$B$8="出让",SUMPRODUCT(PRODUCT(1+N44:N$52)),SUMPRODUCT(PRODUCT(1+N44:N$51))),4)</f>
        <v>1.0573999999999999</v>
      </c>
      <c r="V44" s="2004"/>
      <c r="W44" s="2004">
        <f t="shared" si="188"/>
        <v>1.0224</v>
      </c>
      <c r="X44" s="2879"/>
      <c r="Y44" s="2005"/>
      <c r="Z44" s="2875"/>
      <c r="AA44" s="2876"/>
      <c r="AB44" s="2005"/>
      <c r="AC44" s="2877"/>
      <c r="AD44" s="2005"/>
      <c r="AG44" s="3124">
        <f t="shared" si="129"/>
        <v>103.44</v>
      </c>
      <c r="AH44" s="3124">
        <f t="shared" si="130"/>
        <v>102.24</v>
      </c>
      <c r="AI44" s="3124">
        <f t="shared" si="131"/>
        <v>105.74</v>
      </c>
      <c r="AJ44" s="3126"/>
      <c r="AK44" s="3124">
        <f t="shared" si="132"/>
        <v>102.24</v>
      </c>
      <c r="AN44" s="3124">
        <f t="shared" si="148"/>
        <v>103.05714028801125</v>
      </c>
      <c r="AO44" s="3124">
        <f t="shared" si="159"/>
        <v>104.07840662162619</v>
      </c>
      <c r="AP44" s="3124">
        <f t="shared" si="160"/>
        <v>102.91560427786695</v>
      </c>
      <c r="AQ44" s="3124"/>
      <c r="AR44" s="3124">
        <f t="shared" si="161"/>
        <v>104.07840662162619</v>
      </c>
    </row>
    <row r="45" spans="1:44" s="2022" customFormat="1" ht="12.75">
      <c r="A45" s="2878" t="s">
        <v>3348</v>
      </c>
      <c r="B45" s="2008">
        <v>2022</v>
      </c>
      <c r="C45" s="2019">
        <v>4</v>
      </c>
      <c r="D45" s="1984"/>
      <c r="E45" s="1984">
        <v>0.45</v>
      </c>
      <c r="F45" s="1984">
        <v>0.2</v>
      </c>
      <c r="G45" s="1984">
        <v>0.38</v>
      </c>
      <c r="H45" s="2890"/>
      <c r="I45" s="1985">
        <f t="shared" si="174"/>
        <v>0.2</v>
      </c>
      <c r="J45" s="2879"/>
      <c r="K45" s="2020"/>
      <c r="L45" s="2005">
        <f t="shared" si="175"/>
        <v>4.5000000000000005E-3</v>
      </c>
      <c r="M45" s="2005">
        <f t="shared" si="175"/>
        <v>2E-3</v>
      </c>
      <c r="N45" s="2005">
        <f t="shared" si="175"/>
        <v>3.8E-3</v>
      </c>
      <c r="O45" s="2005"/>
      <c r="P45" s="2005">
        <f t="shared" ref="P45:P52" si="189">M45</f>
        <v>2E-3</v>
      </c>
      <c r="Q45" s="2879"/>
      <c r="R45" s="2004"/>
      <c r="S45" s="2004">
        <f>ROUND(IF(项目基本情况!$B$8="出让",SUMPRODUCT(PRODUCT(1+L45:L$52)),SUMPRODUCT(PRODUCT(1+L45:L$51))),4)</f>
        <v>1.0286999999999999</v>
      </c>
      <c r="T45" s="2004">
        <f>ROUND(IF(项目基本情况!$B$8="出让",SUMPRODUCT(PRODUCT(1+M45:M$52)),SUMPRODUCT(PRODUCT(1+M45:M$51))),4)</f>
        <v>1.0164</v>
      </c>
      <c r="U45" s="2004">
        <f>ROUND(IF(项目基本情况!$B$8="出让",SUMPRODUCT(PRODUCT(1+N45:N$52)),SUMPRODUCT(PRODUCT(1+N45:N$51))),4)</f>
        <v>1.0506</v>
      </c>
      <c r="V45" s="2004"/>
      <c r="W45" s="2004">
        <f t="shared" ref="W45:W52" si="190">T45</f>
        <v>1.0164</v>
      </c>
      <c r="X45" s="2879"/>
      <c r="Y45" s="2005"/>
      <c r="Z45" s="2875">
        <f t="shared" ref="Z45:AD52" si="191">IF(E45=0,0,ROUND(AVERAGE(E45:E53)/100,4))</f>
        <v>4.0000000000000001E-3</v>
      </c>
      <c r="AA45" s="2876">
        <f t="shared" si="191"/>
        <v>2.5999999999999999E-3</v>
      </c>
      <c r="AB45" s="2005">
        <f t="shared" si="191"/>
        <v>7.4000000000000003E-3</v>
      </c>
      <c r="AC45" s="2877"/>
      <c r="AD45" s="2005">
        <f t="shared" si="191"/>
        <v>2.5999999999999999E-3</v>
      </c>
      <c r="AG45" s="3124">
        <f t="shared" si="129"/>
        <v>102.86999999999999</v>
      </c>
      <c r="AH45" s="3124">
        <f t="shared" si="130"/>
        <v>101.64</v>
      </c>
      <c r="AI45" s="3124">
        <f t="shared" si="131"/>
        <v>105.06</v>
      </c>
      <c r="AJ45" s="3126"/>
      <c r="AK45" s="3124">
        <f t="shared" si="132"/>
        <v>101.64</v>
      </c>
      <c r="AN45" s="3124">
        <f t="shared" si="148"/>
        <v>102.49342644257707</v>
      </c>
      <c r="AO45" s="3124">
        <f t="shared" si="159"/>
        <v>103.46794574174986</v>
      </c>
      <c r="AP45" s="3124">
        <f t="shared" si="160"/>
        <v>102.26113302649736</v>
      </c>
      <c r="AQ45" s="3124"/>
      <c r="AR45" s="3124">
        <f t="shared" si="161"/>
        <v>103.46794574174986</v>
      </c>
    </row>
    <row r="46" spans="1:44" s="2022" customFormat="1" ht="12.75">
      <c r="A46" s="2878" t="s">
        <v>3347</v>
      </c>
      <c r="B46" s="2008">
        <v>2022</v>
      </c>
      <c r="C46" s="2019">
        <v>3</v>
      </c>
      <c r="D46" s="1984"/>
      <c r="E46" s="1984">
        <v>0.3</v>
      </c>
      <c r="F46" s="1984">
        <v>0.28999999999999998</v>
      </c>
      <c r="G46" s="1984">
        <v>0.83</v>
      </c>
      <c r="H46" s="2890"/>
      <c r="I46" s="1985">
        <f t="shared" si="174"/>
        <v>0.28999999999999998</v>
      </c>
      <c r="J46" s="2879"/>
      <c r="K46" s="2020"/>
      <c r="L46" s="2005">
        <f t="shared" si="175"/>
        <v>3.0000000000000001E-3</v>
      </c>
      <c r="M46" s="2005">
        <f t="shared" si="175"/>
        <v>2.8999999999999998E-3</v>
      </c>
      <c r="N46" s="2005">
        <f t="shared" si="175"/>
        <v>8.3000000000000001E-3</v>
      </c>
      <c r="O46" s="2005"/>
      <c r="P46" s="2005">
        <f t="shared" si="189"/>
        <v>2.8999999999999998E-3</v>
      </c>
      <c r="Q46" s="2879"/>
      <c r="R46" s="2004"/>
      <c r="S46" s="2004">
        <f>ROUND(IF(项目基本情况!$B$8="出让",SUMPRODUCT(PRODUCT(1+L46:L$52)),SUMPRODUCT(PRODUCT(1+L46:L$51))),4)</f>
        <v>1.0241</v>
      </c>
      <c r="T46" s="2004">
        <f>ROUND(IF(项目基本情况!$B$8="出让",SUMPRODUCT(PRODUCT(1+M46:M$52)),SUMPRODUCT(PRODUCT(1+M46:M$51))),4)</f>
        <v>1.0144</v>
      </c>
      <c r="U46" s="2004">
        <f>ROUND(IF(项目基本情况!$B$8="出让",SUMPRODUCT(PRODUCT(1+N46:N$52)),SUMPRODUCT(PRODUCT(1+N46:N$51))),4)</f>
        <v>1.0467</v>
      </c>
      <c r="V46" s="2004"/>
      <c r="W46" s="2004">
        <f t="shared" si="190"/>
        <v>1.0144</v>
      </c>
      <c r="X46" s="2879"/>
      <c r="Y46" s="2005"/>
      <c r="Z46" s="2875">
        <f t="shared" si="191"/>
        <v>3.8999999999999998E-3</v>
      </c>
      <c r="AA46" s="2876">
        <f t="shared" si="191"/>
        <v>2.7000000000000001E-3</v>
      </c>
      <c r="AB46" s="2005">
        <f t="shared" si="191"/>
        <v>7.9000000000000008E-3</v>
      </c>
      <c r="AC46" s="2877"/>
      <c r="AD46" s="2005">
        <f t="shared" si="191"/>
        <v>2.7000000000000001E-3</v>
      </c>
      <c r="AG46" s="3124">
        <f t="shared" si="129"/>
        <v>102.41</v>
      </c>
      <c r="AH46" s="3124">
        <f t="shared" si="130"/>
        <v>101.44</v>
      </c>
      <c r="AI46" s="3124">
        <f t="shared" si="131"/>
        <v>104.67</v>
      </c>
      <c r="AJ46" s="3126"/>
      <c r="AK46" s="3124">
        <f t="shared" si="132"/>
        <v>101.44</v>
      </c>
      <c r="AN46" s="3124">
        <f t="shared" si="148"/>
        <v>102.03427221759789</v>
      </c>
      <c r="AO46" s="3124">
        <f t="shared" si="159"/>
        <v>103.26142289595795</v>
      </c>
      <c r="AP46" s="3124">
        <f t="shared" si="160"/>
        <v>101.87401178172679</v>
      </c>
      <c r="AQ46" s="3124"/>
      <c r="AR46" s="3124">
        <f t="shared" si="161"/>
        <v>103.26142289595795</v>
      </c>
    </row>
    <row r="47" spans="1:44" s="2022" customFormat="1" ht="12.75">
      <c r="A47" s="2878" t="s">
        <v>3337</v>
      </c>
      <c r="B47" s="2008">
        <v>2022</v>
      </c>
      <c r="C47" s="2019">
        <v>2</v>
      </c>
      <c r="D47" s="1984"/>
      <c r="E47" s="1984">
        <v>-0.11</v>
      </c>
      <c r="F47" s="1984">
        <v>-0.13</v>
      </c>
      <c r="G47" s="1984">
        <v>0.53</v>
      </c>
      <c r="H47" s="2890"/>
      <c r="I47" s="1985">
        <f t="shared" si="174"/>
        <v>-0.13</v>
      </c>
      <c r="J47" s="2879"/>
      <c r="K47" s="2020"/>
      <c r="L47" s="2005">
        <f t="shared" si="175"/>
        <v>-1.1000000000000001E-3</v>
      </c>
      <c r="M47" s="2005">
        <f t="shared" si="175"/>
        <v>-1.2999999999999999E-3</v>
      </c>
      <c r="N47" s="2005">
        <f t="shared" si="175"/>
        <v>5.3E-3</v>
      </c>
      <c r="O47" s="2005"/>
      <c r="P47" s="2005">
        <f t="shared" si="189"/>
        <v>-1.2999999999999999E-3</v>
      </c>
      <c r="Q47" s="2879"/>
      <c r="R47" s="2004"/>
      <c r="S47" s="2004">
        <f>ROUND(IF(项目基本情况!$B$8="出让",SUMPRODUCT(PRODUCT(1+L47:L$52)),SUMPRODUCT(PRODUCT(1+L47:L$51))),4)</f>
        <v>1.0210999999999999</v>
      </c>
      <c r="T47" s="2004">
        <f>ROUND(IF(项目基本情况!$B$8="出让",SUMPRODUCT(PRODUCT(1+M47:M$52)),SUMPRODUCT(PRODUCT(1+M47:M$51))),4)</f>
        <v>1.0114000000000001</v>
      </c>
      <c r="U47" s="2004">
        <f>ROUND(IF(项目基本情况!$B$8="出让",SUMPRODUCT(PRODUCT(1+N47:N$52)),SUMPRODUCT(PRODUCT(1+N47:N$51))),4)</f>
        <v>1.0381</v>
      </c>
      <c r="V47" s="2004"/>
      <c r="W47" s="2004">
        <f t="shared" si="190"/>
        <v>1.0114000000000001</v>
      </c>
      <c r="X47" s="2879"/>
      <c r="Y47" s="2005"/>
      <c r="Z47" s="2875">
        <f t="shared" si="191"/>
        <v>4.1000000000000003E-3</v>
      </c>
      <c r="AA47" s="2876">
        <f t="shared" si="191"/>
        <v>2.7000000000000001E-3</v>
      </c>
      <c r="AB47" s="2005">
        <f t="shared" si="191"/>
        <v>7.9000000000000008E-3</v>
      </c>
      <c r="AC47" s="2877"/>
      <c r="AD47" s="2005">
        <f t="shared" si="191"/>
        <v>2.7000000000000001E-3</v>
      </c>
      <c r="AG47" s="3124">
        <f t="shared" si="129"/>
        <v>102.10999999999999</v>
      </c>
      <c r="AH47" s="3124">
        <f t="shared" si="130"/>
        <v>101.14000000000001</v>
      </c>
      <c r="AI47" s="3124">
        <f t="shared" si="131"/>
        <v>103.81</v>
      </c>
      <c r="AJ47" s="3126"/>
      <c r="AK47" s="3124">
        <f t="shared" si="132"/>
        <v>101.14000000000001</v>
      </c>
      <c r="AN47" s="3124">
        <f t="shared" si="148"/>
        <v>101.72908496270976</v>
      </c>
      <c r="AO47" s="3124">
        <f t="shared" si="159"/>
        <v>102.96283068696576</v>
      </c>
      <c r="AP47" s="3124">
        <f t="shared" si="160"/>
        <v>101.03541781387166</v>
      </c>
      <c r="AQ47" s="3124"/>
      <c r="AR47" s="3124">
        <f t="shared" si="161"/>
        <v>102.96283068696576</v>
      </c>
    </row>
    <row r="48" spans="1:44" s="2022" customFormat="1" ht="12.75">
      <c r="A48" s="2878" t="s">
        <v>2819</v>
      </c>
      <c r="B48" s="2008">
        <v>2022</v>
      </c>
      <c r="C48" s="2019">
        <v>1</v>
      </c>
      <c r="D48" s="1984"/>
      <c r="E48" s="1984">
        <v>0.6</v>
      </c>
      <c r="F48" s="1984">
        <v>0.45</v>
      </c>
      <c r="G48" s="1984">
        <v>0.53</v>
      </c>
      <c r="H48" s="2890"/>
      <c r="I48" s="1985">
        <f t="shared" si="174"/>
        <v>0.45</v>
      </c>
      <c r="J48" s="2879"/>
      <c r="K48" s="2020"/>
      <c r="L48" s="2005">
        <f t="shared" si="175"/>
        <v>6.0000000000000001E-3</v>
      </c>
      <c r="M48" s="2005">
        <f t="shared" si="175"/>
        <v>4.5000000000000005E-3</v>
      </c>
      <c r="N48" s="2005">
        <f t="shared" si="175"/>
        <v>5.3E-3</v>
      </c>
      <c r="O48" s="2005"/>
      <c r="P48" s="2005">
        <f t="shared" si="189"/>
        <v>4.5000000000000005E-3</v>
      </c>
      <c r="Q48" s="2879"/>
      <c r="R48" s="2004"/>
      <c r="S48" s="2004">
        <f>ROUND(IF(项目基本情况!$B$8="出让",SUMPRODUCT(PRODUCT(1+L48:L$52)),SUMPRODUCT(PRODUCT(1+L48:L$51))),4)</f>
        <v>1.0222</v>
      </c>
      <c r="T48" s="2004">
        <f>ROUND(IF(项目基本情况!$B$8="出让",SUMPRODUCT(PRODUCT(1+M48:M$52)),SUMPRODUCT(PRODUCT(1+M48:M$51))),4)</f>
        <v>1.0127999999999999</v>
      </c>
      <c r="U48" s="2004">
        <f>ROUND(IF(项目基本情况!$B$8="出让",SUMPRODUCT(PRODUCT(1+N48:N$52)),SUMPRODUCT(PRODUCT(1+N48:N$51))),4)</f>
        <v>1.0326</v>
      </c>
      <c r="V48" s="2004"/>
      <c r="W48" s="2004">
        <f t="shared" si="190"/>
        <v>1.0127999999999999</v>
      </c>
      <c r="X48" s="2879"/>
      <c r="Y48" s="2005"/>
      <c r="Z48" s="2875">
        <f t="shared" si="191"/>
        <v>5.1000000000000004E-3</v>
      </c>
      <c r="AA48" s="2876">
        <f t="shared" si="191"/>
        <v>3.5000000000000001E-3</v>
      </c>
      <c r="AB48" s="2005">
        <f t="shared" si="191"/>
        <v>8.3999999999999995E-3</v>
      </c>
      <c r="AC48" s="2877"/>
      <c r="AD48" s="2005">
        <f t="shared" si="191"/>
        <v>3.5000000000000001E-3</v>
      </c>
      <c r="AG48" s="3124">
        <f t="shared" si="129"/>
        <v>102.22</v>
      </c>
      <c r="AH48" s="3124">
        <f t="shared" si="130"/>
        <v>101.27999999999999</v>
      </c>
      <c r="AI48" s="3124">
        <f t="shared" si="131"/>
        <v>103.25999999999999</v>
      </c>
      <c r="AJ48" s="3126"/>
      <c r="AK48" s="3124">
        <f t="shared" si="132"/>
        <v>101.27999999999999</v>
      </c>
      <c r="AN48" s="3124">
        <f t="shared" si="148"/>
        <v>101.84111018391206</v>
      </c>
      <c r="AO48" s="3124">
        <f t="shared" si="159"/>
        <v>103.09685660054646</v>
      </c>
      <c r="AP48" s="3124">
        <f t="shared" si="160"/>
        <v>100.50275322179613</v>
      </c>
      <c r="AQ48" s="3124"/>
      <c r="AR48" s="3124">
        <f t="shared" si="161"/>
        <v>103.09685660054646</v>
      </c>
    </row>
    <row r="49" spans="1:44" s="2022" customFormat="1" ht="12.75">
      <c r="A49" s="2878" t="s">
        <v>2820</v>
      </c>
      <c r="B49" s="2008">
        <v>2021</v>
      </c>
      <c r="C49" s="2019">
        <v>4</v>
      </c>
      <c r="D49" s="1984"/>
      <c r="E49" s="1984">
        <v>0.57999999999999996</v>
      </c>
      <c r="F49" s="1984">
        <v>0.08</v>
      </c>
      <c r="G49" s="1984">
        <v>0.68</v>
      </c>
      <c r="H49" s="2890"/>
      <c r="I49" s="1985">
        <f t="shared" si="174"/>
        <v>0.08</v>
      </c>
      <c r="J49" s="2879"/>
      <c r="K49" s="2020"/>
      <c r="L49" s="2005">
        <f t="shared" si="175"/>
        <v>5.7999999999999996E-3</v>
      </c>
      <c r="M49" s="2005">
        <f t="shared" si="175"/>
        <v>8.0000000000000004E-4</v>
      </c>
      <c r="N49" s="2005">
        <f t="shared" si="175"/>
        <v>6.8000000000000005E-3</v>
      </c>
      <c r="O49" s="2005"/>
      <c r="P49" s="2005">
        <f t="shared" si="189"/>
        <v>8.0000000000000004E-4</v>
      </c>
      <c r="Q49" s="2879"/>
      <c r="R49" s="2004"/>
      <c r="S49" s="2004">
        <f>ROUND(IF(项目基本情况!$B$8="出让",SUMPRODUCT(PRODUCT(1+L49:L$52)),SUMPRODUCT(PRODUCT(1+L49:L$51))),4)</f>
        <v>1.0161</v>
      </c>
      <c r="T49" s="2004">
        <f>ROUND(IF(项目基本情况!$B$8="出让",SUMPRODUCT(PRODUCT(1+M49:M$52)),SUMPRODUCT(PRODUCT(1+M49:M$51))),4)</f>
        <v>1.0082</v>
      </c>
      <c r="U49" s="2004">
        <f>ROUND(IF(项目基本情况!$B$8="出让",SUMPRODUCT(PRODUCT(1+N49:N$52)),SUMPRODUCT(PRODUCT(1+N49:N$51))),4)</f>
        <v>1.0270999999999999</v>
      </c>
      <c r="V49" s="2004"/>
      <c r="W49" s="2004">
        <f t="shared" si="190"/>
        <v>1.0082</v>
      </c>
      <c r="X49" s="2879"/>
      <c r="Y49" s="2005"/>
      <c r="Z49" s="2875">
        <f t="shared" si="191"/>
        <v>4.8999999999999998E-3</v>
      </c>
      <c r="AA49" s="2876">
        <f t="shared" si="191"/>
        <v>3.3E-3</v>
      </c>
      <c r="AB49" s="2005">
        <f t="shared" si="191"/>
        <v>9.1999999999999998E-3</v>
      </c>
      <c r="AC49" s="2877"/>
      <c r="AD49" s="2005">
        <f t="shared" si="191"/>
        <v>3.3E-3</v>
      </c>
      <c r="AG49" s="3124">
        <f t="shared" si="129"/>
        <v>101.61</v>
      </c>
      <c r="AH49" s="3124">
        <f t="shared" si="130"/>
        <v>100.82</v>
      </c>
      <c r="AI49" s="3124">
        <f t="shared" si="131"/>
        <v>102.71</v>
      </c>
      <c r="AJ49" s="3126"/>
      <c r="AK49" s="3124">
        <f t="shared" si="132"/>
        <v>100.82</v>
      </c>
      <c r="AN49" s="3124">
        <f t="shared" si="148"/>
        <v>101.23370793629429</v>
      </c>
      <c r="AO49" s="3124">
        <f t="shared" si="159"/>
        <v>102.63499910457587</v>
      </c>
      <c r="AP49" s="3124">
        <f t="shared" si="160"/>
        <v>99.972896868393633</v>
      </c>
      <c r="AQ49" s="3124"/>
      <c r="AR49" s="3124">
        <f t="shared" si="161"/>
        <v>102.63499910457587</v>
      </c>
    </row>
    <row r="50" spans="1:44" s="2022" customFormat="1" ht="12.75">
      <c r="A50" s="2878" t="s">
        <v>2821</v>
      </c>
      <c r="B50" s="2008">
        <v>2021</v>
      </c>
      <c r="C50" s="2019">
        <v>3</v>
      </c>
      <c r="D50" s="1984"/>
      <c r="E50" s="1984">
        <v>0.47</v>
      </c>
      <c r="F50" s="1984">
        <v>0.28000000000000003</v>
      </c>
      <c r="G50" s="1984">
        <v>0.91</v>
      </c>
      <c r="H50" s="2890"/>
      <c r="I50" s="1985">
        <f t="shared" si="174"/>
        <v>0.28000000000000003</v>
      </c>
      <c r="J50" s="2879"/>
      <c r="K50" s="2020"/>
      <c r="L50" s="2005">
        <f t="shared" si="175"/>
        <v>4.6999999999999993E-3</v>
      </c>
      <c r="M50" s="2005">
        <f t="shared" si="175"/>
        <v>2.8000000000000004E-3</v>
      </c>
      <c r="N50" s="2005">
        <f t="shared" si="175"/>
        <v>9.1000000000000004E-3</v>
      </c>
      <c r="O50" s="2005"/>
      <c r="P50" s="2005">
        <f t="shared" si="189"/>
        <v>2.8000000000000004E-3</v>
      </c>
      <c r="Q50" s="2879"/>
      <c r="R50" s="2004"/>
      <c r="S50" s="2004">
        <f>ROUND(IF(项目基本情况!$B$8="出让",SUMPRODUCT(PRODUCT(1+L50:L$52)),SUMPRODUCT(PRODUCT(1+L50:L$51))),4)</f>
        <v>1.0102</v>
      </c>
      <c r="T50" s="2004">
        <f>ROUND(IF(项目基本情况!$B$8="出让",SUMPRODUCT(PRODUCT(1+M50:M$52)),SUMPRODUCT(PRODUCT(1+M50:M$51))),4)</f>
        <v>1.0074000000000001</v>
      </c>
      <c r="U50" s="2004">
        <f>ROUND(IF(项目基本情况!$B$8="出让",SUMPRODUCT(PRODUCT(1+N50:N$52)),SUMPRODUCT(PRODUCT(1+N50:N$51))),4)</f>
        <v>1.0202</v>
      </c>
      <c r="V50" s="2004"/>
      <c r="W50" s="2004">
        <f t="shared" si="190"/>
        <v>1.0074000000000001</v>
      </c>
      <c r="X50" s="2879"/>
      <c r="Y50" s="2005"/>
      <c r="Z50" s="2875">
        <f t="shared" si="191"/>
        <v>4.5999999999999999E-3</v>
      </c>
      <c r="AA50" s="2876">
        <f t="shared" si="191"/>
        <v>4.1000000000000003E-3</v>
      </c>
      <c r="AB50" s="2005">
        <f t="shared" si="191"/>
        <v>0.01</v>
      </c>
      <c r="AC50" s="2877"/>
      <c r="AD50" s="2005">
        <f t="shared" si="191"/>
        <v>4.1000000000000003E-3</v>
      </c>
      <c r="AG50" s="3124">
        <f t="shared" si="129"/>
        <v>101.02</v>
      </c>
      <c r="AH50" s="3124">
        <f t="shared" si="130"/>
        <v>100.74000000000001</v>
      </c>
      <c r="AI50" s="3124">
        <f t="shared" si="131"/>
        <v>102.02</v>
      </c>
      <c r="AJ50" s="3126"/>
      <c r="AK50" s="3124">
        <f t="shared" si="132"/>
        <v>100.74000000000001</v>
      </c>
      <c r="AN50" s="3124">
        <f t="shared" si="148"/>
        <v>100.649938294188</v>
      </c>
      <c r="AO50" s="3124">
        <f t="shared" si="159"/>
        <v>102.55295673918452</v>
      </c>
      <c r="AP50" s="3124">
        <f t="shared" si="160"/>
        <v>99.297672694073938</v>
      </c>
      <c r="AQ50" s="3124"/>
      <c r="AR50" s="3124">
        <f t="shared" si="161"/>
        <v>102.55295673918452</v>
      </c>
    </row>
    <row r="51" spans="1:44" s="2022" customFormat="1" ht="12.75">
      <c r="A51" s="2878" t="s">
        <v>2822</v>
      </c>
      <c r="B51" s="2008">
        <v>2021</v>
      </c>
      <c r="C51" s="2019">
        <v>2</v>
      </c>
      <c r="D51" s="1984"/>
      <c r="E51" s="1984">
        <v>0.55000000000000004</v>
      </c>
      <c r="F51" s="1984">
        <v>0.46</v>
      </c>
      <c r="G51" s="1984">
        <v>1.1000000000000001</v>
      </c>
      <c r="H51" s="2890"/>
      <c r="I51" s="1985">
        <f t="shared" si="174"/>
        <v>0.46</v>
      </c>
      <c r="J51" s="2879"/>
      <c r="K51" s="2020"/>
      <c r="L51" s="2005">
        <f t="shared" si="175"/>
        <v>5.5000000000000005E-3</v>
      </c>
      <c r="M51" s="2005">
        <f t="shared" si="175"/>
        <v>4.5999999999999999E-3</v>
      </c>
      <c r="N51" s="2005">
        <f t="shared" si="175"/>
        <v>1.1000000000000001E-2</v>
      </c>
      <c r="O51" s="2005"/>
      <c r="P51" s="2005">
        <f t="shared" si="189"/>
        <v>4.5999999999999999E-3</v>
      </c>
      <c r="Q51" s="2879"/>
      <c r="R51" s="2004"/>
      <c r="S51" s="2004">
        <f>ROUND(IF(项目基本情况!$B$8="出让",SUMPRODUCT(PRODUCT(1+L51:L$52)),SUMPRODUCT(PRODUCT(1+L51:L$51))),4)</f>
        <v>1.0055000000000001</v>
      </c>
      <c r="T51" s="2004">
        <f>ROUND(IF(项目基本情况!$B$8="出让",SUMPRODUCT(PRODUCT(1+M51:M$52)),SUMPRODUCT(PRODUCT(1+M51:M$51))),4)</f>
        <v>1.0045999999999999</v>
      </c>
      <c r="U51" s="2004">
        <f>ROUND(IF(项目基本情况!$B$8="出让",SUMPRODUCT(PRODUCT(1+N51:N$52)),SUMPRODUCT(PRODUCT(1+N51:N$51))),4)</f>
        <v>1.0109999999999999</v>
      </c>
      <c r="V51" s="2004"/>
      <c r="W51" s="2004">
        <f t="shared" si="190"/>
        <v>1.0045999999999999</v>
      </c>
      <c r="X51" s="2879"/>
      <c r="Y51" s="2005"/>
      <c r="Z51" s="2875">
        <f t="shared" si="191"/>
        <v>4.4999999999999997E-3</v>
      </c>
      <c r="AA51" s="2876">
        <f t="shared" si="191"/>
        <v>4.7000000000000002E-3</v>
      </c>
      <c r="AB51" s="2005">
        <f t="shared" si="191"/>
        <v>1.04E-2</v>
      </c>
      <c r="AC51" s="2877"/>
      <c r="AD51" s="2005">
        <f t="shared" si="191"/>
        <v>4.7000000000000002E-3</v>
      </c>
      <c r="AG51" s="3124">
        <f>$AG$52*S51</f>
        <v>100.55000000000001</v>
      </c>
      <c r="AH51" s="3124">
        <f t="shared" ref="AH51:AK51" si="192">$AG$52*T51</f>
        <v>100.46</v>
      </c>
      <c r="AI51" s="3124">
        <f t="shared" si="192"/>
        <v>101.1</v>
      </c>
      <c r="AJ51" s="3126"/>
      <c r="AK51" s="3124">
        <f t="shared" si="192"/>
        <v>100.46</v>
      </c>
      <c r="AN51" s="3124">
        <f t="shared" si="148"/>
        <v>100.1790965404479</v>
      </c>
      <c r="AO51" s="3124">
        <f t="shared" si="159"/>
        <v>102.26661023053903</v>
      </c>
      <c r="AP51" s="3124">
        <f t="shared" si="160"/>
        <v>98.402212559779926</v>
      </c>
      <c r="AQ51" s="3124"/>
      <c r="AR51" s="3124">
        <f t="shared" si="161"/>
        <v>102.26661023053903</v>
      </c>
    </row>
    <row r="52" spans="1:44" s="2901" customFormat="1" ht="14.25" thickBot="1">
      <c r="A52" s="2891" t="s">
        <v>2808</v>
      </c>
      <c r="B52" s="2892">
        <v>2021</v>
      </c>
      <c r="C52" s="2893">
        <v>1</v>
      </c>
      <c r="D52" s="2894"/>
      <c r="E52" s="2894">
        <v>0.35</v>
      </c>
      <c r="F52" s="2894">
        <v>0.48</v>
      </c>
      <c r="G52" s="2894">
        <v>0.98</v>
      </c>
      <c r="H52" s="2895"/>
      <c r="I52" s="2896">
        <f t="shared" si="174"/>
        <v>0.48</v>
      </c>
      <c r="J52" s="2897"/>
      <c r="K52" s="2898"/>
      <c r="L52" s="2899">
        <f t="shared" si="175"/>
        <v>3.4999999999999996E-3</v>
      </c>
      <c r="M52" s="2899">
        <f>F52/100</f>
        <v>4.7999999999999996E-3</v>
      </c>
      <c r="N52" s="2899">
        <f t="shared" si="175"/>
        <v>9.7999999999999997E-3</v>
      </c>
      <c r="O52" s="2899"/>
      <c r="P52" s="2899">
        <f t="shared" si="189"/>
        <v>4.7999999999999996E-3</v>
      </c>
      <c r="Q52" s="2897"/>
      <c r="R52" s="2900"/>
      <c r="S52" s="2900">
        <v>1</v>
      </c>
      <c r="T52" s="2900">
        <v>1</v>
      </c>
      <c r="U52" s="2900">
        <v>1</v>
      </c>
      <c r="V52" s="2900"/>
      <c r="W52" s="2900">
        <f t="shared" si="190"/>
        <v>1</v>
      </c>
      <c r="X52" s="2897"/>
      <c r="Y52" s="2899"/>
      <c r="Z52" s="2907">
        <f t="shared" si="191"/>
        <v>3.5000000000000001E-3</v>
      </c>
      <c r="AA52" s="2908">
        <f t="shared" si="191"/>
        <v>4.7999999999999996E-3</v>
      </c>
      <c r="AB52" s="2899">
        <f t="shared" si="191"/>
        <v>9.7999999999999997E-3</v>
      </c>
      <c r="AC52" s="2909"/>
      <c r="AD52" s="2899">
        <f t="shared" si="191"/>
        <v>4.7999999999999996E-3</v>
      </c>
      <c r="AG52" s="3128">
        <v>100</v>
      </c>
      <c r="AH52" s="3128">
        <v>100</v>
      </c>
      <c r="AI52" s="3128">
        <v>100</v>
      </c>
      <c r="AJ52" s="3128"/>
      <c r="AK52" s="3128">
        <v>100</v>
      </c>
      <c r="AN52" s="3131">
        <f t="shared" si="148"/>
        <v>99.631125351017303</v>
      </c>
      <c r="AO52" s="3131">
        <f t="shared" si="159"/>
        <v>101.79833787630803</v>
      </c>
      <c r="AP52" s="3131">
        <f t="shared" si="160"/>
        <v>97.331565341028622</v>
      </c>
      <c r="AQ52" s="3131"/>
      <c r="AR52" s="3131">
        <f t="shared" si="161"/>
        <v>101.79833787630803</v>
      </c>
    </row>
    <row r="53" spans="1:44" ht="14.25" thickTop="1"/>
    <row r="54" spans="1:44">
      <c r="A54" s="3114" t="s">
        <v>3362</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606" t="s">
        <v>452</v>
      </c>
      <c r="C1" s="3606"/>
      <c r="D1" s="3606"/>
      <c r="E1" s="3606"/>
      <c r="F1" s="3606"/>
      <c r="G1" s="3602" t="s">
        <v>453</v>
      </c>
      <c r="H1" s="3602"/>
      <c r="I1" s="3602"/>
      <c r="J1" s="3602"/>
      <c r="K1" s="3602"/>
      <c r="L1" s="3602"/>
      <c r="N1" s="3602" t="s">
        <v>454</v>
      </c>
      <c r="O1" s="3602"/>
      <c r="P1" s="3602"/>
      <c r="Q1" s="3602"/>
      <c r="S1" s="3602" t="s">
        <v>455</v>
      </c>
      <c r="T1" s="3602"/>
      <c r="U1" s="3602"/>
      <c r="V1" s="3602"/>
      <c r="X1" s="3601" t="s">
        <v>456</v>
      </c>
      <c r="Y1" s="3602"/>
      <c r="Z1" s="3602"/>
      <c r="AA1" s="3602"/>
      <c r="AB1" s="3602"/>
      <c r="AD1" s="3601" t="s">
        <v>457</v>
      </c>
      <c r="AE1" s="3602"/>
      <c r="AF1" s="3602"/>
      <c r="AG1" s="3602"/>
      <c r="AH1" s="3602"/>
    </row>
    <row r="2" spans="1:34" s="1987" customFormat="1" ht="14.25" thickBot="1">
      <c r="B2" s="1988" t="s">
        <v>458</v>
      </c>
      <c r="C2" s="1988" t="s">
        <v>459</v>
      </c>
      <c r="D2" s="1989" t="s">
        <v>460</v>
      </c>
      <c r="E2" s="1989" t="s">
        <v>461</v>
      </c>
      <c r="F2" s="1988" t="s">
        <v>462</v>
      </c>
      <c r="G2" s="1990"/>
      <c r="I2" s="1988" t="s">
        <v>458</v>
      </c>
      <c r="J2" s="1989" t="s">
        <v>673</v>
      </c>
      <c r="K2" s="1989" t="s">
        <v>308</v>
      </c>
      <c r="L2" s="1988" t="s">
        <v>462</v>
      </c>
      <c r="N2" s="1988" t="s">
        <v>458</v>
      </c>
      <c r="O2" s="1989" t="s">
        <v>673</v>
      </c>
      <c r="P2" s="1989" t="s">
        <v>308</v>
      </c>
      <c r="Q2" s="1988" t="s">
        <v>462</v>
      </c>
      <c r="S2" s="1988" t="s">
        <v>458</v>
      </c>
      <c r="T2" s="1989" t="s">
        <v>673</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2109</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3345</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3342</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2110</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3343</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3344</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2420</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2297</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2296</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2295</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2292</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2291</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2125</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2123</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2122</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2121</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2119</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2118</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2120</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60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2116</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60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2115</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60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2108</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61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2106</v>
      </c>
      <c r="B25" s="2026">
        <v>439</v>
      </c>
      <c r="C25" s="2026">
        <v>327</v>
      </c>
      <c r="D25" s="2026">
        <f>C25</f>
        <v>327</v>
      </c>
      <c r="E25" s="2026">
        <v>627</v>
      </c>
      <c r="F25" s="2027">
        <v>283</v>
      </c>
      <c r="G25" s="360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2107</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60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674</v>
      </c>
      <c r="B27" s="2018">
        <f t="shared" si="232"/>
        <v>419.31181600000002</v>
      </c>
      <c r="C27" s="2018">
        <f t="shared" si="233"/>
        <v>313.95436800000004</v>
      </c>
      <c r="D27" s="2018">
        <f t="shared" si="234"/>
        <v>313.95436800000004</v>
      </c>
      <c r="E27" s="2018">
        <f t="shared" si="235"/>
        <v>596.63028431999999</v>
      </c>
      <c r="F27" s="2018">
        <f t="shared" si="236"/>
        <v>274.74220703999998</v>
      </c>
      <c r="G27" s="360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61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60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60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60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60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60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60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60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60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60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60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60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60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60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60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60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61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60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60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60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60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60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60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60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60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60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60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60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60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60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60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60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60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60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60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60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60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60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60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60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60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60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60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60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60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60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60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60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60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60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60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60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60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60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60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60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60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60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60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60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60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614" t="s">
        <v>2823</v>
      </c>
      <c r="B1" s="3614"/>
      <c r="C1" s="3614"/>
      <c r="D1" s="3614"/>
      <c r="E1" s="3614"/>
      <c r="F1" s="3614"/>
      <c r="G1" s="3615"/>
      <c r="I1" s="2911" t="s">
        <v>2824</v>
      </c>
      <c r="J1" s="2912" t="s">
        <v>2825</v>
      </c>
      <c r="K1" s="2912" t="s">
        <v>2826</v>
      </c>
      <c r="L1" s="2912" t="s">
        <v>2827</v>
      </c>
      <c r="M1" s="2912" t="s">
        <v>2828</v>
      </c>
      <c r="N1" s="2912" t="s">
        <v>2829</v>
      </c>
      <c r="O1" s="2912" t="s">
        <v>2830</v>
      </c>
      <c r="P1" s="2912" t="s">
        <v>2831</v>
      </c>
      <c r="Q1" s="2912" t="s">
        <v>2832</v>
      </c>
      <c r="R1" s="2912" t="s">
        <v>2833</v>
      </c>
      <c r="S1" s="2912" t="s">
        <v>2834</v>
      </c>
      <c r="T1" s="2913" t="s">
        <v>2835</v>
      </c>
    </row>
    <row r="2" spans="1:20" ht="12" thickBot="1">
      <c r="A2" s="2914" t="s">
        <v>2836</v>
      </c>
      <c r="B2" s="2914"/>
      <c r="C2" s="2914"/>
      <c r="D2" s="2914"/>
      <c r="E2" s="2914"/>
      <c r="F2" s="2914"/>
      <c r="G2" s="2915" t="s">
        <v>2837</v>
      </c>
      <c r="I2" s="2916" t="s">
        <v>2838</v>
      </c>
      <c r="J2" s="2916" t="s">
        <v>2839</v>
      </c>
      <c r="K2" s="2916" t="s">
        <v>2840</v>
      </c>
      <c r="L2" s="2916" t="s">
        <v>2841</v>
      </c>
      <c r="M2" s="2916" t="s">
        <v>2842</v>
      </c>
      <c r="N2" s="2916" t="s">
        <v>2843</v>
      </c>
      <c r="O2" s="2916" t="s">
        <v>2844</v>
      </c>
      <c r="P2" s="2916" t="s">
        <v>2845</v>
      </c>
      <c r="Q2" s="2916" t="s">
        <v>2846</v>
      </c>
      <c r="R2" s="2916" t="s">
        <v>2847</v>
      </c>
      <c r="S2" s="2916" t="s">
        <v>2848</v>
      </c>
      <c r="T2" s="2916" t="s">
        <v>2849</v>
      </c>
    </row>
    <row r="3" spans="1:20" s="2922" customFormat="1">
      <c r="A3" s="3612" t="s">
        <v>2850</v>
      </c>
      <c r="B3" s="2917"/>
      <c r="C3" s="2918" t="s">
        <v>2795</v>
      </c>
      <c r="D3" s="2918" t="s">
        <v>2851</v>
      </c>
      <c r="E3" s="2918" t="s">
        <v>2797</v>
      </c>
      <c r="F3" s="2918" t="s">
        <v>2852</v>
      </c>
      <c r="G3" s="2918" t="s">
        <v>2615</v>
      </c>
      <c r="H3" s="2919"/>
      <c r="I3" s="2920" t="s">
        <v>2853</v>
      </c>
      <c r="J3" s="2921" t="s">
        <v>128</v>
      </c>
      <c r="K3" s="2921" t="s">
        <v>129</v>
      </c>
      <c r="L3" s="2920" t="s">
        <v>130</v>
      </c>
      <c r="M3" s="2920" t="s">
        <v>131</v>
      </c>
      <c r="N3" s="2920" t="s">
        <v>132</v>
      </c>
      <c r="O3" s="2920" t="s">
        <v>133</v>
      </c>
      <c r="P3" s="2920" t="s">
        <v>134</v>
      </c>
      <c r="Q3" s="2920" t="s">
        <v>135</v>
      </c>
      <c r="R3" s="2920" t="s">
        <v>136</v>
      </c>
      <c r="S3" s="2920" t="s">
        <v>2854</v>
      </c>
      <c r="T3" s="2920" t="s">
        <v>2855</v>
      </c>
    </row>
    <row r="4" spans="1:20" s="2922" customFormat="1" ht="12" thickBot="1">
      <c r="A4" s="3613"/>
      <c r="B4" s="2923" t="s">
        <v>2856</v>
      </c>
      <c r="C4" s="2923" t="s">
        <v>2857</v>
      </c>
      <c r="D4" s="2923" t="s">
        <v>2857</v>
      </c>
      <c r="E4" s="2923" t="s">
        <v>2857</v>
      </c>
      <c r="F4" s="2924" t="s">
        <v>2857</v>
      </c>
      <c r="G4" s="2924" t="s">
        <v>2857</v>
      </c>
      <c r="H4" s="2919"/>
      <c r="I4" s="2921" t="s">
        <v>137</v>
      </c>
      <c r="J4" s="2921" t="s">
        <v>111</v>
      </c>
      <c r="K4" s="2921" t="s">
        <v>138</v>
      </c>
      <c r="L4" s="2920" t="s">
        <v>139</v>
      </c>
      <c r="M4" s="2920" t="s">
        <v>140</v>
      </c>
      <c r="N4" s="2920" t="s">
        <v>141</v>
      </c>
      <c r="O4" s="2920" t="s">
        <v>142</v>
      </c>
      <c r="P4" s="2920" t="s">
        <v>143</v>
      </c>
      <c r="Q4" s="2920" t="s">
        <v>2858</v>
      </c>
      <c r="R4" s="2920" t="s">
        <v>2859</v>
      </c>
      <c r="S4" s="2920" t="s">
        <v>2860</v>
      </c>
      <c r="T4" s="2920" t="s">
        <v>2861</v>
      </c>
    </row>
    <row r="5" spans="1:20">
      <c r="A5" s="2925" t="s">
        <v>2824</v>
      </c>
      <c r="B5" s="2916" t="s">
        <v>2838</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2862</v>
      </c>
      <c r="R5" s="2920" t="s">
        <v>2863</v>
      </c>
      <c r="S5" s="2920" t="s">
        <v>153</v>
      </c>
      <c r="T5" s="2920" t="s">
        <v>2864</v>
      </c>
    </row>
    <row r="6" spans="1:20" ht="12" thickBot="1">
      <c r="A6" s="2920" t="s">
        <v>144</v>
      </c>
      <c r="B6" s="2920" t="s">
        <v>2853</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2865</v>
      </c>
      <c r="Q6" s="2920" t="s">
        <v>2866</v>
      </c>
      <c r="R6" s="2920" t="s">
        <v>161</v>
      </c>
      <c r="S6" s="2920" t="s">
        <v>2867</v>
      </c>
      <c r="T6" s="2920" t="s">
        <v>2868</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2869</v>
      </c>
      <c r="Q7" s="2920" t="s">
        <v>2870</v>
      </c>
      <c r="R7" s="2920" t="s">
        <v>2871</v>
      </c>
      <c r="S7" s="2920" t="s">
        <v>2872</v>
      </c>
      <c r="T7" s="2920" t="s">
        <v>2873</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2874</v>
      </c>
      <c r="Q8" s="2920" t="s">
        <v>174</v>
      </c>
      <c r="R8" s="2920" t="s">
        <v>2875</v>
      </c>
      <c r="S8" s="2920" t="s">
        <v>2876</v>
      </c>
      <c r="T8" s="2927" t="s">
        <v>2877</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2878</v>
      </c>
      <c r="Q9" s="2920" t="s">
        <v>182</v>
      </c>
      <c r="R9" s="2920" t="s">
        <v>183</v>
      </c>
      <c r="S9" s="2920" t="s">
        <v>200</v>
      </c>
    </row>
    <row r="10" spans="1:20">
      <c r="A10" s="2925" t="s">
        <v>184</v>
      </c>
      <c r="B10" s="2916" t="s">
        <v>2839</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2879</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2880</v>
      </c>
      <c r="P11" s="2920" t="s">
        <v>191</v>
      </c>
      <c r="Q11" s="2920" t="s">
        <v>199</v>
      </c>
      <c r="R11" s="2920" t="s">
        <v>2881</v>
      </c>
      <c r="S11" s="2920" t="s">
        <v>2882</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2883</v>
      </c>
      <c r="P12" s="2920" t="s">
        <v>2884</v>
      </c>
      <c r="Q12" s="2920" t="s">
        <v>2885</v>
      </c>
      <c r="R12" s="2920" t="s">
        <v>2886</v>
      </c>
      <c r="S12" s="2920" t="s">
        <v>2887</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2888</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2889</v>
      </c>
      <c r="K14" s="2921" t="s">
        <v>215</v>
      </c>
      <c r="L14" s="2920" t="s">
        <v>216</v>
      </c>
      <c r="M14" s="2920" t="s">
        <v>217</v>
      </c>
      <c r="N14" s="2920" t="s">
        <v>218</v>
      </c>
      <c r="O14" s="2920" t="s">
        <v>240</v>
      </c>
      <c r="P14" s="2920" t="s">
        <v>213</v>
      </c>
      <c r="Q14" s="2920" t="s">
        <v>2890</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2891</v>
      </c>
      <c r="P15" s="2920" t="s">
        <v>2892</v>
      </c>
      <c r="Q15" s="2920" t="s">
        <v>242</v>
      </c>
      <c r="R15" s="2920" t="s">
        <v>2893</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2894</v>
      </c>
      <c r="P16" s="2920" t="s">
        <v>227</v>
      </c>
      <c r="Q16" s="2920" t="s">
        <v>250</v>
      </c>
      <c r="R16" s="2920" t="s">
        <v>207</v>
      </c>
      <c r="S16" s="2920" t="s">
        <v>2895</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2896</v>
      </c>
      <c r="P17" s="2920" t="s">
        <v>2897</v>
      </c>
      <c r="Q17" s="2920" t="s">
        <v>256</v>
      </c>
      <c r="R17" s="2920" t="s">
        <v>2898</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2899</v>
      </c>
      <c r="P18" s="2920" t="s">
        <v>241</v>
      </c>
      <c r="Q18" s="2920" t="s">
        <v>2900</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2901</v>
      </c>
      <c r="P19" s="2920" t="s">
        <v>249</v>
      </c>
      <c r="Q19" s="2920" t="s">
        <v>2902</v>
      </c>
      <c r="R19" s="2920" t="s">
        <v>265</v>
      </c>
      <c r="S19" s="2920" t="s">
        <v>2903</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2904</v>
      </c>
      <c r="P20" s="2920" t="s">
        <v>2905</v>
      </c>
      <c r="Q20" s="2920" t="s">
        <v>290</v>
      </c>
      <c r="R20" s="2920" t="s">
        <v>2906</v>
      </c>
      <c r="S20" s="2920" t="s">
        <v>277</v>
      </c>
    </row>
    <row r="21" spans="1:19" ht="14.25" customHeight="1" thickBot="1">
      <c r="A21" s="2920" t="s">
        <v>184</v>
      </c>
      <c r="B21" s="2921" t="s">
        <v>208</v>
      </c>
      <c r="C21" s="2920">
        <v>32370</v>
      </c>
      <c r="D21" s="2920">
        <v>26730</v>
      </c>
      <c r="E21" s="2920">
        <v>26640</v>
      </c>
      <c r="F21" s="2920"/>
      <c r="G21" s="2920">
        <v>19440</v>
      </c>
      <c r="J21" s="2927" t="s">
        <v>2907</v>
      </c>
      <c r="K21" s="2921" t="s">
        <v>267</v>
      </c>
      <c r="L21" s="2920" t="s">
        <v>268</v>
      </c>
      <c r="M21" s="2920" t="s">
        <v>269</v>
      </c>
      <c r="N21" s="2920" t="s">
        <v>270</v>
      </c>
      <c r="O21" s="2920" t="s">
        <v>264</v>
      </c>
      <c r="P21" s="2920" t="s">
        <v>283</v>
      </c>
      <c r="Q21" s="2920" t="s">
        <v>293</v>
      </c>
      <c r="R21" s="2920" t="s">
        <v>2908</v>
      </c>
      <c r="S21" s="2927" t="s">
        <v>2909</v>
      </c>
    </row>
    <row r="22" spans="1:19" ht="14.25" customHeight="1">
      <c r="A22" s="2920" t="s">
        <v>184</v>
      </c>
      <c r="B22" s="2921" t="s">
        <v>2889</v>
      </c>
      <c r="C22" s="2920">
        <v>29830</v>
      </c>
      <c r="D22" s="2920">
        <v>27600</v>
      </c>
      <c r="E22" s="2920">
        <v>28150</v>
      </c>
      <c r="F22" s="2920"/>
      <c r="G22" s="2920">
        <v>20080</v>
      </c>
      <c r="K22" s="2921" t="s">
        <v>2910</v>
      </c>
      <c r="L22" s="2920" t="s">
        <v>272</v>
      </c>
      <c r="M22" s="2920" t="s">
        <v>273</v>
      </c>
      <c r="N22" s="2920" t="s">
        <v>274</v>
      </c>
      <c r="O22" s="2920" t="s">
        <v>2911</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2912</v>
      </c>
      <c r="L23" s="2920" t="s">
        <v>278</v>
      </c>
      <c r="M23" s="2920" t="s">
        <v>279</v>
      </c>
      <c r="N23" s="2920" t="s">
        <v>2913</v>
      </c>
      <c r="O23" s="2920" t="s">
        <v>2914</v>
      </c>
      <c r="P23" s="2920" t="s">
        <v>289</v>
      </c>
      <c r="Q23" s="2920" t="s">
        <v>298</v>
      </c>
      <c r="R23" s="2920" t="s">
        <v>2915</v>
      </c>
    </row>
    <row r="24" spans="1:19" ht="14.25" customHeight="1">
      <c r="A24" s="2920" t="s">
        <v>184</v>
      </c>
      <c r="B24" s="2921" t="s">
        <v>230</v>
      </c>
      <c r="C24" s="2920">
        <v>27930</v>
      </c>
      <c r="D24" s="2920">
        <v>32260</v>
      </c>
      <c r="E24" s="2920">
        <v>32120</v>
      </c>
      <c r="F24" s="2920"/>
      <c r="G24" s="2920">
        <v>23470</v>
      </c>
      <c r="K24" s="2921" t="s">
        <v>2916</v>
      </c>
      <c r="L24" s="2920" t="s">
        <v>281</v>
      </c>
      <c r="M24" s="2920" t="s">
        <v>282</v>
      </c>
      <c r="N24" s="2920" t="s">
        <v>2917</v>
      </c>
      <c r="O24" s="2920" t="s">
        <v>285</v>
      </c>
      <c r="P24" s="2920" t="s">
        <v>2918</v>
      </c>
      <c r="Q24" s="2929" t="s">
        <v>2919</v>
      </c>
      <c r="R24" s="2920" t="s">
        <v>2920</v>
      </c>
    </row>
    <row r="25" spans="1:19" ht="14.25" customHeight="1">
      <c r="A25" s="2920" t="s">
        <v>184</v>
      </c>
      <c r="B25" s="2921" t="s">
        <v>235</v>
      </c>
      <c r="C25" s="2920">
        <v>32230</v>
      </c>
      <c r="D25" s="2920">
        <v>29640</v>
      </c>
      <c r="E25" s="2920">
        <v>29510</v>
      </c>
      <c r="F25" s="2920"/>
      <c r="G25" s="2920">
        <v>21560</v>
      </c>
      <c r="K25" s="2921" t="s">
        <v>2921</v>
      </c>
      <c r="L25" s="2920" t="s">
        <v>2922</v>
      </c>
      <c r="M25" s="2920" t="s">
        <v>284</v>
      </c>
      <c r="N25" s="2920" t="s">
        <v>292</v>
      </c>
      <c r="O25" s="2920" t="s">
        <v>288</v>
      </c>
      <c r="P25" s="2920" t="s">
        <v>275</v>
      </c>
      <c r="Q25" s="2929" t="s">
        <v>271</v>
      </c>
      <c r="R25" s="2920" t="s">
        <v>2923</v>
      </c>
    </row>
    <row r="26" spans="1:19" ht="14.25" customHeight="1" thickBot="1">
      <c r="A26" s="2920" t="s">
        <v>184</v>
      </c>
      <c r="B26" s="2921" t="s">
        <v>244</v>
      </c>
      <c r="C26" s="2920">
        <v>31690</v>
      </c>
      <c r="D26" s="2920">
        <v>27650</v>
      </c>
      <c r="E26" s="2920">
        <v>28200</v>
      </c>
      <c r="F26" s="2920"/>
      <c r="G26" s="2920">
        <v>20110</v>
      </c>
      <c r="K26" s="2926" t="s">
        <v>2924</v>
      </c>
      <c r="L26" s="2920" t="s">
        <v>2925</v>
      </c>
      <c r="M26" s="2920" t="s">
        <v>287</v>
      </c>
      <c r="N26" s="2920" t="s">
        <v>294</v>
      </c>
      <c r="O26" s="2920" t="s">
        <v>2926</v>
      </c>
      <c r="P26" s="2920" t="s">
        <v>2927</v>
      </c>
      <c r="Q26" s="2929" t="s">
        <v>276</v>
      </c>
      <c r="R26" s="2920" t="s">
        <v>2928</v>
      </c>
    </row>
    <row r="27" spans="1:19" ht="14.25" customHeight="1">
      <c r="A27" s="2920" t="s">
        <v>184</v>
      </c>
      <c r="B27" s="2921" t="s">
        <v>251</v>
      </c>
      <c r="C27" s="2920">
        <v>29610</v>
      </c>
      <c r="D27" s="2920">
        <v>27770</v>
      </c>
      <c r="E27" s="2920">
        <v>28300</v>
      </c>
      <c r="F27" s="2920"/>
      <c r="G27" s="2920">
        <v>20210</v>
      </c>
      <c r="L27" s="2920" t="s">
        <v>2929</v>
      </c>
      <c r="M27" s="2920" t="s">
        <v>291</v>
      </c>
      <c r="N27" s="2920" t="s">
        <v>297</v>
      </c>
      <c r="O27" s="2920" t="s">
        <v>2930</v>
      </c>
      <c r="P27" s="2920" t="s">
        <v>2931</v>
      </c>
      <c r="Q27" s="2920" t="s">
        <v>2932</v>
      </c>
      <c r="R27" s="2920" t="s">
        <v>2933</v>
      </c>
    </row>
    <row r="28" spans="1:19" ht="14.25" customHeight="1">
      <c r="A28" s="2920" t="s">
        <v>184</v>
      </c>
      <c r="B28" s="2921" t="s">
        <v>259</v>
      </c>
      <c r="C28" s="2920"/>
      <c r="D28" s="2920">
        <v>31520</v>
      </c>
      <c r="E28" s="2920">
        <v>31410</v>
      </c>
      <c r="F28" s="2920"/>
      <c r="G28" s="2920">
        <v>22940</v>
      </c>
      <c r="L28" s="2920" t="s">
        <v>2934</v>
      </c>
      <c r="M28" s="2920" t="s">
        <v>2935</v>
      </c>
      <c r="N28" s="2920" t="s">
        <v>2936</v>
      </c>
      <c r="O28" s="2920" t="s">
        <v>2937</v>
      </c>
      <c r="P28" s="2920" t="s">
        <v>2938</v>
      </c>
      <c r="Q28" s="2920" t="s">
        <v>2939</v>
      </c>
      <c r="R28" s="2920" t="s">
        <v>2940</v>
      </c>
    </row>
    <row r="29" spans="1:19" ht="14.25" customHeight="1" thickBot="1">
      <c r="A29" s="2928" t="s">
        <v>184</v>
      </c>
      <c r="B29" s="2930" t="s">
        <v>2907</v>
      </c>
      <c r="C29" s="2931"/>
      <c r="D29" s="2931">
        <v>29460</v>
      </c>
      <c r="E29" s="2931">
        <v>28640</v>
      </c>
      <c r="F29" s="2931"/>
      <c r="G29" s="2931">
        <v>21430</v>
      </c>
      <c r="L29" s="2920" t="s">
        <v>2941</v>
      </c>
      <c r="M29" s="2920" t="s">
        <v>2942</v>
      </c>
      <c r="N29" s="2920" t="s">
        <v>2943</v>
      </c>
      <c r="O29" s="2920" t="s">
        <v>2944</v>
      </c>
      <c r="P29" s="2920" t="s">
        <v>2945</v>
      </c>
      <c r="Q29" s="2920" t="s">
        <v>2946</v>
      </c>
      <c r="R29" s="2920" t="s">
        <v>280</v>
      </c>
    </row>
    <row r="30" spans="1:19" ht="14.25" customHeight="1">
      <c r="A30" s="2925" t="s">
        <v>296</v>
      </c>
      <c r="B30" s="2916" t="s">
        <v>2840</v>
      </c>
      <c r="C30" s="2916">
        <v>26890</v>
      </c>
      <c r="D30" s="2916">
        <v>26770</v>
      </c>
      <c r="E30" s="2916">
        <v>25700</v>
      </c>
      <c r="F30" s="2916">
        <v>8180</v>
      </c>
      <c r="G30" s="2932">
        <v>18740</v>
      </c>
      <c r="L30" s="2920" t="s">
        <v>2947</v>
      </c>
      <c r="M30" s="2920" t="s">
        <v>2948</v>
      </c>
      <c r="N30" s="2920" t="s">
        <v>2949</v>
      </c>
      <c r="O30" s="2920" t="s">
        <v>2950</v>
      </c>
      <c r="P30" s="2920" t="s">
        <v>2951</v>
      </c>
      <c r="Q30" s="2920" t="s">
        <v>2952</v>
      </c>
      <c r="R30" s="2920" t="s">
        <v>2953</v>
      </c>
    </row>
    <row r="31" spans="1:19" ht="14.25" customHeight="1">
      <c r="A31" s="2920" t="s">
        <v>296</v>
      </c>
      <c r="B31" s="2921" t="s">
        <v>129</v>
      </c>
      <c r="C31" s="2920">
        <v>24550</v>
      </c>
      <c r="D31" s="2920">
        <v>23990</v>
      </c>
      <c r="E31" s="2920">
        <v>22930</v>
      </c>
      <c r="F31" s="2920">
        <v>7470</v>
      </c>
      <c r="G31" s="2933">
        <v>16790</v>
      </c>
      <c r="L31" s="2920" t="s">
        <v>2954</v>
      </c>
      <c r="M31" s="2920" t="s">
        <v>2955</v>
      </c>
      <c r="N31" s="2920" t="s">
        <v>2956</v>
      </c>
      <c r="O31" s="2920" t="s">
        <v>2957</v>
      </c>
      <c r="P31" s="2920" t="s">
        <v>2958</v>
      </c>
      <c r="Q31" s="2920" t="s">
        <v>2959</v>
      </c>
      <c r="R31" s="2920" t="s">
        <v>2960</v>
      </c>
    </row>
    <row r="32" spans="1:19" ht="14.25" customHeight="1" thickBot="1">
      <c r="A32" s="2920" t="s">
        <v>296</v>
      </c>
      <c r="B32" s="2921" t="s">
        <v>138</v>
      </c>
      <c r="C32" s="2920">
        <v>27210</v>
      </c>
      <c r="D32" s="2920">
        <v>23240</v>
      </c>
      <c r="E32" s="2920">
        <v>23260</v>
      </c>
      <c r="F32" s="2920">
        <v>7130</v>
      </c>
      <c r="G32" s="2933">
        <v>16270</v>
      </c>
      <c r="L32" s="2920" t="s">
        <v>2961</v>
      </c>
      <c r="M32" s="2920" t="s">
        <v>2962</v>
      </c>
      <c r="N32" s="2920" t="s">
        <v>300</v>
      </c>
      <c r="O32" s="2920" t="s">
        <v>2963</v>
      </c>
      <c r="P32" s="2920" t="s">
        <v>299</v>
      </c>
      <c r="Q32" s="2920" t="s">
        <v>2964</v>
      </c>
      <c r="R32" s="2927" t="s">
        <v>2965</v>
      </c>
    </row>
    <row r="33" spans="1:17" ht="14.25" customHeight="1" thickBot="1">
      <c r="A33" s="2920" t="s">
        <v>296</v>
      </c>
      <c r="B33" s="2921" t="s">
        <v>147</v>
      </c>
      <c r="C33" s="2920">
        <v>27300</v>
      </c>
      <c r="D33" s="2920">
        <v>22980</v>
      </c>
      <c r="E33" s="2920">
        <v>24260</v>
      </c>
      <c r="F33" s="2920">
        <v>5860</v>
      </c>
      <c r="G33" s="2933">
        <v>16090</v>
      </c>
      <c r="L33" s="2927" t="s">
        <v>2966</v>
      </c>
      <c r="M33" s="2920" t="s">
        <v>2967</v>
      </c>
      <c r="N33" s="2920" t="s">
        <v>301</v>
      </c>
      <c r="O33" s="2920" t="s">
        <v>2968</v>
      </c>
      <c r="P33" s="2920" t="s">
        <v>2969</v>
      </c>
      <c r="Q33" s="2920" t="s">
        <v>2970</v>
      </c>
    </row>
    <row r="34" spans="1:17" ht="14.25" customHeight="1">
      <c r="A34" s="2920" t="s">
        <v>296</v>
      </c>
      <c r="B34" s="2921" t="s">
        <v>156</v>
      </c>
      <c r="C34" s="2920">
        <v>23090</v>
      </c>
      <c r="D34" s="2920">
        <v>23390</v>
      </c>
      <c r="E34" s="2920">
        <v>23510</v>
      </c>
      <c r="F34" s="2920">
        <v>6700</v>
      </c>
      <c r="G34" s="2933">
        <v>16370</v>
      </c>
      <c r="M34" s="2920" t="s">
        <v>2971</v>
      </c>
      <c r="N34" s="2920" t="s">
        <v>302</v>
      </c>
      <c r="O34" s="2920" t="s">
        <v>2972</v>
      </c>
      <c r="P34" s="2920" t="s">
        <v>2973</v>
      </c>
      <c r="Q34" s="2920" t="s">
        <v>2974</v>
      </c>
    </row>
    <row r="35" spans="1:17" ht="14.25" customHeight="1">
      <c r="A35" s="2920" t="s">
        <v>296</v>
      </c>
      <c r="B35" s="2921" t="s">
        <v>163</v>
      </c>
      <c r="C35" s="2920">
        <v>27270</v>
      </c>
      <c r="D35" s="2920">
        <v>24270</v>
      </c>
      <c r="E35" s="2920">
        <v>24950</v>
      </c>
      <c r="F35" s="2920">
        <v>6600</v>
      </c>
      <c r="G35" s="2933">
        <v>16990</v>
      </c>
      <c r="M35" s="2920" t="s">
        <v>2975</v>
      </c>
      <c r="N35" s="2920" t="s">
        <v>2976</v>
      </c>
      <c r="O35" s="2920" t="s">
        <v>2977</v>
      </c>
      <c r="P35" s="2920" t="s">
        <v>2978</v>
      </c>
      <c r="Q35" s="2920" t="s">
        <v>2979</v>
      </c>
    </row>
    <row r="36" spans="1:17" ht="14.25" customHeight="1">
      <c r="A36" s="2920" t="s">
        <v>296</v>
      </c>
      <c r="B36" s="2921" t="s">
        <v>169</v>
      </c>
      <c r="C36" s="2920">
        <v>23490</v>
      </c>
      <c r="D36" s="2920">
        <v>23020</v>
      </c>
      <c r="E36" s="2920">
        <v>25230</v>
      </c>
      <c r="F36" s="2920">
        <v>6780</v>
      </c>
      <c r="G36" s="2933">
        <v>16120</v>
      </c>
      <c r="M36" s="2920" t="s">
        <v>2980</v>
      </c>
      <c r="N36" s="2920" t="s">
        <v>2981</v>
      </c>
      <c r="O36" s="2920" t="s">
        <v>2982</v>
      </c>
      <c r="P36" s="2920" t="s">
        <v>2983</v>
      </c>
      <c r="Q36" s="2920" t="s">
        <v>2984</v>
      </c>
    </row>
    <row r="37" spans="1:17" ht="14.25" customHeight="1">
      <c r="A37" s="2920" t="s">
        <v>296</v>
      </c>
      <c r="B37" s="2921" t="s">
        <v>176</v>
      </c>
      <c r="C37" s="2920">
        <v>24380</v>
      </c>
      <c r="D37" s="2920">
        <v>22240</v>
      </c>
      <c r="E37" s="2920">
        <v>25980</v>
      </c>
      <c r="F37" s="2920">
        <v>8160</v>
      </c>
      <c r="G37" s="2933">
        <v>15570</v>
      </c>
      <c r="M37" s="2920" t="s">
        <v>2985</v>
      </c>
      <c r="N37" s="2920" t="s">
        <v>2986</v>
      </c>
      <c r="O37" s="2920" t="s">
        <v>2987</v>
      </c>
      <c r="P37" s="2920" t="s">
        <v>2988</v>
      </c>
      <c r="Q37" s="2920" t="s">
        <v>2989</v>
      </c>
    </row>
    <row r="38" spans="1:17" ht="14.25" customHeight="1">
      <c r="A38" s="2920" t="s">
        <v>296</v>
      </c>
      <c r="B38" s="2921" t="s">
        <v>186</v>
      </c>
      <c r="C38" s="2920">
        <v>23120</v>
      </c>
      <c r="D38" s="2920">
        <v>24630</v>
      </c>
      <c r="E38" s="2920">
        <v>25030</v>
      </c>
      <c r="F38" s="2920">
        <v>7710</v>
      </c>
      <c r="G38" s="2933">
        <v>17240</v>
      </c>
      <c r="M38" s="2920" t="s">
        <v>2990</v>
      </c>
      <c r="N38" s="2920" t="s">
        <v>2991</v>
      </c>
      <c r="O38" s="2920" t="s">
        <v>2992</v>
      </c>
      <c r="P38" s="2920" t="s">
        <v>2993</v>
      </c>
      <c r="Q38" s="2920" t="s">
        <v>2994</v>
      </c>
    </row>
    <row r="39" spans="1:17" ht="14.25" customHeight="1">
      <c r="A39" s="2920" t="s">
        <v>296</v>
      </c>
      <c r="B39" s="2921" t="s">
        <v>195</v>
      </c>
      <c r="C39" s="2920">
        <v>22330</v>
      </c>
      <c r="D39" s="2920">
        <v>21140</v>
      </c>
      <c r="E39" s="2920">
        <v>23970</v>
      </c>
      <c r="F39" s="2920">
        <v>7940</v>
      </c>
      <c r="G39" s="2933">
        <v>14790</v>
      </c>
      <c r="M39" s="2920" t="s">
        <v>2995</v>
      </c>
      <c r="N39" s="2920" t="s">
        <v>2996</v>
      </c>
      <c r="O39" s="2920" t="s">
        <v>2997</v>
      </c>
      <c r="P39" s="2920" t="s">
        <v>2998</v>
      </c>
      <c r="Q39" s="2920" t="s">
        <v>2999</v>
      </c>
    </row>
    <row r="40" spans="1:17" ht="14.25" customHeight="1">
      <c r="A40" s="2920" t="s">
        <v>296</v>
      </c>
      <c r="B40" s="2921" t="s">
        <v>202</v>
      </c>
      <c r="C40" s="2920">
        <v>24740</v>
      </c>
      <c r="D40" s="2920">
        <v>24690</v>
      </c>
      <c r="E40" s="2920">
        <v>22610</v>
      </c>
      <c r="F40" s="2920"/>
      <c r="G40" s="2933">
        <v>17280</v>
      </c>
      <c r="M40" s="2920" t="s">
        <v>3000</v>
      </c>
      <c r="N40" s="2920" t="s">
        <v>3001</v>
      </c>
      <c r="O40" s="2920" t="s">
        <v>3002</v>
      </c>
      <c r="P40" s="2920" t="s">
        <v>3003</v>
      </c>
      <c r="Q40" s="2920" t="s">
        <v>3004</v>
      </c>
    </row>
    <row r="41" spans="1:17" ht="14.25" customHeight="1" thickBot="1">
      <c r="A41" s="2920" t="s">
        <v>296</v>
      </c>
      <c r="B41" s="2921" t="s">
        <v>209</v>
      </c>
      <c r="C41" s="2920">
        <v>21220</v>
      </c>
      <c r="D41" s="2920">
        <v>21120</v>
      </c>
      <c r="E41" s="2920">
        <v>22590</v>
      </c>
      <c r="F41" s="2920"/>
      <c r="G41" s="2933">
        <v>14780</v>
      </c>
      <c r="M41" s="2927" t="s">
        <v>3005</v>
      </c>
      <c r="N41" s="2920" t="s">
        <v>3006</v>
      </c>
      <c r="O41" s="2920" t="s">
        <v>3007</v>
      </c>
      <c r="P41" s="2920" t="s">
        <v>3008</v>
      </c>
      <c r="Q41" s="2920" t="s">
        <v>3009</v>
      </c>
    </row>
    <row r="42" spans="1:17" ht="14.25" customHeight="1">
      <c r="A42" s="2920" t="s">
        <v>296</v>
      </c>
      <c r="B42" s="2921" t="s">
        <v>215</v>
      </c>
      <c r="C42" s="2920">
        <v>24800</v>
      </c>
      <c r="D42" s="2920">
        <v>22280</v>
      </c>
      <c r="E42" s="2920">
        <v>24350</v>
      </c>
      <c r="F42" s="2920"/>
      <c r="G42" s="2933">
        <v>15590</v>
      </c>
      <c r="N42" s="2920" t="s">
        <v>3010</v>
      </c>
      <c r="O42" s="2920" t="s">
        <v>3011</v>
      </c>
      <c r="P42" s="2920" t="s">
        <v>3012</v>
      </c>
      <c r="Q42" s="2920" t="s">
        <v>3013</v>
      </c>
    </row>
    <row r="43" spans="1:17" ht="14.25" customHeight="1">
      <c r="A43" s="2920" t="s">
        <v>3014</v>
      </c>
      <c r="B43" s="2921" t="s">
        <v>223</v>
      </c>
      <c r="C43" s="2920">
        <v>21210</v>
      </c>
      <c r="D43" s="2920">
        <v>21160</v>
      </c>
      <c r="E43" s="2920">
        <v>22650</v>
      </c>
      <c r="F43" s="2920"/>
      <c r="G43" s="2933">
        <v>14800</v>
      </c>
      <c r="N43" s="2920" t="s">
        <v>3015</v>
      </c>
      <c r="O43" s="2920" t="s">
        <v>3016</v>
      </c>
      <c r="P43" s="2920" t="s">
        <v>3017</v>
      </c>
      <c r="Q43" s="2920" t="s">
        <v>3018</v>
      </c>
    </row>
    <row r="44" spans="1:17" ht="14.25" customHeight="1" thickBot="1">
      <c r="A44" s="2920" t="s">
        <v>296</v>
      </c>
      <c r="B44" s="2921" t="s">
        <v>231</v>
      </c>
      <c r="C44" s="2920">
        <v>22370</v>
      </c>
      <c r="D44" s="2920">
        <v>23140</v>
      </c>
      <c r="E44" s="2920">
        <v>25090</v>
      </c>
      <c r="F44" s="2920"/>
      <c r="G44" s="2933">
        <v>16190</v>
      </c>
      <c r="N44" s="2920" t="s">
        <v>3019</v>
      </c>
      <c r="O44" s="2920" t="s">
        <v>3020</v>
      </c>
      <c r="P44" s="2927" t="s">
        <v>3021</v>
      </c>
      <c r="Q44" s="2920" t="s">
        <v>3022</v>
      </c>
    </row>
    <row r="45" spans="1:17" ht="14.25" customHeight="1" thickBot="1">
      <c r="A45" s="2920" t="s">
        <v>296</v>
      </c>
      <c r="B45" s="2921" t="s">
        <v>236</v>
      </c>
      <c r="C45" s="2920">
        <v>21240</v>
      </c>
      <c r="D45" s="2920">
        <v>27050</v>
      </c>
      <c r="E45" s="2920">
        <v>28000</v>
      </c>
      <c r="F45" s="2920"/>
      <c r="G45" s="2933">
        <v>18940</v>
      </c>
      <c r="N45" s="2920" t="s">
        <v>3023</v>
      </c>
      <c r="O45" s="2927" t="s">
        <v>3024</v>
      </c>
      <c r="Q45" s="2920" t="s">
        <v>3025</v>
      </c>
    </row>
    <row r="46" spans="1:17" ht="14.25" customHeight="1">
      <c r="A46" s="2920" t="s">
        <v>296</v>
      </c>
      <c r="B46" s="2921" t="s">
        <v>245</v>
      </c>
      <c r="C46" s="2920">
        <v>23240</v>
      </c>
      <c r="D46" s="2920">
        <v>23000</v>
      </c>
      <c r="E46" s="2920">
        <v>24980</v>
      </c>
      <c r="F46" s="2920"/>
      <c r="G46" s="2933">
        <v>16100</v>
      </c>
      <c r="N46" s="2920" t="s">
        <v>3026</v>
      </c>
      <c r="Q46" s="2920" t="s">
        <v>3027</v>
      </c>
    </row>
    <row r="47" spans="1:17" ht="14.25" customHeight="1">
      <c r="A47" s="2920" t="s">
        <v>296</v>
      </c>
      <c r="B47" s="2921" t="s">
        <v>252</v>
      </c>
      <c r="C47" s="2920">
        <v>27150</v>
      </c>
      <c r="D47" s="2920">
        <v>23310</v>
      </c>
      <c r="E47" s="2920">
        <v>25150</v>
      </c>
      <c r="F47" s="2920"/>
      <c r="G47" s="2933">
        <v>16310</v>
      </c>
      <c r="N47" s="2920" t="s">
        <v>3028</v>
      </c>
      <c r="Q47" s="2920" t="s">
        <v>3029</v>
      </c>
    </row>
    <row r="48" spans="1:17" ht="14.25" customHeight="1">
      <c r="A48" s="2920" t="s">
        <v>296</v>
      </c>
      <c r="B48" s="2921" t="s">
        <v>260</v>
      </c>
      <c r="C48" s="2920">
        <v>23100</v>
      </c>
      <c r="D48" s="2920">
        <v>21110</v>
      </c>
      <c r="E48" s="2920">
        <v>23080</v>
      </c>
      <c r="F48" s="2920"/>
      <c r="G48" s="2933">
        <v>14780</v>
      </c>
      <c r="N48" s="2920" t="s">
        <v>3030</v>
      </c>
      <c r="Q48" s="2920" t="s">
        <v>3031</v>
      </c>
    </row>
    <row r="49" spans="1:17" ht="14.25" customHeight="1">
      <c r="A49" s="2920" t="s">
        <v>296</v>
      </c>
      <c r="B49" s="2921" t="s">
        <v>267</v>
      </c>
      <c r="C49" s="2920">
        <v>23400</v>
      </c>
      <c r="D49" s="2920">
        <v>22920</v>
      </c>
      <c r="E49" s="2920">
        <v>24900</v>
      </c>
      <c r="F49" s="2920"/>
      <c r="G49" s="2933">
        <v>16040</v>
      </c>
      <c r="N49" s="2920" t="s">
        <v>3032</v>
      </c>
      <c r="Q49" s="2920" t="s">
        <v>3033</v>
      </c>
    </row>
    <row r="50" spans="1:17" ht="14.25" customHeight="1">
      <c r="A50" s="2920" t="s">
        <v>296</v>
      </c>
      <c r="B50" s="2921" t="s">
        <v>2910</v>
      </c>
      <c r="C50" s="2920">
        <v>21200</v>
      </c>
      <c r="D50" s="2920">
        <v>26540</v>
      </c>
      <c r="E50" s="2920">
        <v>23200</v>
      </c>
      <c r="F50" s="2920"/>
      <c r="G50" s="2933">
        <v>18580</v>
      </c>
      <c r="N50" s="2920" t="s">
        <v>3034</v>
      </c>
      <c r="Q50" s="2921" t="s">
        <v>3035</v>
      </c>
    </row>
    <row r="51" spans="1:17" ht="14.25" customHeight="1" thickBot="1">
      <c r="A51" s="2920" t="s">
        <v>296</v>
      </c>
      <c r="B51" s="2921" t="s">
        <v>2912</v>
      </c>
      <c r="C51" s="2920">
        <v>23000</v>
      </c>
      <c r="D51" s="2920">
        <v>23460</v>
      </c>
      <c r="E51" s="2920">
        <v>25290</v>
      </c>
      <c r="F51" s="2920"/>
      <c r="G51" s="2933">
        <v>16420</v>
      </c>
      <c r="N51" s="2920" t="s">
        <v>3036</v>
      </c>
      <c r="Q51" s="2927" t="s">
        <v>3037</v>
      </c>
    </row>
    <row r="52" spans="1:17" ht="14.25" customHeight="1">
      <c r="A52" s="2920" t="s">
        <v>296</v>
      </c>
      <c r="B52" s="2921" t="s">
        <v>2916</v>
      </c>
      <c r="C52" s="2920">
        <v>26660</v>
      </c>
      <c r="D52" s="2920">
        <v>22350</v>
      </c>
      <c r="E52" s="2920">
        <v>22920</v>
      </c>
      <c r="F52" s="2920"/>
      <c r="G52" s="2933">
        <v>15640</v>
      </c>
      <c r="N52" s="2920" t="s">
        <v>3038</v>
      </c>
    </row>
    <row r="53" spans="1:17" ht="14.25" customHeight="1">
      <c r="A53" s="2920" t="s">
        <v>296</v>
      </c>
      <c r="B53" s="2921" t="s">
        <v>2921</v>
      </c>
      <c r="C53" s="2920">
        <v>23580</v>
      </c>
      <c r="D53" s="2920"/>
      <c r="E53" s="2920">
        <v>24280</v>
      </c>
      <c r="F53" s="2920"/>
      <c r="G53" s="2933"/>
      <c r="N53" s="2920" t="s">
        <v>3039</v>
      </c>
    </row>
    <row r="54" spans="1:17" ht="14.25" customHeight="1" thickBot="1">
      <c r="A54" s="2934" t="s">
        <v>296</v>
      </c>
      <c r="B54" s="2926" t="s">
        <v>2924</v>
      </c>
      <c r="C54" s="2927">
        <v>22460</v>
      </c>
      <c r="D54" s="2927"/>
      <c r="E54" s="2927"/>
      <c r="F54" s="2927"/>
      <c r="G54" s="2935"/>
      <c r="N54" s="2920" t="s">
        <v>3040</v>
      </c>
    </row>
    <row r="55" spans="1:17" ht="14.25" customHeight="1">
      <c r="A55" s="2925" t="s">
        <v>110</v>
      </c>
      <c r="B55" s="2916" t="s">
        <v>3041</v>
      </c>
      <c r="C55" s="2920">
        <v>21970</v>
      </c>
      <c r="D55" s="2920">
        <v>20370</v>
      </c>
      <c r="E55" s="2920">
        <v>20180</v>
      </c>
      <c r="F55" s="2920">
        <v>5730</v>
      </c>
      <c r="G55" s="2920">
        <v>13820</v>
      </c>
      <c r="N55" s="2920" t="s">
        <v>3042</v>
      </c>
    </row>
    <row r="56" spans="1:17" ht="14.25" customHeight="1">
      <c r="A56" s="2920" t="s">
        <v>110</v>
      </c>
      <c r="B56" s="2920" t="s">
        <v>130</v>
      </c>
      <c r="C56" s="2920">
        <v>20470</v>
      </c>
      <c r="D56" s="2920">
        <v>20700</v>
      </c>
      <c r="E56" s="2920">
        <v>20380</v>
      </c>
      <c r="F56" s="2920">
        <v>4760</v>
      </c>
      <c r="G56" s="2920">
        <v>14050</v>
      </c>
      <c r="N56" s="2920" t="s">
        <v>3043</v>
      </c>
    </row>
    <row r="57" spans="1:17" ht="14.25" customHeight="1">
      <c r="A57" s="2920" t="s">
        <v>110</v>
      </c>
      <c r="B57" s="2920" t="s">
        <v>139</v>
      </c>
      <c r="C57" s="2920">
        <v>20790</v>
      </c>
      <c r="D57" s="2920">
        <v>21370</v>
      </c>
      <c r="E57" s="2920">
        <v>20890</v>
      </c>
      <c r="F57" s="2920">
        <v>4910</v>
      </c>
      <c r="G57" s="2920">
        <v>14510</v>
      </c>
      <c r="N57" s="2920" t="s">
        <v>3044</v>
      </c>
    </row>
    <row r="58" spans="1:17" ht="14.25" customHeight="1">
      <c r="A58" s="2920" t="s">
        <v>110</v>
      </c>
      <c r="B58" s="2920" t="s">
        <v>148</v>
      </c>
      <c r="C58" s="2920">
        <v>21460</v>
      </c>
      <c r="D58" s="2920">
        <v>20920</v>
      </c>
      <c r="E58" s="2920">
        <v>23410</v>
      </c>
      <c r="F58" s="2920">
        <v>5100</v>
      </c>
      <c r="G58" s="2920">
        <v>14200</v>
      </c>
      <c r="N58" s="2920" t="s">
        <v>3045</v>
      </c>
    </row>
    <row r="59" spans="1:17" ht="14.25" customHeight="1">
      <c r="A59" s="2920" t="s">
        <v>110</v>
      </c>
      <c r="B59" s="2920" t="s">
        <v>157</v>
      </c>
      <c r="C59" s="2920">
        <v>21000</v>
      </c>
      <c r="D59" s="2920">
        <v>21550</v>
      </c>
      <c r="E59" s="2920">
        <v>21150</v>
      </c>
      <c r="F59" s="2920">
        <v>5250</v>
      </c>
      <c r="G59" s="2920">
        <v>14630</v>
      </c>
      <c r="N59" s="2920" t="s">
        <v>3046</v>
      </c>
    </row>
    <row r="60" spans="1:17" ht="14.25" customHeight="1">
      <c r="A60" s="2920" t="s">
        <v>110</v>
      </c>
      <c r="B60" s="2920" t="s">
        <v>164</v>
      </c>
      <c r="C60" s="2920">
        <v>21640</v>
      </c>
      <c r="D60" s="2920">
        <v>21260</v>
      </c>
      <c r="E60" s="2920">
        <v>24040</v>
      </c>
      <c r="F60" s="2920">
        <v>4470</v>
      </c>
      <c r="G60" s="2920">
        <v>14430</v>
      </c>
      <c r="N60" s="2920" t="s">
        <v>3047</v>
      </c>
    </row>
    <row r="61" spans="1:17" ht="14.25" customHeight="1">
      <c r="A61" s="2920" t="s">
        <v>110</v>
      </c>
      <c r="B61" s="2920" t="s">
        <v>170</v>
      </c>
      <c r="C61" s="2920">
        <v>21330</v>
      </c>
      <c r="D61" s="2920">
        <v>18640</v>
      </c>
      <c r="E61" s="2920">
        <v>21190</v>
      </c>
      <c r="F61" s="2920">
        <v>4180</v>
      </c>
      <c r="G61" s="2920">
        <v>12650</v>
      </c>
      <c r="N61" s="2920" t="s">
        <v>3048</v>
      </c>
    </row>
    <row r="62" spans="1:17" ht="14.25" customHeight="1">
      <c r="A62" s="2920" t="s">
        <v>110</v>
      </c>
      <c r="B62" s="2920" t="s">
        <v>177</v>
      </c>
      <c r="C62" s="2920">
        <v>18710</v>
      </c>
      <c r="D62" s="2920">
        <v>19400</v>
      </c>
      <c r="E62" s="2920">
        <v>23750</v>
      </c>
      <c r="F62" s="2920">
        <v>4860</v>
      </c>
      <c r="G62" s="2920">
        <v>13170</v>
      </c>
      <c r="N62" s="2920" t="s">
        <v>3049</v>
      </c>
    </row>
    <row r="63" spans="1:17" ht="14.25" customHeight="1">
      <c r="A63" s="2920" t="s">
        <v>110</v>
      </c>
      <c r="B63" s="2920" t="s">
        <v>187</v>
      </c>
      <c r="C63" s="2920">
        <v>19480</v>
      </c>
      <c r="D63" s="2920">
        <v>16830</v>
      </c>
      <c r="E63" s="2920">
        <v>21590</v>
      </c>
      <c r="F63" s="2920">
        <v>4560</v>
      </c>
      <c r="G63" s="2920">
        <v>11420</v>
      </c>
      <c r="N63" s="2920" t="s">
        <v>3050</v>
      </c>
    </row>
    <row r="64" spans="1:17" ht="14.25" customHeight="1" thickBot="1">
      <c r="A64" s="2920" t="s">
        <v>110</v>
      </c>
      <c r="B64" s="2920" t="s">
        <v>196</v>
      </c>
      <c r="C64" s="2920">
        <v>16920</v>
      </c>
      <c r="D64" s="2920">
        <v>19190</v>
      </c>
      <c r="E64" s="2920">
        <v>22200</v>
      </c>
      <c r="F64" s="2920">
        <v>4390</v>
      </c>
      <c r="G64" s="2920">
        <v>13030</v>
      </c>
      <c r="N64" s="2927" t="s">
        <v>3051</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2922</v>
      </c>
      <c r="C78" s="2920">
        <v>19820</v>
      </c>
      <c r="D78" s="2920">
        <v>19780</v>
      </c>
      <c r="E78" s="2920">
        <v>18560</v>
      </c>
      <c r="F78" s="2920"/>
      <c r="G78" s="2920">
        <v>13430</v>
      </c>
    </row>
    <row r="79" spans="1:7" s="2754" customFormat="1" ht="14.25" customHeight="1">
      <c r="A79" s="2920" t="s">
        <v>110</v>
      </c>
      <c r="B79" s="2920" t="s">
        <v>2925</v>
      </c>
      <c r="C79" s="2920">
        <v>21660</v>
      </c>
      <c r="D79" s="2920">
        <v>18000</v>
      </c>
      <c r="E79" s="2920">
        <v>22570</v>
      </c>
      <c r="F79" s="2920"/>
      <c r="G79" s="2920">
        <v>12220</v>
      </c>
    </row>
    <row r="80" spans="1:7" s="2754" customFormat="1" ht="14.25" customHeight="1">
      <c r="A80" s="2920" t="s">
        <v>110</v>
      </c>
      <c r="B80" s="2920" t="s">
        <v>2929</v>
      </c>
      <c r="C80" s="2920">
        <v>19850</v>
      </c>
      <c r="D80" s="2920"/>
      <c r="E80" s="2920">
        <v>21700</v>
      </c>
      <c r="F80" s="2920"/>
      <c r="G80" s="2920"/>
    </row>
    <row r="81" spans="1:7" s="2754" customFormat="1" ht="14.25" customHeight="1">
      <c r="A81" s="2920" t="s">
        <v>110</v>
      </c>
      <c r="B81" s="2920" t="s">
        <v>2934</v>
      </c>
      <c r="C81" s="2920">
        <v>18080</v>
      </c>
      <c r="D81" s="2920"/>
      <c r="E81" s="2920">
        <v>20900</v>
      </c>
      <c r="F81" s="2920"/>
      <c r="G81" s="2920"/>
    </row>
    <row r="82" spans="1:7" s="2754" customFormat="1" ht="14.25" customHeight="1">
      <c r="A82" s="2920" t="s">
        <v>110</v>
      </c>
      <c r="B82" s="2920" t="s">
        <v>2941</v>
      </c>
      <c r="C82" s="2920"/>
      <c r="D82" s="2920"/>
      <c r="E82" s="2920">
        <v>20840</v>
      </c>
      <c r="F82" s="2920"/>
      <c r="G82" s="2920"/>
    </row>
    <row r="83" spans="1:7" s="2754" customFormat="1" ht="14.25" customHeight="1">
      <c r="A83" s="2920" t="s">
        <v>110</v>
      </c>
      <c r="B83" s="2920" t="s">
        <v>3052</v>
      </c>
      <c r="C83" s="2920"/>
      <c r="D83" s="2920"/>
      <c r="E83" s="2920"/>
      <c r="F83" s="2920">
        <v>4770</v>
      </c>
      <c r="G83" s="2920"/>
    </row>
    <row r="84" spans="1:7" s="2754" customFormat="1" ht="14.25" customHeight="1">
      <c r="A84" s="2920" t="s">
        <v>110</v>
      </c>
      <c r="B84" s="2920" t="s">
        <v>3053</v>
      </c>
      <c r="C84" s="2920"/>
      <c r="D84" s="2920"/>
      <c r="E84" s="2920"/>
      <c r="F84" s="2920">
        <v>4600</v>
      </c>
      <c r="G84" s="2920"/>
    </row>
    <row r="85" spans="1:7" s="2754" customFormat="1" ht="14.25" customHeight="1">
      <c r="A85" s="2920" t="s">
        <v>110</v>
      </c>
      <c r="B85" s="2920" t="s">
        <v>3054</v>
      </c>
      <c r="C85" s="2920"/>
      <c r="D85" s="2920"/>
      <c r="E85" s="2920"/>
      <c r="F85" s="2920">
        <v>4680</v>
      </c>
      <c r="G85" s="2920"/>
    </row>
    <row r="86" spans="1:7" s="2754" customFormat="1" ht="14.25" customHeight="1" thickBot="1">
      <c r="A86" s="2928" t="s">
        <v>110</v>
      </c>
      <c r="B86" s="2930" t="s">
        <v>3055</v>
      </c>
      <c r="C86" s="2931">
        <v>16610</v>
      </c>
      <c r="D86" s="2931">
        <v>16540</v>
      </c>
      <c r="E86" s="2931">
        <v>18850</v>
      </c>
      <c r="F86" s="2931"/>
      <c r="G86" s="2931">
        <v>11220</v>
      </c>
    </row>
    <row r="87" spans="1:7" s="2754" customFormat="1" ht="14.25" customHeight="1">
      <c r="A87" s="2925" t="s">
        <v>303</v>
      </c>
      <c r="B87" s="2916" t="s">
        <v>3056</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2935</v>
      </c>
      <c r="C113" s="2920">
        <v>15520</v>
      </c>
      <c r="D113" s="2920">
        <v>15450</v>
      </c>
      <c r="E113" s="2920"/>
      <c r="F113" s="2920"/>
      <c r="G113" s="2933">
        <v>10210</v>
      </c>
    </row>
    <row r="114" spans="1:7" s="2754" customFormat="1" ht="14.25" customHeight="1">
      <c r="A114" s="2920" t="s">
        <v>303</v>
      </c>
      <c r="B114" s="2920" t="s">
        <v>2942</v>
      </c>
      <c r="C114" s="2920">
        <v>13110</v>
      </c>
      <c r="D114" s="2920">
        <v>13050</v>
      </c>
      <c r="E114" s="2920"/>
      <c r="F114" s="2920"/>
      <c r="G114" s="2933">
        <v>8620</v>
      </c>
    </row>
    <row r="115" spans="1:7" s="2754" customFormat="1" ht="14.25" customHeight="1">
      <c r="A115" s="2920" t="s">
        <v>303</v>
      </c>
      <c r="B115" s="2920" t="s">
        <v>2948</v>
      </c>
      <c r="C115" s="2920">
        <v>12460</v>
      </c>
      <c r="D115" s="2920">
        <v>12390</v>
      </c>
      <c r="E115" s="2920"/>
      <c r="F115" s="2920"/>
      <c r="G115" s="2933">
        <v>8190</v>
      </c>
    </row>
    <row r="116" spans="1:7" s="2754" customFormat="1" ht="14.25" customHeight="1">
      <c r="A116" s="2920" t="s">
        <v>303</v>
      </c>
      <c r="B116" s="2920" t="s">
        <v>2955</v>
      </c>
      <c r="C116" s="2920">
        <v>13580</v>
      </c>
      <c r="D116" s="2920">
        <v>13520</v>
      </c>
      <c r="E116" s="2920"/>
      <c r="F116" s="2920"/>
      <c r="G116" s="2933">
        <v>8930</v>
      </c>
    </row>
    <row r="117" spans="1:7" s="2754" customFormat="1" ht="14.25" customHeight="1">
      <c r="A117" s="2920" t="s">
        <v>303</v>
      </c>
      <c r="B117" s="2920" t="s">
        <v>2962</v>
      </c>
      <c r="C117" s="2920">
        <v>17120</v>
      </c>
      <c r="D117" s="2920">
        <v>17040</v>
      </c>
      <c r="E117" s="2920"/>
      <c r="F117" s="2920"/>
      <c r="G117" s="2933">
        <v>11260</v>
      </c>
    </row>
    <row r="118" spans="1:7" s="2754" customFormat="1" ht="14.25" customHeight="1">
      <c r="A118" s="2920" t="s">
        <v>303</v>
      </c>
      <c r="B118" s="2920" t="s">
        <v>2967</v>
      </c>
      <c r="C118" s="2920">
        <v>14860</v>
      </c>
      <c r="D118" s="2920">
        <v>14790</v>
      </c>
      <c r="E118" s="2920"/>
      <c r="F118" s="2920"/>
      <c r="G118" s="2933">
        <v>9780</v>
      </c>
    </row>
    <row r="119" spans="1:7" s="2754" customFormat="1" ht="14.25" customHeight="1">
      <c r="A119" s="2920" t="s">
        <v>303</v>
      </c>
      <c r="B119" s="2920" t="s">
        <v>2971</v>
      </c>
      <c r="C119" s="2920">
        <v>16470</v>
      </c>
      <c r="D119" s="2920">
        <v>16400</v>
      </c>
      <c r="E119" s="2920"/>
      <c r="F119" s="2920"/>
      <c r="G119" s="2933">
        <v>10840</v>
      </c>
    </row>
    <row r="120" spans="1:7" s="2754" customFormat="1" ht="14.25" customHeight="1">
      <c r="A120" s="2920" t="s">
        <v>303</v>
      </c>
      <c r="B120" s="2920" t="s">
        <v>3057</v>
      </c>
      <c r="C120" s="2920"/>
      <c r="D120" s="2920"/>
      <c r="E120" s="2920"/>
      <c r="F120" s="2920">
        <v>4160</v>
      </c>
      <c r="G120" s="2933"/>
    </row>
    <row r="121" spans="1:7" s="2754" customFormat="1" ht="14.25" customHeight="1">
      <c r="A121" s="2920" t="s">
        <v>303</v>
      </c>
      <c r="B121" s="2920" t="s">
        <v>3058</v>
      </c>
      <c r="C121" s="2920"/>
      <c r="D121" s="2920"/>
      <c r="E121" s="2920"/>
      <c r="F121" s="2920">
        <v>3880</v>
      </c>
      <c r="G121" s="2933"/>
    </row>
    <row r="122" spans="1:7" s="2754" customFormat="1" ht="14.25" customHeight="1">
      <c r="A122" s="2920" t="s">
        <v>303</v>
      </c>
      <c r="B122" s="2920" t="s">
        <v>3059</v>
      </c>
      <c r="C122" s="2920">
        <v>13750</v>
      </c>
      <c r="D122" s="2920">
        <v>13680</v>
      </c>
      <c r="E122" s="2920">
        <v>16460</v>
      </c>
      <c r="F122" s="2920">
        <v>2880</v>
      </c>
      <c r="G122" s="2933">
        <v>9040</v>
      </c>
    </row>
    <row r="123" spans="1:7" s="2754" customFormat="1" ht="14.25" customHeight="1">
      <c r="A123" s="2920" t="s">
        <v>303</v>
      </c>
      <c r="B123" s="2920" t="s">
        <v>2990</v>
      </c>
      <c r="C123" s="2920">
        <v>13590</v>
      </c>
      <c r="D123" s="2920">
        <v>13520</v>
      </c>
      <c r="E123" s="2920">
        <v>16290</v>
      </c>
      <c r="F123" s="2920">
        <v>2790</v>
      </c>
      <c r="G123" s="2933">
        <v>8930</v>
      </c>
    </row>
    <row r="124" spans="1:7" s="2754" customFormat="1" ht="14.25" customHeight="1">
      <c r="A124" s="2920" t="s">
        <v>303</v>
      </c>
      <c r="B124" s="2920" t="s">
        <v>2995</v>
      </c>
      <c r="C124" s="2920">
        <v>13400</v>
      </c>
      <c r="D124" s="2920">
        <v>13320</v>
      </c>
      <c r="E124" s="2920">
        <v>16100</v>
      </c>
      <c r="F124" s="2920">
        <v>2320</v>
      </c>
      <c r="G124" s="2933">
        <v>8800</v>
      </c>
    </row>
    <row r="125" spans="1:7" s="2754" customFormat="1" ht="14.25" customHeight="1">
      <c r="A125" s="2920" t="s">
        <v>303</v>
      </c>
      <c r="B125" s="2920" t="s">
        <v>3000</v>
      </c>
      <c r="C125" s="2920">
        <v>12860</v>
      </c>
      <c r="D125" s="2920">
        <v>12790</v>
      </c>
      <c r="E125" s="2920">
        <v>15370</v>
      </c>
      <c r="F125" s="2920">
        <v>2280</v>
      </c>
      <c r="G125" s="2933">
        <v>8450</v>
      </c>
    </row>
    <row r="126" spans="1:7" s="2754" customFormat="1" ht="14.25" customHeight="1" thickBot="1">
      <c r="A126" s="2934" t="s">
        <v>303</v>
      </c>
      <c r="B126" s="2927" t="s">
        <v>3005</v>
      </c>
      <c r="C126" s="2927">
        <v>12960</v>
      </c>
      <c r="D126" s="2927">
        <v>12890</v>
      </c>
      <c r="E126" s="2927">
        <v>15530</v>
      </c>
      <c r="F126" s="2927">
        <v>2910</v>
      </c>
      <c r="G126" s="2935">
        <v>8520</v>
      </c>
    </row>
    <row r="127" spans="1:7" s="2754" customFormat="1" ht="14.25" customHeight="1">
      <c r="A127" s="2925" t="s">
        <v>29</v>
      </c>
      <c r="B127" s="2916" t="s">
        <v>3060</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3061</v>
      </c>
      <c r="C148" s="2920">
        <v>10370</v>
      </c>
      <c r="D148" s="2920">
        <v>10310</v>
      </c>
      <c r="E148" s="2920">
        <v>12970</v>
      </c>
      <c r="F148" s="2920"/>
      <c r="G148" s="2920">
        <v>6630</v>
      </c>
    </row>
    <row r="149" spans="1:7" s="2754" customFormat="1" ht="14.25" customHeight="1">
      <c r="A149" s="2920" t="s">
        <v>29</v>
      </c>
      <c r="B149" s="2920" t="s">
        <v>3062</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2936</v>
      </c>
      <c r="C153" s="2920">
        <v>10880</v>
      </c>
      <c r="D153" s="2920">
        <v>10820</v>
      </c>
      <c r="E153" s="2920">
        <v>13660</v>
      </c>
      <c r="F153" s="2920">
        <v>2260</v>
      </c>
      <c r="G153" s="2920">
        <v>6970</v>
      </c>
    </row>
    <row r="154" spans="1:7" s="2754" customFormat="1" ht="14.25" customHeight="1">
      <c r="A154" s="2920" t="s">
        <v>29</v>
      </c>
      <c r="B154" s="2920" t="s">
        <v>3063</v>
      </c>
      <c r="C154" s="2920">
        <v>11220</v>
      </c>
      <c r="D154" s="2920">
        <v>11160</v>
      </c>
      <c r="E154" s="2920">
        <v>14130</v>
      </c>
      <c r="F154" s="2920">
        <v>2230</v>
      </c>
      <c r="G154" s="2920">
        <v>7180</v>
      </c>
    </row>
    <row r="155" spans="1:7" s="2754" customFormat="1" ht="14.25" customHeight="1">
      <c r="A155" s="2920" t="s">
        <v>29</v>
      </c>
      <c r="B155" s="2920" t="s">
        <v>2949</v>
      </c>
      <c r="C155" s="2920">
        <v>10430</v>
      </c>
      <c r="D155" s="2920">
        <v>10380</v>
      </c>
      <c r="E155" s="2920">
        <v>13140</v>
      </c>
      <c r="F155" s="2920">
        <v>2080</v>
      </c>
      <c r="G155" s="2920">
        <v>6650</v>
      </c>
    </row>
    <row r="156" spans="1:7" s="2754" customFormat="1" ht="14.25" customHeight="1">
      <c r="A156" s="2920" t="s">
        <v>29</v>
      </c>
      <c r="B156" s="2920" t="s">
        <v>3064</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3065</v>
      </c>
      <c r="C160" s="2920">
        <v>11180</v>
      </c>
      <c r="D160" s="2920">
        <v>11140</v>
      </c>
      <c r="E160" s="2920">
        <v>14050</v>
      </c>
      <c r="F160" s="2920">
        <v>2270</v>
      </c>
      <c r="G160" s="2920">
        <v>7170</v>
      </c>
    </row>
    <row r="161" spans="1:7" s="2754" customFormat="1" ht="14.25" customHeight="1">
      <c r="A161" s="2920" t="s">
        <v>29</v>
      </c>
      <c r="B161" s="2920" t="s">
        <v>2981</v>
      </c>
      <c r="C161" s="2920">
        <v>11160</v>
      </c>
      <c r="D161" s="2920">
        <v>11120</v>
      </c>
      <c r="E161" s="2920">
        <v>14020</v>
      </c>
      <c r="F161" s="2920">
        <v>2150</v>
      </c>
      <c r="G161" s="2920">
        <v>7160</v>
      </c>
    </row>
    <row r="162" spans="1:7" s="2754" customFormat="1" ht="14.25" customHeight="1">
      <c r="A162" s="2920" t="s">
        <v>29</v>
      </c>
      <c r="B162" s="2920" t="s">
        <v>2986</v>
      </c>
      <c r="C162" s="2920">
        <v>9620</v>
      </c>
      <c r="D162" s="2920">
        <v>9570</v>
      </c>
      <c r="E162" s="2920">
        <v>12320</v>
      </c>
      <c r="F162" s="2920">
        <v>2010</v>
      </c>
      <c r="G162" s="2920">
        <v>6160</v>
      </c>
    </row>
    <row r="163" spans="1:7" s="2754" customFormat="1" ht="14.25" customHeight="1">
      <c r="A163" s="2920" t="s">
        <v>29</v>
      </c>
      <c r="B163" s="2920" t="s">
        <v>2991</v>
      </c>
      <c r="C163" s="2920">
        <v>9320</v>
      </c>
      <c r="D163" s="2920">
        <v>9270</v>
      </c>
      <c r="E163" s="2920">
        <v>11790</v>
      </c>
      <c r="F163" s="2920">
        <v>1920</v>
      </c>
      <c r="G163" s="2920">
        <v>5960</v>
      </c>
    </row>
    <row r="164" spans="1:7" s="2754" customFormat="1" ht="14.25" customHeight="1">
      <c r="A164" s="2920" t="s">
        <v>29</v>
      </c>
      <c r="B164" s="2920" t="s">
        <v>2996</v>
      </c>
      <c r="C164" s="2920"/>
      <c r="D164" s="2920"/>
      <c r="E164" s="2920"/>
      <c r="F164" s="2920">
        <v>1980</v>
      </c>
      <c r="G164" s="2920"/>
    </row>
    <row r="165" spans="1:7" s="2754" customFormat="1" ht="14.25" customHeight="1">
      <c r="A165" s="2920" t="s">
        <v>29</v>
      </c>
      <c r="B165" s="2920" t="s">
        <v>3066</v>
      </c>
      <c r="C165" s="2920">
        <v>11060</v>
      </c>
      <c r="D165" s="2920">
        <v>11030</v>
      </c>
      <c r="E165" s="2920">
        <v>13850</v>
      </c>
      <c r="F165" s="2920">
        <v>2170</v>
      </c>
      <c r="G165" s="2920">
        <v>7090</v>
      </c>
    </row>
    <row r="166" spans="1:7" s="2754" customFormat="1" ht="14.25" customHeight="1">
      <c r="A166" s="2920" t="s">
        <v>29</v>
      </c>
      <c r="B166" s="2920" t="s">
        <v>3006</v>
      </c>
      <c r="C166" s="2920">
        <v>11050</v>
      </c>
      <c r="D166" s="2920">
        <v>11010</v>
      </c>
      <c r="E166" s="2920">
        <v>13920</v>
      </c>
      <c r="F166" s="2920">
        <v>2140</v>
      </c>
      <c r="G166" s="2920">
        <v>7080</v>
      </c>
    </row>
    <row r="167" spans="1:7" s="2754" customFormat="1" ht="14.25" customHeight="1">
      <c r="A167" s="2920" t="s">
        <v>29</v>
      </c>
      <c r="B167" s="2920" t="s">
        <v>3010</v>
      </c>
      <c r="C167" s="2920">
        <v>10930</v>
      </c>
      <c r="D167" s="2920">
        <v>10890</v>
      </c>
      <c r="E167" s="2920">
        <v>13790</v>
      </c>
      <c r="F167" s="2920">
        <v>2010</v>
      </c>
      <c r="G167" s="2920">
        <v>7000</v>
      </c>
    </row>
    <row r="168" spans="1:7" s="2754" customFormat="1" ht="14.25" customHeight="1">
      <c r="A168" s="2920" t="s">
        <v>29</v>
      </c>
      <c r="B168" s="2920" t="s">
        <v>3015</v>
      </c>
      <c r="C168" s="2920">
        <v>9420</v>
      </c>
      <c r="D168" s="2920">
        <v>9380</v>
      </c>
      <c r="E168" s="2920">
        <v>11970</v>
      </c>
      <c r="F168" s="2920"/>
      <c r="G168" s="2920">
        <v>6040</v>
      </c>
    </row>
    <row r="169" spans="1:7" s="2754" customFormat="1" ht="14.25" customHeight="1">
      <c r="A169" s="2920" t="s">
        <v>29</v>
      </c>
      <c r="B169" s="2920" t="s">
        <v>3067</v>
      </c>
      <c r="C169" s="2920"/>
      <c r="D169" s="2920"/>
      <c r="E169" s="2920"/>
      <c r="F169" s="2920">
        <v>2880</v>
      </c>
      <c r="G169" s="2920"/>
    </row>
    <row r="170" spans="1:7" s="2754" customFormat="1" ht="14.25" customHeight="1">
      <c r="A170" s="2920" t="s">
        <v>29</v>
      </c>
      <c r="B170" s="2920" t="s">
        <v>3023</v>
      </c>
      <c r="C170" s="2920"/>
      <c r="D170" s="2920"/>
      <c r="E170" s="2920"/>
      <c r="F170" s="2920">
        <v>2880</v>
      </c>
      <c r="G170" s="2920"/>
    </row>
    <row r="171" spans="1:7" s="2754" customFormat="1" ht="14.25" customHeight="1">
      <c r="A171" s="2920" t="s">
        <v>29</v>
      </c>
      <c r="B171" s="2920" t="s">
        <v>3026</v>
      </c>
      <c r="C171" s="2920"/>
      <c r="D171" s="2920"/>
      <c r="E171" s="2920"/>
      <c r="F171" s="2920">
        <v>2880</v>
      </c>
      <c r="G171" s="2920"/>
    </row>
    <row r="172" spans="1:7" s="2754" customFormat="1" ht="14.25" customHeight="1">
      <c r="A172" s="2920" t="s">
        <v>29</v>
      </c>
      <c r="B172" s="2920" t="s">
        <v>3028</v>
      </c>
      <c r="C172" s="2920"/>
      <c r="D172" s="2920"/>
      <c r="E172" s="2920"/>
      <c r="F172" s="2920">
        <v>2880</v>
      </c>
      <c r="G172" s="2920"/>
    </row>
    <row r="173" spans="1:7" s="2754" customFormat="1" ht="14.25" customHeight="1">
      <c r="A173" s="2920" t="s">
        <v>29</v>
      </c>
      <c r="B173" s="2920" t="s">
        <v>3030</v>
      </c>
      <c r="C173" s="2920"/>
      <c r="D173" s="2920"/>
      <c r="E173" s="2920"/>
      <c r="F173" s="2920">
        <v>2150</v>
      </c>
      <c r="G173" s="2920"/>
    </row>
    <row r="174" spans="1:7" s="2754" customFormat="1" ht="14.25" customHeight="1">
      <c r="A174" s="2920" t="s">
        <v>29</v>
      </c>
      <c r="B174" s="2920" t="s">
        <v>3032</v>
      </c>
      <c r="C174" s="2920"/>
      <c r="D174" s="2920"/>
      <c r="E174" s="2920"/>
      <c r="F174" s="2920">
        <v>2030</v>
      </c>
      <c r="G174" s="2920"/>
    </row>
    <row r="175" spans="1:7" s="2754" customFormat="1" ht="14.25" customHeight="1">
      <c r="A175" s="2920" t="s">
        <v>29</v>
      </c>
      <c r="B175" s="2920" t="s">
        <v>3034</v>
      </c>
      <c r="C175" s="2920"/>
      <c r="D175" s="2920"/>
      <c r="E175" s="2920"/>
      <c r="F175" s="2920">
        <v>2780</v>
      </c>
      <c r="G175" s="2920"/>
    </row>
    <row r="176" spans="1:7" s="2754" customFormat="1" ht="14.25" customHeight="1">
      <c r="A176" s="2920" t="s">
        <v>29</v>
      </c>
      <c r="B176" s="2920" t="s">
        <v>3036</v>
      </c>
      <c r="C176" s="2920"/>
      <c r="D176" s="2920"/>
      <c r="E176" s="2920"/>
      <c r="F176" s="2920">
        <v>2780</v>
      </c>
      <c r="G176" s="2920"/>
    </row>
    <row r="177" spans="1:7" s="2754" customFormat="1" ht="14.25" customHeight="1">
      <c r="A177" s="2920" t="s">
        <v>29</v>
      </c>
      <c r="B177" s="2920" t="s">
        <v>3068</v>
      </c>
      <c r="C177" s="2920"/>
      <c r="D177" s="2920"/>
      <c r="E177" s="2920"/>
      <c r="F177" s="2920">
        <v>2780</v>
      </c>
      <c r="G177" s="2920"/>
    </row>
    <row r="178" spans="1:7" s="2754" customFormat="1" ht="14.25" customHeight="1">
      <c r="A178" s="2920" t="s">
        <v>29</v>
      </c>
      <c r="B178" s="2920" t="s">
        <v>3069</v>
      </c>
      <c r="C178" s="2920"/>
      <c r="D178" s="2920"/>
      <c r="E178" s="2920"/>
      <c r="F178" s="2920">
        <v>2060</v>
      </c>
      <c r="G178" s="2920"/>
    </row>
    <row r="179" spans="1:7" s="2754" customFormat="1" ht="14.25" customHeight="1">
      <c r="A179" s="2920" t="s">
        <v>29</v>
      </c>
      <c r="B179" s="2920" t="s">
        <v>3070</v>
      </c>
      <c r="C179" s="2920"/>
      <c r="D179" s="2920"/>
      <c r="E179" s="2920"/>
      <c r="F179" s="2920">
        <v>2120</v>
      </c>
      <c r="G179" s="2920"/>
    </row>
    <row r="180" spans="1:7" s="2754" customFormat="1" ht="14.25" customHeight="1">
      <c r="A180" s="2920" t="s">
        <v>29</v>
      </c>
      <c r="B180" s="2920" t="s">
        <v>3042</v>
      </c>
      <c r="C180" s="2920"/>
      <c r="D180" s="2920"/>
      <c r="E180" s="2920"/>
      <c r="F180" s="2920">
        <v>2340</v>
      </c>
      <c r="G180" s="2920"/>
    </row>
    <row r="181" spans="1:7" s="2754" customFormat="1" ht="14.25" customHeight="1">
      <c r="A181" s="2920" t="s">
        <v>29</v>
      </c>
      <c r="B181" s="2920" t="s">
        <v>3043</v>
      </c>
      <c r="C181" s="2920"/>
      <c r="D181" s="2920"/>
      <c r="E181" s="2920"/>
      <c r="F181" s="2920">
        <v>2340</v>
      </c>
      <c r="G181" s="2920"/>
    </row>
    <row r="182" spans="1:7" s="2754" customFormat="1" ht="14.25" customHeight="1">
      <c r="A182" s="2920" t="s">
        <v>29</v>
      </c>
      <c r="B182" s="2920" t="s">
        <v>3044</v>
      </c>
      <c r="C182" s="2920"/>
      <c r="D182" s="2920"/>
      <c r="E182" s="2920"/>
      <c r="F182" s="2920">
        <v>2340</v>
      </c>
      <c r="G182" s="2920"/>
    </row>
    <row r="183" spans="1:7" s="2754" customFormat="1" ht="14.25" customHeight="1">
      <c r="A183" s="2920" t="s">
        <v>29</v>
      </c>
      <c r="B183" s="2920" t="s">
        <v>3045</v>
      </c>
      <c r="C183" s="2920"/>
      <c r="D183" s="2920"/>
      <c r="E183" s="2920"/>
      <c r="F183" s="2920">
        <v>2340</v>
      </c>
      <c r="G183" s="2920"/>
    </row>
    <row r="184" spans="1:7" s="2754" customFormat="1" ht="14.25" customHeight="1">
      <c r="A184" s="2920" t="s">
        <v>29</v>
      </c>
      <c r="B184" s="2920" t="s">
        <v>3046</v>
      </c>
      <c r="C184" s="2920"/>
      <c r="D184" s="2920"/>
      <c r="E184" s="2920"/>
      <c r="F184" s="2920">
        <v>2340</v>
      </c>
      <c r="G184" s="2920"/>
    </row>
    <row r="185" spans="1:7" s="2754" customFormat="1" ht="14.25" customHeight="1">
      <c r="A185" s="2920" t="s">
        <v>29</v>
      </c>
      <c r="B185" s="2920" t="s">
        <v>3047</v>
      </c>
      <c r="C185" s="2920"/>
      <c r="D185" s="2920"/>
      <c r="E185" s="2920"/>
      <c r="F185" s="2920">
        <v>2530</v>
      </c>
      <c r="G185" s="2920"/>
    </row>
    <row r="186" spans="1:7" s="2754" customFormat="1" ht="14.25" customHeight="1">
      <c r="A186" s="2920" t="s">
        <v>29</v>
      </c>
      <c r="B186" s="2920" t="s">
        <v>3048</v>
      </c>
      <c r="C186" s="2920"/>
      <c r="D186" s="2920"/>
      <c r="E186" s="2920"/>
      <c r="F186" s="2920">
        <v>2550</v>
      </c>
      <c r="G186" s="2920"/>
    </row>
    <row r="187" spans="1:7" s="2754" customFormat="1" ht="14.25" customHeight="1">
      <c r="A187" s="2920" t="s">
        <v>29</v>
      </c>
      <c r="B187" s="2920" t="s">
        <v>3049</v>
      </c>
      <c r="C187" s="2920"/>
      <c r="D187" s="2920"/>
      <c r="E187" s="2920"/>
      <c r="F187" s="2920">
        <v>2070</v>
      </c>
      <c r="G187" s="2920"/>
    </row>
    <row r="188" spans="1:7" s="2754" customFormat="1" ht="14.25" customHeight="1">
      <c r="A188" s="2920" t="s">
        <v>29</v>
      </c>
      <c r="B188" s="2920" t="s">
        <v>3050</v>
      </c>
      <c r="C188" s="2920"/>
      <c r="D188" s="2920"/>
      <c r="E188" s="2920"/>
      <c r="F188" s="2920">
        <v>2340</v>
      </c>
      <c r="G188" s="2920"/>
    </row>
    <row r="189" spans="1:7" s="2754" customFormat="1" ht="14.25" customHeight="1" thickBot="1">
      <c r="A189" s="2928" t="s">
        <v>29</v>
      </c>
      <c r="B189" s="2931" t="s">
        <v>3051</v>
      </c>
      <c r="C189" s="2931"/>
      <c r="D189" s="2931"/>
      <c r="E189" s="2931"/>
      <c r="F189" s="2931">
        <v>2050</v>
      </c>
      <c r="G189" s="2931"/>
    </row>
    <row r="190" spans="1:7" s="2754" customFormat="1" ht="14.25" customHeight="1">
      <c r="A190" s="2925" t="s">
        <v>304</v>
      </c>
      <c r="B190" s="2916" t="s">
        <v>3071</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3072</v>
      </c>
      <c r="C199" s="2920">
        <v>8690</v>
      </c>
      <c r="D199" s="2920">
        <v>8630</v>
      </c>
      <c r="E199" s="2920">
        <v>11350</v>
      </c>
      <c r="F199" s="2920">
        <v>1600</v>
      </c>
      <c r="G199" s="2933">
        <v>5450</v>
      </c>
    </row>
    <row r="200" spans="1:7" s="2754" customFormat="1" ht="14.25" customHeight="1">
      <c r="A200" s="2920" t="s">
        <v>304</v>
      </c>
      <c r="B200" s="2920" t="s">
        <v>2883</v>
      </c>
      <c r="C200" s="2920"/>
      <c r="D200" s="2920"/>
      <c r="E200" s="2920"/>
      <c r="F200" s="2920">
        <v>1510</v>
      </c>
      <c r="G200" s="2933"/>
    </row>
    <row r="201" spans="1:7" s="2754" customFormat="1" ht="14.25" customHeight="1">
      <c r="A201" s="2920" t="s">
        <v>304</v>
      </c>
      <c r="B201" s="2920" t="s">
        <v>3073</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3074</v>
      </c>
      <c r="C203" s="2920">
        <v>8130</v>
      </c>
      <c r="D203" s="2920">
        <v>8070</v>
      </c>
      <c r="E203" s="2920">
        <v>10820</v>
      </c>
      <c r="F203" s="2920">
        <v>1690</v>
      </c>
      <c r="G203" s="2933">
        <v>5100</v>
      </c>
    </row>
    <row r="204" spans="1:7" s="2754" customFormat="1" ht="14.25" customHeight="1">
      <c r="A204" s="2920" t="s">
        <v>304</v>
      </c>
      <c r="B204" s="2920" t="s">
        <v>2894</v>
      </c>
      <c r="C204" s="2920">
        <v>8350</v>
      </c>
      <c r="D204" s="2920">
        <v>8290</v>
      </c>
      <c r="E204" s="2920">
        <v>11080</v>
      </c>
      <c r="F204" s="2920">
        <v>1450</v>
      </c>
      <c r="G204" s="2933">
        <v>5240</v>
      </c>
    </row>
    <row r="205" spans="1:7" s="2754" customFormat="1" ht="14.25" customHeight="1">
      <c r="A205" s="2920" t="s">
        <v>304</v>
      </c>
      <c r="B205" s="2920" t="s">
        <v>2896</v>
      </c>
      <c r="C205" s="2920">
        <v>7190</v>
      </c>
      <c r="D205" s="2920">
        <v>7130</v>
      </c>
      <c r="E205" s="2920">
        <v>9490</v>
      </c>
      <c r="F205" s="2920">
        <v>1470</v>
      </c>
      <c r="G205" s="2933">
        <v>4510</v>
      </c>
    </row>
    <row r="206" spans="1:7" s="2754" customFormat="1" ht="14.25" customHeight="1">
      <c r="A206" s="2920" t="s">
        <v>304</v>
      </c>
      <c r="B206" s="2920" t="s">
        <v>2899</v>
      </c>
      <c r="C206" s="2920">
        <v>7000</v>
      </c>
      <c r="D206" s="2920">
        <v>6950</v>
      </c>
      <c r="E206" s="2920">
        <v>9170</v>
      </c>
      <c r="F206" s="2920">
        <v>1400</v>
      </c>
      <c r="G206" s="2933">
        <v>4380</v>
      </c>
    </row>
    <row r="207" spans="1:7" s="2754" customFormat="1" ht="14.25" customHeight="1">
      <c r="A207" s="2920" t="s">
        <v>304</v>
      </c>
      <c r="B207" s="2920" t="s">
        <v>2901</v>
      </c>
      <c r="C207" s="2920">
        <v>6950</v>
      </c>
      <c r="D207" s="2920">
        <v>6900</v>
      </c>
      <c r="E207" s="2920">
        <v>9110</v>
      </c>
      <c r="F207" s="2920">
        <v>1790</v>
      </c>
      <c r="G207" s="2933">
        <v>4360</v>
      </c>
    </row>
    <row r="208" spans="1:7" s="2754" customFormat="1" ht="14.25" customHeight="1">
      <c r="A208" s="2920" t="s">
        <v>304</v>
      </c>
      <c r="B208" s="2920" t="s">
        <v>3075</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2911</v>
      </c>
      <c r="C210" s="2920">
        <v>8710</v>
      </c>
      <c r="D210" s="2920">
        <v>8660</v>
      </c>
      <c r="E210" s="2920">
        <v>11440</v>
      </c>
      <c r="F210" s="2920">
        <v>1740</v>
      </c>
      <c r="G210" s="2933">
        <v>5470</v>
      </c>
    </row>
    <row r="211" spans="1:7" s="2754" customFormat="1" ht="14.25" customHeight="1">
      <c r="A211" s="2920" t="s">
        <v>304</v>
      </c>
      <c r="B211" s="2920" t="s">
        <v>3076</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3077</v>
      </c>
      <c r="C214" s="2920">
        <v>8090</v>
      </c>
      <c r="D214" s="2920">
        <v>8030</v>
      </c>
      <c r="E214" s="2920">
        <v>10780</v>
      </c>
      <c r="F214" s="2920">
        <v>1570</v>
      </c>
      <c r="G214" s="2933">
        <v>5070</v>
      </c>
    </row>
    <row r="215" spans="1:7" s="2754" customFormat="1" ht="14.25" customHeight="1">
      <c r="A215" s="2920" t="s">
        <v>304</v>
      </c>
      <c r="B215" s="2920" t="s">
        <v>3078</v>
      </c>
      <c r="C215" s="2920">
        <v>7950</v>
      </c>
      <c r="D215" s="2920">
        <v>7900</v>
      </c>
      <c r="E215" s="2920">
        <v>10560</v>
      </c>
      <c r="F215" s="2920">
        <v>1630</v>
      </c>
      <c r="G215" s="2933">
        <v>4990</v>
      </c>
    </row>
    <row r="216" spans="1:7" s="2754" customFormat="1" ht="14.25" customHeight="1">
      <c r="A216" s="2920" t="s">
        <v>304</v>
      </c>
      <c r="B216" s="2920" t="s">
        <v>3079</v>
      </c>
      <c r="C216" s="2920">
        <v>8490</v>
      </c>
      <c r="D216" s="2920">
        <v>8440</v>
      </c>
      <c r="E216" s="2920">
        <v>11260</v>
      </c>
      <c r="F216" s="2920">
        <v>1690</v>
      </c>
      <c r="G216" s="2933">
        <v>5330</v>
      </c>
    </row>
    <row r="217" spans="1:7" s="2754" customFormat="1" ht="14.25" customHeight="1">
      <c r="A217" s="2920" t="s">
        <v>304</v>
      </c>
      <c r="B217" s="2920" t="s">
        <v>2944</v>
      </c>
      <c r="C217" s="2920">
        <v>8200</v>
      </c>
      <c r="D217" s="2920">
        <v>8150</v>
      </c>
      <c r="E217" s="2920">
        <v>10910</v>
      </c>
      <c r="F217" s="2920">
        <v>1670</v>
      </c>
      <c r="G217" s="2933">
        <v>5150</v>
      </c>
    </row>
    <row r="218" spans="1:7" s="2754" customFormat="1" ht="14.25" customHeight="1">
      <c r="A218" s="2920" t="s">
        <v>304</v>
      </c>
      <c r="B218" s="2920" t="s">
        <v>3080</v>
      </c>
      <c r="C218" s="2920"/>
      <c r="D218" s="2920"/>
      <c r="E218" s="2920"/>
      <c r="F218" s="2920">
        <v>2040</v>
      </c>
      <c r="G218" s="2933"/>
    </row>
    <row r="219" spans="1:7" s="2754" customFormat="1" ht="14.25" customHeight="1">
      <c r="A219" s="2920" t="s">
        <v>304</v>
      </c>
      <c r="B219" s="2920" t="s">
        <v>3081</v>
      </c>
      <c r="C219" s="2920"/>
      <c r="D219" s="2920"/>
      <c r="E219" s="2920"/>
      <c r="F219" s="2920">
        <v>2040</v>
      </c>
      <c r="G219" s="2933"/>
    </row>
    <row r="220" spans="1:7" s="2754" customFormat="1" ht="14.25" customHeight="1">
      <c r="A220" s="2920" t="s">
        <v>304</v>
      </c>
      <c r="B220" s="2920" t="s">
        <v>3082</v>
      </c>
      <c r="C220" s="2920"/>
      <c r="D220" s="2920"/>
      <c r="E220" s="2920"/>
      <c r="F220" s="2920">
        <v>2040</v>
      </c>
      <c r="G220" s="2933"/>
    </row>
    <row r="221" spans="1:7" s="2754" customFormat="1" ht="14.25" customHeight="1">
      <c r="A221" s="2920" t="s">
        <v>304</v>
      </c>
      <c r="B221" s="2920" t="s">
        <v>3083</v>
      </c>
      <c r="C221" s="2920"/>
      <c r="D221" s="2920"/>
      <c r="E221" s="2920"/>
      <c r="F221" s="2920">
        <v>2040</v>
      </c>
      <c r="G221" s="2933"/>
    </row>
    <row r="222" spans="1:7" s="2754" customFormat="1" ht="14.25" customHeight="1">
      <c r="A222" s="2920" t="s">
        <v>304</v>
      </c>
      <c r="B222" s="2920" t="s">
        <v>3084</v>
      </c>
      <c r="C222" s="2920"/>
      <c r="D222" s="2920"/>
      <c r="E222" s="2920"/>
      <c r="F222" s="2920">
        <v>2040</v>
      </c>
      <c r="G222" s="2933"/>
    </row>
    <row r="223" spans="1:7" s="2754" customFormat="1" ht="14.25" customHeight="1">
      <c r="A223" s="2920" t="s">
        <v>304</v>
      </c>
      <c r="B223" s="2920" t="s">
        <v>3085</v>
      </c>
      <c r="C223" s="2920"/>
      <c r="D223" s="2920"/>
      <c r="E223" s="2920"/>
      <c r="F223" s="2920">
        <v>1930</v>
      </c>
      <c r="G223" s="2933"/>
    </row>
    <row r="224" spans="1:7" s="2754" customFormat="1" ht="14.25" customHeight="1">
      <c r="A224" s="2920" t="s">
        <v>304</v>
      </c>
      <c r="B224" s="2920" t="s">
        <v>3086</v>
      </c>
      <c r="C224" s="2920"/>
      <c r="D224" s="2920"/>
      <c r="E224" s="2920"/>
      <c r="F224" s="2920">
        <v>1930</v>
      </c>
      <c r="G224" s="2933"/>
    </row>
    <row r="225" spans="1:7" s="2754" customFormat="1" ht="14.25" customHeight="1">
      <c r="A225" s="2920" t="s">
        <v>304</v>
      </c>
      <c r="B225" s="2920" t="s">
        <v>3087</v>
      </c>
      <c r="C225" s="2920"/>
      <c r="D225" s="2920"/>
      <c r="E225" s="2920"/>
      <c r="F225" s="2920">
        <v>1930</v>
      </c>
      <c r="G225" s="2933"/>
    </row>
    <row r="226" spans="1:7" s="2754" customFormat="1" ht="14.25" customHeight="1">
      <c r="A226" s="2920" t="s">
        <v>304</v>
      </c>
      <c r="B226" s="2920" t="s">
        <v>3088</v>
      </c>
      <c r="C226" s="2920"/>
      <c r="D226" s="2920"/>
      <c r="E226" s="2920"/>
      <c r="F226" s="2920">
        <v>1700</v>
      </c>
      <c r="G226" s="2933"/>
    </row>
    <row r="227" spans="1:7" s="2754" customFormat="1" ht="14.25" customHeight="1">
      <c r="A227" s="2920" t="s">
        <v>304</v>
      </c>
      <c r="B227" s="2920" t="s">
        <v>3089</v>
      </c>
      <c r="C227" s="2920"/>
      <c r="D227" s="2920"/>
      <c r="E227" s="2920"/>
      <c r="F227" s="2920">
        <v>1520</v>
      </c>
      <c r="G227" s="2933"/>
    </row>
    <row r="228" spans="1:7" s="2754" customFormat="1" ht="14.25" customHeight="1">
      <c r="A228" s="2920" t="s">
        <v>304</v>
      </c>
      <c r="B228" s="2920" t="s">
        <v>3090</v>
      </c>
      <c r="C228" s="2920"/>
      <c r="D228" s="2920"/>
      <c r="E228" s="2920"/>
      <c r="F228" s="2920">
        <v>1520</v>
      </c>
      <c r="G228" s="2933"/>
    </row>
    <row r="229" spans="1:7" s="2754" customFormat="1" ht="14.25" customHeight="1">
      <c r="A229" s="2920" t="s">
        <v>304</v>
      </c>
      <c r="B229" s="2920" t="s">
        <v>3007</v>
      </c>
      <c r="C229" s="2920"/>
      <c r="D229" s="2920"/>
      <c r="E229" s="2920"/>
      <c r="F229" s="2920">
        <v>1520</v>
      </c>
      <c r="G229" s="2933"/>
    </row>
    <row r="230" spans="1:7" s="2754" customFormat="1" ht="14.25" customHeight="1">
      <c r="A230" s="2920" t="s">
        <v>304</v>
      </c>
      <c r="B230" s="2920" t="s">
        <v>3091</v>
      </c>
      <c r="C230" s="2920"/>
      <c r="D230" s="2920"/>
      <c r="E230" s="2920"/>
      <c r="F230" s="2920">
        <v>1820</v>
      </c>
      <c r="G230" s="2933"/>
    </row>
    <row r="231" spans="1:7" s="2754" customFormat="1" ht="14.25" customHeight="1">
      <c r="A231" s="2920" t="s">
        <v>304</v>
      </c>
      <c r="B231" s="2920" t="s">
        <v>3092</v>
      </c>
      <c r="C231" s="2920"/>
      <c r="D231" s="2920"/>
      <c r="E231" s="2920"/>
      <c r="F231" s="2920">
        <v>1760</v>
      </c>
      <c r="G231" s="2933"/>
    </row>
    <row r="232" spans="1:7" s="2754" customFormat="1" ht="14.25" customHeight="1">
      <c r="A232" s="2920" t="s">
        <v>304</v>
      </c>
      <c r="B232" s="2920" t="s">
        <v>3093</v>
      </c>
      <c r="C232" s="2920"/>
      <c r="D232" s="2920"/>
      <c r="E232" s="2920"/>
      <c r="F232" s="2920">
        <v>1840</v>
      </c>
      <c r="G232" s="2933"/>
    </row>
    <row r="233" spans="1:7" s="2754" customFormat="1" ht="14.25" customHeight="1" thickBot="1">
      <c r="A233" s="2934" t="s">
        <v>304</v>
      </c>
      <c r="B233" s="2927" t="s">
        <v>3024</v>
      </c>
      <c r="C233" s="2927"/>
      <c r="D233" s="2927"/>
      <c r="E233" s="2927"/>
      <c r="F233" s="2927">
        <v>1770</v>
      </c>
      <c r="G233" s="2935"/>
    </row>
    <row r="234" spans="1:7" s="2754" customFormat="1" ht="14.25" customHeight="1">
      <c r="A234" s="2925" t="s">
        <v>305</v>
      </c>
      <c r="B234" s="2916" t="s">
        <v>3094</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2865</v>
      </c>
      <c r="C238" s="2920">
        <v>6920</v>
      </c>
      <c r="D238" s="2920">
        <v>6890</v>
      </c>
      <c r="E238" s="2920">
        <v>8640</v>
      </c>
      <c r="F238" s="2920">
        <v>1310</v>
      </c>
      <c r="G238" s="2920">
        <v>4230</v>
      </c>
    </row>
    <row r="239" spans="1:7" s="2754" customFormat="1" ht="14.25" customHeight="1">
      <c r="A239" s="2920" t="s">
        <v>305</v>
      </c>
      <c r="B239" s="2920" t="s">
        <v>3095</v>
      </c>
      <c r="C239" s="2920">
        <v>6780</v>
      </c>
      <c r="D239" s="2920">
        <v>6750</v>
      </c>
      <c r="E239" s="2920">
        <v>8440</v>
      </c>
      <c r="F239" s="2920">
        <v>1160</v>
      </c>
      <c r="G239" s="2920">
        <v>4140</v>
      </c>
    </row>
    <row r="240" spans="1:7" s="2754" customFormat="1" ht="14.25" customHeight="1">
      <c r="A240" s="2920" t="s">
        <v>305</v>
      </c>
      <c r="B240" s="2920" t="s">
        <v>3096</v>
      </c>
      <c r="C240" s="2920">
        <v>5420</v>
      </c>
      <c r="D240" s="2920">
        <v>5380</v>
      </c>
      <c r="E240" s="2920">
        <v>6640</v>
      </c>
      <c r="F240" s="2920">
        <v>1020</v>
      </c>
      <c r="G240" s="2920">
        <v>3300</v>
      </c>
    </row>
    <row r="241" spans="1:7" s="2754" customFormat="1" ht="14.25" customHeight="1">
      <c r="A241" s="2920" t="s">
        <v>305</v>
      </c>
      <c r="B241" s="2920" t="s">
        <v>3097</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3098</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3099</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3100</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3101</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3102</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2927</v>
      </c>
      <c r="C258" s="2920">
        <v>6190</v>
      </c>
      <c r="D258" s="2920">
        <v>6160</v>
      </c>
      <c r="E258" s="2920">
        <v>7680</v>
      </c>
      <c r="F258" s="2920">
        <v>1170</v>
      </c>
      <c r="G258" s="2920">
        <v>3780</v>
      </c>
    </row>
    <row r="259" spans="1:7" s="2754" customFormat="1" ht="14.25" customHeight="1">
      <c r="A259" s="2920" t="s">
        <v>305</v>
      </c>
      <c r="B259" s="2920" t="s">
        <v>3103</v>
      </c>
      <c r="C259" s="2920">
        <v>7610</v>
      </c>
      <c r="D259" s="2920">
        <v>7570</v>
      </c>
      <c r="E259" s="2920">
        <v>9350</v>
      </c>
      <c r="F259" s="2920">
        <v>1350</v>
      </c>
      <c r="G259" s="2920">
        <v>4650</v>
      </c>
    </row>
    <row r="260" spans="1:7" s="2754" customFormat="1" ht="14.25" customHeight="1">
      <c r="A260" s="2920" t="s">
        <v>305</v>
      </c>
      <c r="B260" s="2920" t="s">
        <v>3104</v>
      </c>
      <c r="C260" s="2920">
        <v>6920</v>
      </c>
      <c r="D260" s="2920">
        <v>6880</v>
      </c>
      <c r="E260" s="2920">
        <v>8380</v>
      </c>
      <c r="F260" s="2920">
        <v>1160</v>
      </c>
      <c r="G260" s="2920">
        <v>4220</v>
      </c>
    </row>
    <row r="261" spans="1:7" s="2754" customFormat="1" ht="14.25" customHeight="1">
      <c r="A261" s="2920" t="s">
        <v>305</v>
      </c>
      <c r="B261" s="2920" t="s">
        <v>3105</v>
      </c>
      <c r="C261" s="2920">
        <v>6850</v>
      </c>
      <c r="D261" s="2920">
        <v>6810</v>
      </c>
      <c r="E261" s="2920">
        <v>8290</v>
      </c>
      <c r="F261" s="2920">
        <v>1130</v>
      </c>
      <c r="G261" s="2920">
        <v>4180</v>
      </c>
    </row>
    <row r="262" spans="1:7" s="2754" customFormat="1" ht="14.25" customHeight="1">
      <c r="A262" s="2920" t="s">
        <v>305</v>
      </c>
      <c r="B262" s="2920" t="s">
        <v>3106</v>
      </c>
      <c r="C262" s="2920">
        <v>5860</v>
      </c>
      <c r="D262" s="2920">
        <v>5820</v>
      </c>
      <c r="E262" s="2920">
        <v>7640</v>
      </c>
      <c r="F262" s="2920">
        <v>1070</v>
      </c>
      <c r="G262" s="2920">
        <v>3570</v>
      </c>
    </row>
    <row r="263" spans="1:7" s="2754" customFormat="1" ht="14.25" customHeight="1">
      <c r="A263" s="2920" t="s">
        <v>305</v>
      </c>
      <c r="B263" s="2920" t="s">
        <v>3107</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3108</v>
      </c>
      <c r="C265" s="2920"/>
      <c r="D265" s="2920"/>
      <c r="E265" s="2920"/>
      <c r="F265" s="2920">
        <v>1500</v>
      </c>
      <c r="G265" s="2920"/>
    </row>
    <row r="266" spans="1:7" s="2754" customFormat="1" ht="14.25" customHeight="1">
      <c r="A266" s="2920" t="s">
        <v>305</v>
      </c>
      <c r="B266" s="2920" t="s">
        <v>3109</v>
      </c>
      <c r="C266" s="2920"/>
      <c r="D266" s="2920"/>
      <c r="E266" s="2920"/>
      <c r="F266" s="2920">
        <v>1500</v>
      </c>
      <c r="G266" s="2920"/>
    </row>
    <row r="267" spans="1:7" s="2754" customFormat="1" ht="14.25" customHeight="1">
      <c r="A267" s="2920" t="s">
        <v>305</v>
      </c>
      <c r="B267" s="2920" t="s">
        <v>3110</v>
      </c>
      <c r="C267" s="2920"/>
      <c r="D267" s="2920"/>
      <c r="E267" s="2920"/>
      <c r="F267" s="2920">
        <v>1500</v>
      </c>
      <c r="G267" s="2920"/>
    </row>
    <row r="268" spans="1:7" s="2754" customFormat="1" ht="14.25" customHeight="1">
      <c r="A268" s="2920" t="s">
        <v>305</v>
      </c>
      <c r="B268" s="2920" t="s">
        <v>3111</v>
      </c>
      <c r="C268" s="2920"/>
      <c r="D268" s="2920"/>
      <c r="E268" s="2920"/>
      <c r="F268" s="2920">
        <v>1290</v>
      </c>
      <c r="G268" s="2920"/>
    </row>
    <row r="269" spans="1:7" s="2754" customFormat="1" ht="14.25" customHeight="1">
      <c r="A269" s="2920" t="s">
        <v>305</v>
      </c>
      <c r="B269" s="2920" t="s">
        <v>3112</v>
      </c>
      <c r="C269" s="2920"/>
      <c r="D269" s="2920"/>
      <c r="E269" s="2920"/>
      <c r="F269" s="2920">
        <v>1150</v>
      </c>
      <c r="G269" s="2920"/>
    </row>
    <row r="270" spans="1:7" s="2754" customFormat="1" ht="14.25" customHeight="1">
      <c r="A270" s="2920" t="s">
        <v>305</v>
      </c>
      <c r="B270" s="2920" t="s">
        <v>3113</v>
      </c>
      <c r="C270" s="2920"/>
      <c r="D270" s="2920"/>
      <c r="E270" s="2920"/>
      <c r="F270" s="2920">
        <v>1380</v>
      </c>
      <c r="G270" s="2920"/>
    </row>
    <row r="271" spans="1:7" s="2754" customFormat="1" ht="14.25" customHeight="1">
      <c r="A271" s="2920" t="s">
        <v>305</v>
      </c>
      <c r="B271" s="2920" t="s">
        <v>3114</v>
      </c>
      <c r="C271" s="2920"/>
      <c r="D271" s="2920"/>
      <c r="E271" s="2920"/>
      <c r="F271" s="2920">
        <v>1460</v>
      </c>
      <c r="G271" s="2920"/>
    </row>
    <row r="272" spans="1:7" s="2754" customFormat="1" ht="14.25" customHeight="1">
      <c r="A272" s="2920" t="s">
        <v>305</v>
      </c>
      <c r="B272" s="2920" t="s">
        <v>3115</v>
      </c>
      <c r="C272" s="2920"/>
      <c r="D272" s="2920"/>
      <c r="E272" s="2920"/>
      <c r="F272" s="2920">
        <v>1460</v>
      </c>
      <c r="G272" s="2920"/>
    </row>
    <row r="273" spans="1:7" s="2754" customFormat="1" ht="14.25" customHeight="1">
      <c r="A273" s="2920" t="s">
        <v>305</v>
      </c>
      <c r="B273" s="2920" t="s">
        <v>3008</v>
      </c>
      <c r="C273" s="2920"/>
      <c r="D273" s="2920"/>
      <c r="E273" s="2920"/>
      <c r="F273" s="2920">
        <v>1490</v>
      </c>
      <c r="G273" s="2920"/>
    </row>
    <row r="274" spans="1:7" s="2754" customFormat="1" ht="14.25" customHeight="1">
      <c r="A274" s="2920" t="s">
        <v>305</v>
      </c>
      <c r="B274" s="2920" t="s">
        <v>3116</v>
      </c>
      <c r="C274" s="2920"/>
      <c r="D274" s="2920"/>
      <c r="E274" s="2920"/>
      <c r="F274" s="2920">
        <v>1490</v>
      </c>
      <c r="G274" s="2920"/>
    </row>
    <row r="275" spans="1:7" s="2754" customFormat="1" ht="14.25" customHeight="1">
      <c r="A275" s="2920" t="s">
        <v>305</v>
      </c>
      <c r="B275" s="2920" t="s">
        <v>3117</v>
      </c>
      <c r="C275" s="2920"/>
      <c r="D275" s="2920"/>
      <c r="E275" s="2920"/>
      <c r="F275" s="2920">
        <v>1220</v>
      </c>
      <c r="G275" s="2920"/>
    </row>
    <row r="276" spans="1:7" s="2754" customFormat="1" ht="14.25" customHeight="1" thickBot="1">
      <c r="A276" s="2928" t="s">
        <v>305</v>
      </c>
      <c r="B276" s="2930" t="s">
        <v>3118</v>
      </c>
      <c r="C276" s="2931"/>
      <c r="D276" s="2931"/>
      <c r="E276" s="2931"/>
      <c r="F276" s="2931">
        <v>1380</v>
      </c>
      <c r="G276" s="2931"/>
    </row>
    <row r="277" spans="1:7" s="2754" customFormat="1" ht="14.25" customHeight="1">
      <c r="A277" s="2925" t="s">
        <v>306</v>
      </c>
      <c r="B277" s="2916" t="s">
        <v>3119</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3120</v>
      </c>
      <c r="C279" s="2920">
        <v>4760</v>
      </c>
      <c r="D279" s="2920">
        <v>4720</v>
      </c>
      <c r="E279" s="2920">
        <v>5540</v>
      </c>
      <c r="F279" s="2920">
        <v>810</v>
      </c>
      <c r="G279" s="2933">
        <v>2850</v>
      </c>
    </row>
    <row r="280" spans="1:7" s="2754" customFormat="1" ht="14.25" customHeight="1">
      <c r="A280" s="2920" t="s">
        <v>306</v>
      </c>
      <c r="B280" s="2920" t="s">
        <v>3121</v>
      </c>
      <c r="C280" s="2920">
        <v>4010</v>
      </c>
      <c r="D280" s="2920">
        <v>3950</v>
      </c>
      <c r="E280" s="2920">
        <v>4710</v>
      </c>
      <c r="F280" s="2920">
        <v>800</v>
      </c>
      <c r="G280" s="2933">
        <v>2390</v>
      </c>
    </row>
    <row r="281" spans="1:7" s="2754" customFormat="1" ht="14.25" customHeight="1">
      <c r="A281" s="2920" t="s">
        <v>306</v>
      </c>
      <c r="B281" s="2920" t="s">
        <v>3122</v>
      </c>
      <c r="C281" s="2920">
        <v>4480</v>
      </c>
      <c r="D281" s="2920">
        <v>4420</v>
      </c>
      <c r="E281" s="2920">
        <v>5230</v>
      </c>
      <c r="F281" s="2920">
        <v>870</v>
      </c>
      <c r="G281" s="2933">
        <v>2660</v>
      </c>
    </row>
    <row r="282" spans="1:7" s="2754" customFormat="1" ht="14.25" customHeight="1">
      <c r="A282" s="2920" t="s">
        <v>306</v>
      </c>
      <c r="B282" s="2920" t="s">
        <v>3123</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3124</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3125</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2900</v>
      </c>
      <c r="C293" s="2920">
        <v>5320</v>
      </c>
      <c r="D293" s="2920">
        <v>5270</v>
      </c>
      <c r="E293" s="2920">
        <v>6160</v>
      </c>
      <c r="F293" s="2920">
        <v>990</v>
      </c>
      <c r="G293" s="2933">
        <v>3170</v>
      </c>
    </row>
    <row r="294" spans="1:7" s="2754" customFormat="1" ht="14.25" customHeight="1">
      <c r="A294" s="2920" t="s">
        <v>306</v>
      </c>
      <c r="B294" s="2920" t="s">
        <v>3126</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2919</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3127</v>
      </c>
      <c r="C302" s="2920">
        <v>5520</v>
      </c>
      <c r="D302" s="2920">
        <v>5470</v>
      </c>
      <c r="E302" s="2920">
        <v>6410</v>
      </c>
      <c r="F302" s="2920">
        <v>950</v>
      </c>
      <c r="G302" s="2933">
        <v>3300</v>
      </c>
    </row>
    <row r="303" spans="1:7" s="2754" customFormat="1" ht="14.25" customHeight="1">
      <c r="A303" s="2920" t="s">
        <v>306</v>
      </c>
      <c r="B303" s="2920" t="s">
        <v>2939</v>
      </c>
      <c r="C303" s="2920">
        <v>5630</v>
      </c>
      <c r="D303" s="2920">
        <v>5590</v>
      </c>
      <c r="E303" s="2920">
        <v>6550</v>
      </c>
      <c r="F303" s="2920">
        <v>1010</v>
      </c>
      <c r="G303" s="2933">
        <v>3370</v>
      </c>
    </row>
    <row r="304" spans="1:7" s="2754" customFormat="1" ht="14.25" customHeight="1">
      <c r="A304" s="2920" t="s">
        <v>306</v>
      </c>
      <c r="B304" s="2920" t="s">
        <v>2946</v>
      </c>
      <c r="C304" s="2920">
        <v>5680</v>
      </c>
      <c r="D304" s="2920">
        <v>5620</v>
      </c>
      <c r="E304" s="2920">
        <v>6620</v>
      </c>
      <c r="F304" s="2920">
        <v>1050</v>
      </c>
      <c r="G304" s="2933">
        <v>3390</v>
      </c>
    </row>
    <row r="305" spans="1:7" s="2754" customFormat="1" ht="14.25" customHeight="1">
      <c r="A305" s="2920" t="s">
        <v>306</v>
      </c>
      <c r="B305" s="2920" t="s">
        <v>2952</v>
      </c>
      <c r="C305" s="2920">
        <v>5590</v>
      </c>
      <c r="D305" s="2920">
        <v>5530</v>
      </c>
      <c r="E305" s="2920">
        <v>6460</v>
      </c>
      <c r="F305" s="2920">
        <v>900</v>
      </c>
      <c r="G305" s="2933">
        <v>3340</v>
      </c>
    </row>
    <row r="306" spans="1:7" s="2754" customFormat="1" ht="14.25" customHeight="1">
      <c r="A306" s="2920" t="s">
        <v>306</v>
      </c>
      <c r="B306" s="2920" t="s">
        <v>3128</v>
      </c>
      <c r="C306" s="2920">
        <v>5560</v>
      </c>
      <c r="D306" s="2920">
        <v>5510</v>
      </c>
      <c r="E306" s="2920">
        <v>6440</v>
      </c>
      <c r="F306" s="2920">
        <v>900</v>
      </c>
      <c r="G306" s="2933">
        <v>3320</v>
      </c>
    </row>
    <row r="307" spans="1:7" s="2754" customFormat="1" ht="14.25" customHeight="1">
      <c r="A307" s="2920" t="s">
        <v>306</v>
      </c>
      <c r="B307" s="2920" t="s">
        <v>2964</v>
      </c>
      <c r="C307" s="2920">
        <v>5650</v>
      </c>
      <c r="D307" s="2920">
        <v>5600</v>
      </c>
      <c r="E307" s="2920">
        <v>6590</v>
      </c>
      <c r="F307" s="2920">
        <v>930</v>
      </c>
      <c r="G307" s="2933">
        <v>3380</v>
      </c>
    </row>
    <row r="308" spans="1:7" s="2754" customFormat="1" ht="14.25" customHeight="1">
      <c r="A308" s="2920" t="s">
        <v>306</v>
      </c>
      <c r="B308" s="2920" t="s">
        <v>3129</v>
      </c>
      <c r="C308" s="2920">
        <v>5620</v>
      </c>
      <c r="D308" s="2920">
        <v>5580</v>
      </c>
      <c r="E308" s="2920">
        <v>6540</v>
      </c>
      <c r="F308" s="2920">
        <v>910</v>
      </c>
      <c r="G308" s="2933">
        <v>3370</v>
      </c>
    </row>
    <row r="309" spans="1:7" s="2754" customFormat="1" ht="14.25" customHeight="1">
      <c r="A309" s="2920" t="s">
        <v>306</v>
      </c>
      <c r="B309" s="2920" t="s">
        <v>3130</v>
      </c>
      <c r="C309" s="2920">
        <v>5060</v>
      </c>
      <c r="D309" s="2920">
        <v>5020</v>
      </c>
      <c r="E309" s="2920">
        <v>6370</v>
      </c>
      <c r="F309" s="2920">
        <v>800</v>
      </c>
      <c r="G309" s="2933">
        <v>3020</v>
      </c>
    </row>
    <row r="310" spans="1:7" s="2754" customFormat="1" ht="14.25" customHeight="1">
      <c r="A310" s="2920" t="s">
        <v>306</v>
      </c>
      <c r="B310" s="2920" t="s">
        <v>2979</v>
      </c>
      <c r="C310" s="2920">
        <v>5150</v>
      </c>
      <c r="D310" s="2920">
        <v>5110</v>
      </c>
      <c r="E310" s="2920">
        <v>6500</v>
      </c>
      <c r="F310" s="2920">
        <v>880</v>
      </c>
      <c r="G310" s="2933">
        <v>3080</v>
      </c>
    </row>
    <row r="311" spans="1:7" s="2754" customFormat="1" ht="14.25" customHeight="1">
      <c r="A311" s="2920" t="s">
        <v>306</v>
      </c>
      <c r="B311" s="2920" t="s">
        <v>3131</v>
      </c>
      <c r="C311" s="2920">
        <v>4750</v>
      </c>
      <c r="D311" s="2920">
        <v>4710</v>
      </c>
      <c r="E311" s="2920">
        <v>5510</v>
      </c>
      <c r="F311" s="2920">
        <v>880</v>
      </c>
      <c r="G311" s="2933">
        <v>2840</v>
      </c>
    </row>
    <row r="312" spans="1:7" s="2754" customFormat="1" ht="14.25" customHeight="1">
      <c r="A312" s="2920" t="s">
        <v>306</v>
      </c>
      <c r="B312" s="2920" t="s">
        <v>2989</v>
      </c>
      <c r="C312" s="2920">
        <v>4690</v>
      </c>
      <c r="D312" s="2920">
        <v>4640</v>
      </c>
      <c r="E312" s="2920">
        <v>5420</v>
      </c>
      <c r="F312" s="2920">
        <v>800</v>
      </c>
      <c r="G312" s="2933">
        <v>2800</v>
      </c>
    </row>
    <row r="313" spans="1:7" s="2754" customFormat="1" ht="14.25" customHeight="1">
      <c r="A313" s="2920" t="s">
        <v>306</v>
      </c>
      <c r="B313" s="2920" t="s">
        <v>2994</v>
      </c>
      <c r="C313" s="2920">
        <v>4810</v>
      </c>
      <c r="D313" s="2920">
        <v>4760</v>
      </c>
      <c r="E313" s="2920">
        <v>5550</v>
      </c>
      <c r="F313" s="2920">
        <v>920</v>
      </c>
      <c r="G313" s="2933">
        <v>2870</v>
      </c>
    </row>
    <row r="314" spans="1:7" s="2754" customFormat="1" ht="14.25" customHeight="1">
      <c r="A314" s="2920" t="s">
        <v>306</v>
      </c>
      <c r="B314" s="2920" t="s">
        <v>3132</v>
      </c>
      <c r="C314" s="2920"/>
      <c r="D314" s="2920"/>
      <c r="E314" s="2920"/>
      <c r="F314" s="2920">
        <v>1020</v>
      </c>
      <c r="G314" s="2933"/>
    </row>
    <row r="315" spans="1:7" s="2754" customFormat="1" ht="14.25" customHeight="1">
      <c r="A315" s="2920" t="s">
        <v>306</v>
      </c>
      <c r="B315" s="2920" t="s">
        <v>3133</v>
      </c>
      <c r="C315" s="2920"/>
      <c r="D315" s="2920"/>
      <c r="E315" s="2920"/>
      <c r="F315" s="2920">
        <v>1050</v>
      </c>
      <c r="G315" s="2933"/>
    </row>
    <row r="316" spans="1:7" s="2754" customFormat="1" ht="14.25" customHeight="1">
      <c r="A316" s="2920" t="s">
        <v>306</v>
      </c>
      <c r="B316" s="2920" t="s">
        <v>3009</v>
      </c>
      <c r="C316" s="2920"/>
      <c r="D316" s="2920"/>
      <c r="E316" s="2920"/>
      <c r="F316" s="2920">
        <v>900</v>
      </c>
      <c r="G316" s="2933"/>
    </row>
    <row r="317" spans="1:7" s="2754" customFormat="1" ht="14.25" customHeight="1">
      <c r="A317" s="2920" t="s">
        <v>306</v>
      </c>
      <c r="B317" s="2920" t="s">
        <v>3134</v>
      </c>
      <c r="C317" s="2920"/>
      <c r="D317" s="2920"/>
      <c r="E317" s="2920"/>
      <c r="F317" s="2920">
        <v>920</v>
      </c>
      <c r="G317" s="2933"/>
    </row>
    <row r="318" spans="1:7" s="2754" customFormat="1" ht="14.25" customHeight="1">
      <c r="A318" s="2920" t="s">
        <v>306</v>
      </c>
      <c r="B318" s="2920" t="s">
        <v>3135</v>
      </c>
      <c r="C318" s="2920"/>
      <c r="D318" s="2920"/>
      <c r="E318" s="2920"/>
      <c r="F318" s="2920">
        <v>1080</v>
      </c>
      <c r="G318" s="2933"/>
    </row>
    <row r="319" spans="1:7" s="2754" customFormat="1" ht="14.25" customHeight="1">
      <c r="A319" s="2920" t="s">
        <v>306</v>
      </c>
      <c r="B319" s="2920" t="s">
        <v>3022</v>
      </c>
      <c r="C319" s="2920"/>
      <c r="D319" s="2920"/>
      <c r="E319" s="2920"/>
      <c r="F319" s="2920">
        <v>1020</v>
      </c>
      <c r="G319" s="2933"/>
    </row>
    <row r="320" spans="1:7" s="2754" customFormat="1" ht="14.25" customHeight="1">
      <c r="A320" s="2920" t="s">
        <v>306</v>
      </c>
      <c r="B320" s="2920" t="s">
        <v>3025</v>
      </c>
      <c r="C320" s="2920"/>
      <c r="D320" s="2920"/>
      <c r="E320" s="2920"/>
      <c r="F320" s="2920">
        <v>1050</v>
      </c>
      <c r="G320" s="2933"/>
    </row>
    <row r="321" spans="1:7" s="2754" customFormat="1" ht="14.25" customHeight="1">
      <c r="A321" s="2920" t="s">
        <v>306</v>
      </c>
      <c r="B321" s="2920" t="s">
        <v>3027</v>
      </c>
      <c r="C321" s="2920"/>
      <c r="D321" s="2920"/>
      <c r="E321" s="2920"/>
      <c r="F321" s="2920">
        <v>960</v>
      </c>
      <c r="G321" s="2933"/>
    </row>
    <row r="322" spans="1:7" s="2754" customFormat="1" ht="14.25" customHeight="1">
      <c r="A322" s="2920" t="s">
        <v>306</v>
      </c>
      <c r="B322" s="2920" t="s">
        <v>3029</v>
      </c>
      <c r="C322" s="2920"/>
      <c r="D322" s="2920"/>
      <c r="E322" s="2920"/>
      <c r="F322" s="2920">
        <v>960</v>
      </c>
      <c r="G322" s="2933"/>
    </row>
    <row r="323" spans="1:7" s="2754" customFormat="1" ht="14.25" customHeight="1">
      <c r="A323" s="2920" t="s">
        <v>306</v>
      </c>
      <c r="B323" s="2920" t="s">
        <v>3031</v>
      </c>
      <c r="C323" s="2920"/>
      <c r="D323" s="2920"/>
      <c r="E323" s="2920"/>
      <c r="F323" s="2920">
        <v>880</v>
      </c>
      <c r="G323" s="2933"/>
    </row>
    <row r="324" spans="1:7" s="2754" customFormat="1" ht="14.25" customHeight="1">
      <c r="A324" s="2920" t="s">
        <v>306</v>
      </c>
      <c r="B324" s="2920" t="s">
        <v>3033</v>
      </c>
      <c r="C324" s="2920"/>
      <c r="D324" s="2920"/>
      <c r="E324" s="2920"/>
      <c r="F324" s="2920">
        <v>930</v>
      </c>
      <c r="G324" s="2933"/>
    </row>
    <row r="325" spans="1:7" s="2754" customFormat="1" ht="14.25" customHeight="1">
      <c r="A325" s="2920" t="s">
        <v>306</v>
      </c>
      <c r="B325" s="2921" t="s">
        <v>3035</v>
      </c>
      <c r="C325" s="2920"/>
      <c r="D325" s="2920"/>
      <c r="E325" s="2920"/>
      <c r="F325" s="2920">
        <v>900</v>
      </c>
      <c r="G325" s="2933"/>
    </row>
    <row r="326" spans="1:7" s="2754" customFormat="1" ht="14.25" customHeight="1" thickBot="1">
      <c r="A326" s="2934" t="s">
        <v>306</v>
      </c>
      <c r="B326" s="2927" t="s">
        <v>3037</v>
      </c>
      <c r="C326" s="2927"/>
      <c r="D326" s="2927"/>
      <c r="E326" s="2927"/>
      <c r="F326" s="2927">
        <v>790</v>
      </c>
      <c r="G326" s="2935"/>
    </row>
    <row r="327" spans="1:7" s="2754" customFormat="1" ht="14.25" customHeight="1">
      <c r="A327" s="2925" t="s">
        <v>307</v>
      </c>
      <c r="B327" s="2916" t="s">
        <v>3136</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3137</v>
      </c>
      <c r="C329" s="2920">
        <v>2730</v>
      </c>
      <c r="D329" s="2920">
        <v>2690</v>
      </c>
      <c r="E329" s="2920">
        <v>3100</v>
      </c>
      <c r="F329" s="2920">
        <v>660</v>
      </c>
      <c r="G329" s="2920">
        <v>1610</v>
      </c>
    </row>
    <row r="330" spans="1:7" s="2754" customFormat="1" ht="14.25" customHeight="1">
      <c r="A330" s="2920" t="s">
        <v>307</v>
      </c>
      <c r="B330" s="2920" t="s">
        <v>3138</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2871</v>
      </c>
      <c r="C332" s="2920">
        <v>3520</v>
      </c>
      <c r="D332" s="2920">
        <v>3480</v>
      </c>
      <c r="E332" s="2920">
        <v>3830</v>
      </c>
      <c r="F332" s="2920">
        <v>720</v>
      </c>
      <c r="G332" s="2920">
        <v>2090</v>
      </c>
    </row>
    <row r="333" spans="1:7" s="2754" customFormat="1" ht="14.25" customHeight="1">
      <c r="A333" s="2920" t="s">
        <v>307</v>
      </c>
      <c r="B333" s="2920" t="s">
        <v>3139</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2881</v>
      </c>
      <c r="C336" s="2920">
        <v>3570</v>
      </c>
      <c r="D336" s="2920">
        <v>3530</v>
      </c>
      <c r="E336" s="2920">
        <v>3880</v>
      </c>
      <c r="F336" s="2920">
        <v>770</v>
      </c>
      <c r="G336" s="2920">
        <v>2110</v>
      </c>
    </row>
    <row r="337" spans="1:10" s="2754" customFormat="1" ht="14.25" customHeight="1">
      <c r="A337" s="2920" t="s">
        <v>307</v>
      </c>
      <c r="B337" s="2920" t="s">
        <v>3140</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3141</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3142</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2906</v>
      </c>
      <c r="C345" s="2920">
        <v>3190</v>
      </c>
      <c r="D345" s="2920">
        <v>3140</v>
      </c>
      <c r="E345" s="2920">
        <v>3450</v>
      </c>
      <c r="F345" s="2920">
        <v>720</v>
      </c>
      <c r="G345" s="2920">
        <v>1880</v>
      </c>
      <c r="J345" s="2754"/>
    </row>
    <row r="346" spans="1:10">
      <c r="A346" s="2920" t="s">
        <v>307</v>
      </c>
      <c r="B346" s="2920" t="s">
        <v>3143</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2915</v>
      </c>
      <c r="C348" s="2920">
        <v>4000</v>
      </c>
      <c r="D348" s="2920">
        <v>3950</v>
      </c>
      <c r="E348" s="2920">
        <v>4430</v>
      </c>
      <c r="F348" s="2920">
        <v>760</v>
      </c>
      <c r="G348" s="2920">
        <v>2360</v>
      </c>
      <c r="J348" s="2754"/>
    </row>
    <row r="349" spans="1:10">
      <c r="A349" s="2920" t="s">
        <v>307</v>
      </c>
      <c r="B349" s="2920" t="s">
        <v>2920</v>
      </c>
      <c r="C349" s="2920">
        <v>3820</v>
      </c>
      <c r="D349" s="2920">
        <v>3780</v>
      </c>
      <c r="E349" s="2920">
        <v>4170</v>
      </c>
      <c r="F349" s="2920">
        <v>710</v>
      </c>
      <c r="G349" s="2920">
        <v>2260</v>
      </c>
      <c r="J349" s="2754"/>
    </row>
    <row r="350" spans="1:10">
      <c r="A350" s="2920" t="s">
        <v>307</v>
      </c>
      <c r="B350" s="2920" t="s">
        <v>3144</v>
      </c>
      <c r="C350" s="2920">
        <v>3760</v>
      </c>
      <c r="D350" s="2920">
        <v>3730</v>
      </c>
      <c r="E350" s="2920">
        <v>4100</v>
      </c>
      <c r="F350" s="2920">
        <v>800</v>
      </c>
      <c r="G350" s="2920">
        <v>2230</v>
      </c>
      <c r="J350" s="2754"/>
    </row>
    <row r="351" spans="1:10">
      <c r="A351" s="2920" t="s">
        <v>307</v>
      </c>
      <c r="B351" s="2920" t="s">
        <v>2928</v>
      </c>
      <c r="C351" s="2920">
        <v>3610</v>
      </c>
      <c r="D351" s="2920">
        <v>3580</v>
      </c>
      <c r="E351" s="2920">
        <v>3930</v>
      </c>
      <c r="F351" s="2920">
        <v>700</v>
      </c>
      <c r="G351" s="2920">
        <v>2140</v>
      </c>
      <c r="J351" s="2754"/>
    </row>
    <row r="352" spans="1:10">
      <c r="A352" s="2920" t="s">
        <v>307</v>
      </c>
      <c r="B352" s="2920" t="s">
        <v>2933</v>
      </c>
      <c r="C352" s="2920">
        <v>3670</v>
      </c>
      <c r="D352" s="2920">
        <v>3630</v>
      </c>
      <c r="E352" s="2920">
        <v>4000</v>
      </c>
      <c r="F352" s="2920">
        <v>750</v>
      </c>
      <c r="G352" s="2920">
        <v>2180</v>
      </c>
    </row>
    <row r="353" spans="1:7" s="2755" customFormat="1">
      <c r="A353" s="2920" t="s">
        <v>307</v>
      </c>
      <c r="B353" s="2920" t="s">
        <v>3145</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2953</v>
      </c>
      <c r="C355" s="2920">
        <v>3650</v>
      </c>
      <c r="D355" s="2920">
        <v>3610</v>
      </c>
      <c r="E355" s="2920">
        <v>4200</v>
      </c>
      <c r="F355" s="2920">
        <v>640</v>
      </c>
      <c r="G355" s="2920">
        <v>2160</v>
      </c>
    </row>
    <row r="356" spans="1:7" s="2755" customFormat="1">
      <c r="A356" s="2920" t="s">
        <v>307</v>
      </c>
      <c r="B356" s="2920" t="s">
        <v>2960</v>
      </c>
      <c r="C356" s="2920">
        <v>3260</v>
      </c>
      <c r="D356" s="2920">
        <v>3230</v>
      </c>
      <c r="E356" s="2920">
        <v>3740</v>
      </c>
      <c r="F356" s="2920">
        <v>600</v>
      </c>
      <c r="G356" s="2920">
        <v>1930</v>
      </c>
    </row>
    <row r="357" spans="1:7" s="2755" customFormat="1" ht="12" thickBot="1">
      <c r="A357" s="2928" t="s">
        <v>307</v>
      </c>
      <c r="B357" s="2931" t="s">
        <v>3146</v>
      </c>
      <c r="C357" s="2931">
        <v>3690</v>
      </c>
      <c r="D357" s="2931">
        <v>3650</v>
      </c>
      <c r="E357" s="2931">
        <v>4020</v>
      </c>
      <c r="F357" s="2931">
        <v>700</v>
      </c>
      <c r="G357" s="2931">
        <v>2190</v>
      </c>
    </row>
    <row r="358" spans="1:7" s="2755" customFormat="1">
      <c r="A358" s="2925" t="s">
        <v>3147</v>
      </c>
      <c r="B358" s="2916" t="s">
        <v>3148</v>
      </c>
      <c r="C358" s="2916">
        <v>2080</v>
      </c>
      <c r="D358" s="2916">
        <v>2040</v>
      </c>
      <c r="E358" s="2916">
        <v>2010</v>
      </c>
      <c r="F358" s="2916">
        <v>530</v>
      </c>
      <c r="G358" s="2932">
        <v>1230</v>
      </c>
    </row>
    <row r="359" spans="1:7" s="2755" customFormat="1">
      <c r="A359" s="2920" t="s">
        <v>3147</v>
      </c>
      <c r="B359" s="2920" t="s">
        <v>3149</v>
      </c>
      <c r="C359" s="2920">
        <v>1850</v>
      </c>
      <c r="D359" s="2920">
        <v>1820</v>
      </c>
      <c r="E359" s="2920">
        <v>1780</v>
      </c>
      <c r="F359" s="2920">
        <v>520</v>
      </c>
      <c r="G359" s="2933">
        <v>1100</v>
      </c>
    </row>
    <row r="360" spans="1:7" s="2755" customFormat="1">
      <c r="A360" s="2920" t="s">
        <v>3147</v>
      </c>
      <c r="B360" s="2920" t="s">
        <v>3150</v>
      </c>
      <c r="C360" s="2920">
        <v>2020</v>
      </c>
      <c r="D360" s="2920">
        <v>1990</v>
      </c>
      <c r="E360" s="2920">
        <v>1950</v>
      </c>
      <c r="F360" s="2920">
        <v>500</v>
      </c>
      <c r="G360" s="2933">
        <v>1200</v>
      </c>
    </row>
    <row r="361" spans="1:7" s="2755" customFormat="1">
      <c r="A361" s="2920" t="s">
        <v>3147</v>
      </c>
      <c r="B361" s="2920" t="s">
        <v>153</v>
      </c>
      <c r="C361" s="2920">
        <v>2260</v>
      </c>
      <c r="D361" s="2920">
        <v>2220</v>
      </c>
      <c r="E361" s="2920">
        <v>2180</v>
      </c>
      <c r="F361" s="2920">
        <v>580</v>
      </c>
      <c r="G361" s="2933">
        <v>1340</v>
      </c>
    </row>
    <row r="362" spans="1:7" s="2755" customFormat="1">
      <c r="A362" s="2920" t="s">
        <v>3147</v>
      </c>
      <c r="B362" s="2920" t="s">
        <v>3151</v>
      </c>
      <c r="C362" s="2920">
        <v>2650</v>
      </c>
      <c r="D362" s="2920">
        <v>2610</v>
      </c>
      <c r="E362" s="2920">
        <v>2570</v>
      </c>
      <c r="F362" s="2920">
        <v>630</v>
      </c>
      <c r="G362" s="2933">
        <v>1570</v>
      </c>
    </row>
    <row r="363" spans="1:7" s="2755" customFormat="1">
      <c r="A363" s="2920" t="s">
        <v>3147</v>
      </c>
      <c r="B363" s="2920" t="s">
        <v>2872</v>
      </c>
      <c r="C363" s="2920">
        <v>2390</v>
      </c>
      <c r="D363" s="2920">
        <v>2360</v>
      </c>
      <c r="E363" s="2920">
        <v>2320</v>
      </c>
      <c r="F363" s="2920">
        <v>600</v>
      </c>
      <c r="G363" s="2933">
        <v>1420</v>
      </c>
    </row>
    <row r="364" spans="1:7" s="2755" customFormat="1">
      <c r="A364" s="2920" t="s">
        <v>3147</v>
      </c>
      <c r="B364" s="2920" t="s">
        <v>3152</v>
      </c>
      <c r="C364" s="2920">
        <v>2050</v>
      </c>
      <c r="D364" s="2920">
        <v>2030</v>
      </c>
      <c r="E364" s="2920">
        <v>1990</v>
      </c>
      <c r="F364" s="2920">
        <v>550</v>
      </c>
      <c r="G364" s="2933">
        <v>1220</v>
      </c>
    </row>
    <row r="365" spans="1:7" s="2755" customFormat="1">
      <c r="A365" s="2920" t="s">
        <v>3147</v>
      </c>
      <c r="B365" s="2920" t="s">
        <v>200</v>
      </c>
      <c r="C365" s="2920">
        <v>2140</v>
      </c>
      <c r="D365" s="2920">
        <v>2100</v>
      </c>
      <c r="E365" s="2920">
        <v>2060</v>
      </c>
      <c r="F365" s="2920">
        <v>540</v>
      </c>
      <c r="G365" s="2933">
        <v>1270</v>
      </c>
    </row>
    <row r="366" spans="1:7" s="2755" customFormat="1">
      <c r="A366" s="2920" t="s">
        <v>3147</v>
      </c>
      <c r="B366" s="2920" t="s">
        <v>2879</v>
      </c>
      <c r="C366" s="2920">
        <v>2410</v>
      </c>
      <c r="D366" s="2920">
        <v>2370</v>
      </c>
      <c r="E366" s="2920">
        <v>2330</v>
      </c>
      <c r="F366" s="2920">
        <v>570</v>
      </c>
      <c r="G366" s="2933">
        <v>1440</v>
      </c>
    </row>
    <row r="367" spans="1:7" s="2755" customFormat="1">
      <c r="A367" s="2920" t="s">
        <v>3147</v>
      </c>
      <c r="B367" s="2920" t="s">
        <v>3153</v>
      </c>
      <c r="C367" s="2920">
        <v>2300</v>
      </c>
      <c r="D367" s="2920">
        <v>2260</v>
      </c>
      <c r="E367" s="2920">
        <v>2220</v>
      </c>
      <c r="F367" s="2920">
        <v>560</v>
      </c>
      <c r="G367" s="2933">
        <v>1370</v>
      </c>
    </row>
    <row r="368" spans="1:7" s="2755" customFormat="1">
      <c r="A368" s="2920" t="s">
        <v>3147</v>
      </c>
      <c r="B368" s="2920" t="s">
        <v>3154</v>
      </c>
      <c r="C368" s="2920">
        <v>2430</v>
      </c>
      <c r="D368" s="2920">
        <v>2390</v>
      </c>
      <c r="E368" s="2920">
        <v>2350</v>
      </c>
      <c r="F368" s="2920">
        <v>570</v>
      </c>
      <c r="G368" s="2933">
        <v>1450</v>
      </c>
    </row>
    <row r="369" spans="1:7" s="2755" customFormat="1">
      <c r="A369" s="2920" t="s">
        <v>3147</v>
      </c>
      <c r="B369" s="2920" t="s">
        <v>214</v>
      </c>
      <c r="C369" s="2920">
        <v>2320</v>
      </c>
      <c r="D369" s="2920">
        <v>2290</v>
      </c>
      <c r="E369" s="2920">
        <v>2250</v>
      </c>
      <c r="F369" s="2920">
        <v>550</v>
      </c>
      <c r="G369" s="2933">
        <v>1380</v>
      </c>
    </row>
    <row r="370" spans="1:7" s="2755" customFormat="1">
      <c r="A370" s="2920" t="s">
        <v>3147</v>
      </c>
      <c r="B370" s="2920" t="s">
        <v>221</v>
      </c>
      <c r="C370" s="2920">
        <v>2190</v>
      </c>
      <c r="D370" s="2920">
        <v>2170</v>
      </c>
      <c r="E370" s="2920">
        <v>2130</v>
      </c>
      <c r="F370" s="2920">
        <v>530</v>
      </c>
      <c r="G370" s="2933">
        <v>1310</v>
      </c>
    </row>
    <row r="371" spans="1:7" s="2755" customFormat="1">
      <c r="A371" s="2920" t="s">
        <v>3147</v>
      </c>
      <c r="B371" s="2920" t="s">
        <v>229</v>
      </c>
      <c r="C371" s="2920">
        <v>2460</v>
      </c>
      <c r="D371" s="2920">
        <v>2420</v>
      </c>
      <c r="E371" s="2920">
        <v>2370</v>
      </c>
      <c r="F371" s="2920">
        <v>560</v>
      </c>
      <c r="G371" s="2933">
        <v>1470</v>
      </c>
    </row>
    <row r="372" spans="1:7" s="2755" customFormat="1">
      <c r="A372" s="2920" t="s">
        <v>3147</v>
      </c>
      <c r="B372" s="2920" t="s">
        <v>3155</v>
      </c>
      <c r="C372" s="2920">
        <v>2250</v>
      </c>
      <c r="D372" s="2920">
        <v>2210</v>
      </c>
      <c r="E372" s="2920">
        <v>2180</v>
      </c>
      <c r="F372" s="2920">
        <v>550</v>
      </c>
      <c r="G372" s="2933">
        <v>1340</v>
      </c>
    </row>
    <row r="373" spans="1:7" s="2755" customFormat="1">
      <c r="A373" s="2920" t="s">
        <v>3147</v>
      </c>
      <c r="B373" s="2920" t="s">
        <v>258</v>
      </c>
      <c r="C373" s="2920">
        <v>2210</v>
      </c>
      <c r="D373" s="2920">
        <v>2190</v>
      </c>
      <c r="E373" s="2920">
        <v>2150</v>
      </c>
      <c r="F373" s="2920">
        <v>530</v>
      </c>
      <c r="G373" s="2933">
        <v>1320</v>
      </c>
    </row>
    <row r="374" spans="1:7" s="2755" customFormat="1">
      <c r="A374" s="2920" t="s">
        <v>3147</v>
      </c>
      <c r="B374" s="2920" t="s">
        <v>266</v>
      </c>
      <c r="C374" s="2920">
        <v>2320</v>
      </c>
      <c r="D374" s="2920">
        <v>2280</v>
      </c>
      <c r="E374" s="2920">
        <v>2230</v>
      </c>
      <c r="F374" s="2920">
        <v>580</v>
      </c>
      <c r="G374" s="2933">
        <v>1380</v>
      </c>
    </row>
    <row r="375" spans="1:7" s="2755" customFormat="1">
      <c r="A375" s="2920" t="s">
        <v>3147</v>
      </c>
      <c r="B375" s="2920" t="s">
        <v>3156</v>
      </c>
      <c r="C375" s="2920">
        <v>2090</v>
      </c>
      <c r="D375" s="2920">
        <v>2050</v>
      </c>
      <c r="E375" s="2920">
        <v>2020</v>
      </c>
      <c r="F375" s="2920">
        <v>520</v>
      </c>
      <c r="G375" s="2933">
        <v>1240</v>
      </c>
    </row>
    <row r="376" spans="1:7" s="2755" customFormat="1">
      <c r="A376" s="2920" t="s">
        <v>3147</v>
      </c>
      <c r="B376" s="2920" t="s">
        <v>277</v>
      </c>
      <c r="C376" s="2920">
        <v>2010</v>
      </c>
      <c r="D376" s="2920">
        <v>1980</v>
      </c>
      <c r="E376" s="2920">
        <v>1940</v>
      </c>
      <c r="F376" s="2920">
        <v>540</v>
      </c>
      <c r="G376" s="2933">
        <v>1190</v>
      </c>
    </row>
    <row r="377" spans="1:7" s="2755" customFormat="1" ht="12" thickBot="1">
      <c r="A377" s="2928" t="s">
        <v>3147</v>
      </c>
      <c r="B377" s="2931" t="s">
        <v>2909</v>
      </c>
      <c r="C377" s="2931">
        <v>1930</v>
      </c>
      <c r="D377" s="2931">
        <v>1890</v>
      </c>
      <c r="E377" s="2931">
        <v>1860</v>
      </c>
      <c r="F377" s="2931">
        <v>530</v>
      </c>
      <c r="G377" s="2936">
        <v>1150</v>
      </c>
    </row>
    <row r="378" spans="1:7" s="2755" customFormat="1">
      <c r="A378" s="2937" t="s">
        <v>3157</v>
      </c>
      <c r="B378" s="2916" t="s">
        <v>3158</v>
      </c>
      <c r="C378" s="2916">
        <v>1520</v>
      </c>
      <c r="D378" s="2916">
        <v>1490</v>
      </c>
      <c r="E378" s="2916">
        <v>1460</v>
      </c>
      <c r="F378" s="2916">
        <v>460</v>
      </c>
      <c r="G378" s="2932">
        <v>940</v>
      </c>
    </row>
    <row r="379" spans="1:7" s="2755" customFormat="1">
      <c r="A379" s="2938" t="s">
        <v>3157</v>
      </c>
      <c r="B379" s="2920" t="s">
        <v>3159</v>
      </c>
      <c r="C379" s="2920">
        <v>1500</v>
      </c>
      <c r="D379" s="2920">
        <v>1470</v>
      </c>
      <c r="E379" s="2920">
        <v>1430</v>
      </c>
      <c r="F379" s="2920">
        <v>460</v>
      </c>
      <c r="G379" s="2933">
        <v>920</v>
      </c>
    </row>
    <row r="380" spans="1:7" s="2755" customFormat="1">
      <c r="A380" s="2938" t="s">
        <v>3157</v>
      </c>
      <c r="B380" s="2920" t="s">
        <v>3160</v>
      </c>
      <c r="C380" s="2920">
        <v>1620</v>
      </c>
      <c r="D380" s="2920">
        <v>1590</v>
      </c>
      <c r="E380" s="2920">
        <v>1560</v>
      </c>
      <c r="F380" s="2920">
        <v>480</v>
      </c>
      <c r="G380" s="2933">
        <v>1000</v>
      </c>
    </row>
    <row r="381" spans="1:7" s="2755" customFormat="1">
      <c r="A381" s="2938" t="s">
        <v>3157</v>
      </c>
      <c r="B381" s="2920" t="s">
        <v>3161</v>
      </c>
      <c r="C381" s="2920">
        <v>1460</v>
      </c>
      <c r="D381" s="2920">
        <v>1430</v>
      </c>
      <c r="E381" s="2920">
        <v>1390</v>
      </c>
      <c r="F381" s="2920">
        <v>450</v>
      </c>
      <c r="G381" s="2933">
        <v>900</v>
      </c>
    </row>
    <row r="382" spans="1:7" s="2755" customFormat="1">
      <c r="A382" s="2938" t="s">
        <v>3157</v>
      </c>
      <c r="B382" s="2920" t="s">
        <v>3162</v>
      </c>
      <c r="C382" s="2920">
        <v>1310</v>
      </c>
      <c r="D382" s="2920">
        <v>1280</v>
      </c>
      <c r="E382" s="2920">
        <v>1250</v>
      </c>
      <c r="F382" s="2920">
        <v>440</v>
      </c>
      <c r="G382" s="2933">
        <v>800</v>
      </c>
    </row>
    <row r="383" spans="1:7" s="2755" customFormat="1">
      <c r="A383" s="2938" t="s">
        <v>3157</v>
      </c>
      <c r="B383" s="2920" t="s">
        <v>3163</v>
      </c>
      <c r="C383" s="2920">
        <v>1260</v>
      </c>
      <c r="D383" s="2920">
        <v>1230</v>
      </c>
      <c r="E383" s="2920">
        <v>1200</v>
      </c>
      <c r="F383" s="2920">
        <v>420</v>
      </c>
      <c r="G383" s="2933">
        <v>770</v>
      </c>
    </row>
    <row r="384" spans="1:7" s="2755" customFormat="1" ht="12" thickBot="1">
      <c r="A384" s="2939" t="s">
        <v>3157</v>
      </c>
      <c r="B384" s="2927" t="s">
        <v>3164</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45952</v>
      </c>
      <c r="D1" s="1195" t="s">
        <v>603</v>
      </c>
      <c r="E1" s="1190">
        <f>'数据-取费表'!B22</f>
        <v>2</v>
      </c>
      <c r="F1" s="1195" t="s">
        <v>604</v>
      </c>
      <c r="G1" s="1191">
        <f ca="1">IF(OR(C1&lt;C27,E1&lt;=1),INDIRECT("d"&amp;$K$1)/100,ROUND((D5+(E1-C5)*(D7-D5)/(C7-C5))/100,4))</f>
        <v>3.1300000000000001E-2</v>
      </c>
      <c r="H1" s="1195" t="s">
        <v>634</v>
      </c>
      <c r="I1" s="1191">
        <f ca="1">F4/100</f>
        <v>1.4999999999999999E-2</v>
      </c>
      <c r="J1" s="1196">
        <f>IF(C1&gt;C13,0,MATCH(C1,C$13:C$115,-1))+IF(SUMIF(C13:C115,C1,D13:D115)=0,13,12)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45797</v>
      </c>
      <c r="D13" s="1179">
        <v>3</v>
      </c>
      <c r="E13" s="1179">
        <v>3</v>
      </c>
      <c r="F13" s="1179">
        <f t="shared" ref="F13:F18" si="0">D13</f>
        <v>3</v>
      </c>
      <c r="G13" s="1179">
        <f t="shared" ref="G13:G18" si="1">D13</f>
        <v>3</v>
      </c>
      <c r="H13" s="1179">
        <v>3.5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45586</v>
      </c>
      <c r="D14" s="1183">
        <v>3.1</v>
      </c>
      <c r="E14" s="1183">
        <f>D14</f>
        <v>3.1</v>
      </c>
      <c r="F14" s="1183">
        <f t="shared" si="0"/>
        <v>3.1</v>
      </c>
      <c r="G14" s="1183">
        <f t="shared" si="1"/>
        <v>3.1</v>
      </c>
      <c r="H14" s="1183">
        <v>3.6</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45495</v>
      </c>
      <c r="D15" s="1183">
        <v>3.35</v>
      </c>
      <c r="E15" s="1183">
        <f>D15</f>
        <v>3.35</v>
      </c>
      <c r="F15" s="1183">
        <f t="shared" si="0"/>
        <v>3.35</v>
      </c>
      <c r="G15" s="1183">
        <f t="shared" si="1"/>
        <v>3.35</v>
      </c>
      <c r="H15" s="1183">
        <v>3.85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45342</v>
      </c>
      <c r="D16" s="1183">
        <v>3.45</v>
      </c>
      <c r="E16" s="1183">
        <f>D16</f>
        <v>3.45</v>
      </c>
      <c r="F16" s="1183">
        <f t="shared" si="0"/>
        <v>3.45</v>
      </c>
      <c r="G16" s="1183">
        <f t="shared" si="1"/>
        <v>3.45</v>
      </c>
      <c r="H16" s="1183">
        <v>3.95</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45159</v>
      </c>
      <c r="D17" s="1183">
        <v>3.45</v>
      </c>
      <c r="E17" s="1183">
        <f>D17</f>
        <v>3.45</v>
      </c>
      <c r="F17" s="1183">
        <f t="shared" si="0"/>
        <v>3.45</v>
      </c>
      <c r="G17" s="1183">
        <f t="shared" si="1"/>
        <v>3.45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45097</v>
      </c>
      <c r="D18" s="1183">
        <v>3.55</v>
      </c>
      <c r="E18" s="1183">
        <f>D18</f>
        <v>3.55</v>
      </c>
      <c r="F18" s="1183">
        <f t="shared" si="0"/>
        <v>3.55</v>
      </c>
      <c r="G18" s="1183">
        <f t="shared" si="1"/>
        <v>3.55</v>
      </c>
      <c r="H18" s="1183">
        <v>4.2</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44795</v>
      </c>
      <c r="D19" s="1183">
        <v>3.65</v>
      </c>
      <c r="E19" s="1183">
        <v>3.65</v>
      </c>
      <c r="F19" s="1183">
        <v>3.65</v>
      </c>
      <c r="G19" s="1183">
        <v>3.65</v>
      </c>
      <c r="H19" s="1183">
        <v>4.3</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44701</v>
      </c>
      <c r="D20" s="1183">
        <v>3.7</v>
      </c>
      <c r="E20" s="1183">
        <f>D20</f>
        <v>3.7</v>
      </c>
      <c r="F20" s="1183">
        <f>D20</f>
        <v>3.7</v>
      </c>
      <c r="G20" s="1183">
        <f>D20</f>
        <v>3.7</v>
      </c>
      <c r="H20" s="1183">
        <v>4.45</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78"/>
      <c r="C21" s="1184">
        <v>44581</v>
      </c>
      <c r="D21" s="1183">
        <v>3.7</v>
      </c>
      <c r="E21" s="1183">
        <f>D21</f>
        <v>3.7</v>
      </c>
      <c r="F21" s="1183">
        <f>D21</f>
        <v>3.7</v>
      </c>
      <c r="G21" s="1183">
        <f>D21</f>
        <v>3.7</v>
      </c>
      <c r="H21" s="1183">
        <v>4.5999999999999996</v>
      </c>
      <c r="I21" s="1179"/>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44550</v>
      </c>
      <c r="D22" s="1183">
        <v>3.8</v>
      </c>
      <c r="E22" s="1183">
        <f>D22</f>
        <v>3.8</v>
      </c>
      <c r="F22" s="1183">
        <f>D22</f>
        <v>3.8</v>
      </c>
      <c r="G22" s="1183">
        <f>D22</f>
        <v>3.8</v>
      </c>
      <c r="H22" s="1183">
        <v>4.6500000000000004</v>
      </c>
      <c r="I22" s="1183"/>
      <c r="J22" s="1179"/>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43941</v>
      </c>
      <c r="D23" s="1183">
        <v>3.85</v>
      </c>
      <c r="E23" s="1183">
        <v>3.85</v>
      </c>
      <c r="F23" s="1183">
        <v>3.85</v>
      </c>
      <c r="G23" s="1183">
        <v>3.85</v>
      </c>
      <c r="H23" s="1183">
        <v>4.6500000000000004</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43881</v>
      </c>
      <c r="D24" s="1183">
        <v>4.05</v>
      </c>
      <c r="E24" s="1183">
        <v>4.05</v>
      </c>
      <c r="F24" s="1183">
        <v>4.05</v>
      </c>
      <c r="G24" s="1183">
        <v>4.05</v>
      </c>
      <c r="H24" s="1183">
        <v>4.75</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43789</v>
      </c>
      <c r="D25" s="1183">
        <v>4.1500000000000004</v>
      </c>
      <c r="E25" s="1183">
        <v>4.1500000000000004</v>
      </c>
      <c r="F25" s="1183">
        <v>4.1500000000000004</v>
      </c>
      <c r="G25" s="1183">
        <v>4.1500000000000004</v>
      </c>
      <c r="H25" s="1183">
        <v>4.8</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c r="B26" s="1183"/>
      <c r="C26" s="1184">
        <v>43728</v>
      </c>
      <c r="D26" s="1183">
        <v>4.2</v>
      </c>
      <c r="E26" s="1183">
        <v>4.2</v>
      </c>
      <c r="F26" s="1183">
        <v>4.2</v>
      </c>
      <c r="G26" s="1183">
        <v>4.2</v>
      </c>
      <c r="H26" s="1183">
        <v>4.8499999999999996</v>
      </c>
      <c r="I26" s="1183"/>
      <c r="J26" s="1183"/>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1178" t="s">
        <v>2293</v>
      </c>
      <c r="C27" s="1185">
        <v>43697</v>
      </c>
      <c r="D27" s="2547">
        <v>4.25</v>
      </c>
      <c r="E27" s="2547">
        <v>4.25</v>
      </c>
      <c r="F27" s="2547">
        <v>4.25</v>
      </c>
      <c r="G27" s="2547">
        <v>4.25</v>
      </c>
      <c r="H27" s="2547">
        <v>4.8499999999999996</v>
      </c>
      <c r="I27" s="2547"/>
      <c r="J27" s="2547"/>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ht="14.25">
      <c r="B28" s="2550"/>
      <c r="C28" s="2551">
        <v>42301</v>
      </c>
      <c r="D28" s="2552">
        <v>4.3499999999999996</v>
      </c>
      <c r="E28" s="2552">
        <v>4.3499999999999996</v>
      </c>
      <c r="F28" s="2552">
        <v>4.75</v>
      </c>
      <c r="G28" s="2552">
        <v>4.75</v>
      </c>
      <c r="H28" s="2552">
        <v>4.9000000000000004</v>
      </c>
      <c r="I28" s="2552"/>
      <c r="J28" s="2552"/>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42242</v>
      </c>
      <c r="D29" s="1183">
        <v>4.5999999999999996</v>
      </c>
      <c r="E29" s="1183">
        <v>4.5999999999999996</v>
      </c>
      <c r="F29" s="1183">
        <v>5</v>
      </c>
      <c r="G29" s="1183">
        <v>5</v>
      </c>
      <c r="H29" s="1183">
        <v>5.15</v>
      </c>
      <c r="I29" s="1183">
        <v>2.75</v>
      </c>
      <c r="J29" s="1183">
        <v>3.25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42183</v>
      </c>
      <c r="D30" s="1183">
        <v>4.8499999999999996</v>
      </c>
      <c r="E30" s="1183">
        <v>4.8499999999999996</v>
      </c>
      <c r="F30" s="1183">
        <v>5.25</v>
      </c>
      <c r="G30" s="1183">
        <v>5.25</v>
      </c>
      <c r="H30" s="1183">
        <v>5.4</v>
      </c>
      <c r="I30" s="1183">
        <v>3</v>
      </c>
      <c r="J30" s="1183">
        <v>3.5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42135</v>
      </c>
      <c r="D31" s="1183">
        <v>5.0999999999999996</v>
      </c>
      <c r="E31" s="1183">
        <v>5.0999999999999996</v>
      </c>
      <c r="F31" s="1183">
        <v>5.5</v>
      </c>
      <c r="G31" s="1183">
        <v>5.5</v>
      </c>
      <c r="H31" s="1183">
        <v>5.65</v>
      </c>
      <c r="I31" s="1183">
        <v>3.25</v>
      </c>
      <c r="J31" s="1183">
        <v>3.75</v>
      </c>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42064</v>
      </c>
      <c r="D32" s="1183">
        <v>5.35</v>
      </c>
      <c r="E32" s="1183">
        <v>5.35</v>
      </c>
      <c r="F32" s="1183">
        <v>5.75</v>
      </c>
      <c r="G32" s="1183">
        <v>5.75</v>
      </c>
      <c r="H32" s="1183">
        <v>5.9</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41965</v>
      </c>
      <c r="D33" s="1183">
        <v>5.6</v>
      </c>
      <c r="E33" s="1183">
        <v>5.6</v>
      </c>
      <c r="F33" s="1183">
        <v>6</v>
      </c>
      <c r="G33" s="1183">
        <v>6</v>
      </c>
      <c r="H33" s="1183">
        <v>6.15</v>
      </c>
      <c r="I33" s="1183"/>
      <c r="J33" s="1183"/>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41096</v>
      </c>
      <c r="D34" s="1183">
        <v>5.6</v>
      </c>
      <c r="E34" s="1183">
        <v>6</v>
      </c>
      <c r="F34" s="1183">
        <v>6.15</v>
      </c>
      <c r="G34" s="1183">
        <v>6.4</v>
      </c>
      <c r="H34" s="1183">
        <v>6.55</v>
      </c>
      <c r="I34" s="1183">
        <v>4</v>
      </c>
      <c r="J34" s="1183">
        <v>4.5</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41068</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40731</v>
      </c>
      <c r="D36" s="1183">
        <v>6.1</v>
      </c>
      <c r="E36" s="1183">
        <v>6.56</v>
      </c>
      <c r="F36" s="1183">
        <v>6.65</v>
      </c>
      <c r="G36" s="1183">
        <v>6.9</v>
      </c>
      <c r="H36" s="1183">
        <v>7.05</v>
      </c>
      <c r="I36" s="1183">
        <v>4.45</v>
      </c>
      <c r="J36" s="1183">
        <v>4.9000000000000004</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40639</v>
      </c>
      <c r="D37" s="1183">
        <v>5.85</v>
      </c>
      <c r="E37" s="1183">
        <v>6.31</v>
      </c>
      <c r="F37" s="1183">
        <v>6.4</v>
      </c>
      <c r="G37" s="1183">
        <v>6.65</v>
      </c>
      <c r="H37" s="1183">
        <v>6.8</v>
      </c>
      <c r="I37" s="1183">
        <v>4.2</v>
      </c>
      <c r="J37" s="1183">
        <v>4.7</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40583</v>
      </c>
      <c r="D38" s="1183">
        <v>5.6</v>
      </c>
      <c r="E38" s="1183">
        <v>6.06</v>
      </c>
      <c r="F38" s="1183">
        <v>6.1</v>
      </c>
      <c r="G38" s="1183">
        <v>6.45</v>
      </c>
      <c r="H38" s="1183">
        <v>6.6</v>
      </c>
      <c r="I38" s="1183">
        <v>4</v>
      </c>
      <c r="J38" s="1183">
        <v>4.5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40538</v>
      </c>
      <c r="D39" s="1183">
        <v>5.35</v>
      </c>
      <c r="E39" s="1183">
        <v>5.81</v>
      </c>
      <c r="F39" s="1183">
        <v>5.85</v>
      </c>
      <c r="G39" s="1183">
        <v>6.22</v>
      </c>
      <c r="H39" s="1183">
        <v>6.4</v>
      </c>
      <c r="I39" s="1183">
        <v>3.75</v>
      </c>
      <c r="J39" s="1183">
        <v>4.3</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40471</v>
      </c>
      <c r="D40" s="1183">
        <v>5.0999999999999996</v>
      </c>
      <c r="E40" s="1183">
        <v>5.56</v>
      </c>
      <c r="F40" s="1183">
        <v>5.6</v>
      </c>
      <c r="G40" s="1183">
        <v>5.96</v>
      </c>
      <c r="H40" s="1183">
        <v>6.14</v>
      </c>
      <c r="I40" s="1183">
        <v>3.5</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39805</v>
      </c>
      <c r="D41" s="1183">
        <v>4.8600000000000003</v>
      </c>
      <c r="E41" s="1183">
        <v>5.31</v>
      </c>
      <c r="F41" s="1183">
        <v>5.4</v>
      </c>
      <c r="G41" s="1183">
        <v>5.76</v>
      </c>
      <c r="H41" s="1183">
        <v>5.94</v>
      </c>
      <c r="I41" s="1183">
        <v>3.33</v>
      </c>
      <c r="J41" s="1183">
        <v>3.87</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39779</v>
      </c>
      <c r="D42" s="1183">
        <v>5.04</v>
      </c>
      <c r="E42" s="1183">
        <v>5.58</v>
      </c>
      <c r="F42" s="1183">
        <v>5.67</v>
      </c>
      <c r="G42" s="1183">
        <v>5.94</v>
      </c>
      <c r="H42" s="1183">
        <v>6.12</v>
      </c>
      <c r="I42" s="1183">
        <v>3.51</v>
      </c>
      <c r="J42" s="1183">
        <v>4.05</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39751</v>
      </c>
      <c r="D43" s="1183">
        <v>6.03</v>
      </c>
      <c r="E43" s="1183">
        <v>6.66</v>
      </c>
      <c r="F43" s="1183">
        <v>6.75</v>
      </c>
      <c r="G43" s="1183">
        <v>7.02</v>
      </c>
      <c r="H43" s="1183">
        <v>7.2</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5">
        <v>39748</v>
      </c>
      <c r="D44" s="1183">
        <v>6.12</v>
      </c>
      <c r="E44" s="1183">
        <v>6.93</v>
      </c>
      <c r="F44" s="1183">
        <v>7.02</v>
      </c>
      <c r="G44" s="1183">
        <v>7.29</v>
      </c>
      <c r="H44" s="1183">
        <v>7.47</v>
      </c>
      <c r="I44" s="1183">
        <v>4.05</v>
      </c>
      <c r="J44" s="1183">
        <v>4.59</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39730</v>
      </c>
      <c r="D45" s="1183">
        <v>6.12</v>
      </c>
      <c r="E45" s="1183">
        <v>6.93</v>
      </c>
      <c r="F45" s="1183">
        <v>7.02</v>
      </c>
      <c r="G45" s="1183">
        <v>7.29</v>
      </c>
      <c r="H45" s="1183">
        <v>7.47</v>
      </c>
      <c r="I45" s="1183">
        <v>4.32</v>
      </c>
      <c r="J45" s="1183">
        <v>4.8600000000000003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39707</v>
      </c>
      <c r="D46" s="1183">
        <v>6.21</v>
      </c>
      <c r="E46" s="1183">
        <v>7.2</v>
      </c>
      <c r="F46" s="1183">
        <v>7.29</v>
      </c>
      <c r="G46" s="1183">
        <v>7.56</v>
      </c>
      <c r="H46" s="1183">
        <v>7.74</v>
      </c>
      <c r="I46" s="1183">
        <v>4.59</v>
      </c>
      <c r="J46" s="1183">
        <v>5.13</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39437</v>
      </c>
      <c r="D47" s="1183">
        <v>6.57</v>
      </c>
      <c r="E47" s="1183">
        <v>7.47</v>
      </c>
      <c r="F47" s="1183">
        <v>7.56</v>
      </c>
      <c r="G47" s="1183">
        <v>7.74</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39340</v>
      </c>
      <c r="D48" s="1183">
        <v>6.48</v>
      </c>
      <c r="E48" s="1183">
        <v>7.29</v>
      </c>
      <c r="F48" s="1183">
        <v>7.47</v>
      </c>
      <c r="G48" s="1183">
        <v>7.65</v>
      </c>
      <c r="H48" s="1183">
        <v>7.83</v>
      </c>
      <c r="I48" s="1183">
        <v>4.7699999999999996</v>
      </c>
      <c r="J48" s="1183">
        <v>5.22</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39316</v>
      </c>
      <c r="D49" s="1183">
        <v>6.21</v>
      </c>
      <c r="E49" s="1183">
        <v>7.02</v>
      </c>
      <c r="F49" s="1183">
        <v>7.2</v>
      </c>
      <c r="G49" s="1183">
        <v>7.38</v>
      </c>
      <c r="H49" s="1183">
        <v>7.56</v>
      </c>
      <c r="I49" s="1183">
        <v>4.59</v>
      </c>
      <c r="J49" s="1183">
        <v>5.04</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39284</v>
      </c>
      <c r="D50" s="1183">
        <v>6.03</v>
      </c>
      <c r="E50" s="1183">
        <v>6.84</v>
      </c>
      <c r="F50" s="1183">
        <v>7.02</v>
      </c>
      <c r="G50" s="1183">
        <v>7.2</v>
      </c>
      <c r="H50" s="1183">
        <v>7.38</v>
      </c>
      <c r="I50" s="1183">
        <v>4.5</v>
      </c>
      <c r="J50" s="1183">
        <v>4.95</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39221</v>
      </c>
      <c r="D51" s="1183">
        <v>5.85</v>
      </c>
      <c r="E51" s="1183">
        <v>6.57</v>
      </c>
      <c r="F51" s="1183">
        <v>6.75</v>
      </c>
      <c r="G51" s="1183">
        <v>6.93</v>
      </c>
      <c r="H51" s="1183">
        <v>7.2</v>
      </c>
      <c r="I51" s="1183">
        <v>4.41</v>
      </c>
      <c r="J51" s="1183">
        <v>4.8600000000000003</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39159</v>
      </c>
      <c r="D52" s="1183">
        <v>5.67</v>
      </c>
      <c r="E52" s="1183">
        <v>6.39</v>
      </c>
      <c r="F52" s="1183">
        <v>6.57</v>
      </c>
      <c r="G52" s="1183">
        <v>6.75</v>
      </c>
      <c r="H52" s="1183">
        <v>7.11</v>
      </c>
      <c r="I52" s="1183">
        <v>4.32</v>
      </c>
      <c r="J52" s="1183">
        <v>4.7699999999999996</v>
      </c>
      <c r="L52" s="1183"/>
      <c r="M52" s="1184"/>
      <c r="N52" s="1183"/>
      <c r="O52" s="1183"/>
      <c r="P52" s="1183"/>
      <c r="Q52" s="1183"/>
      <c r="R52" s="1183"/>
      <c r="S52" s="1183"/>
      <c r="T52" s="1183"/>
      <c r="U52" s="1183"/>
      <c r="V52" s="1183"/>
      <c r="W52" s="1183"/>
      <c r="X52" s="1183"/>
      <c r="Y52" s="1183"/>
      <c r="Z52" s="1183"/>
    </row>
    <row r="53" spans="2:26">
      <c r="B53" s="1183"/>
      <c r="C53" s="1184">
        <v>38948</v>
      </c>
      <c r="D53" s="1183">
        <v>5.58</v>
      </c>
      <c r="E53" s="1183">
        <v>6.12</v>
      </c>
      <c r="F53" s="1183">
        <v>6.3</v>
      </c>
      <c r="G53" s="1183">
        <v>6.48</v>
      </c>
      <c r="H53" s="1183">
        <v>6.84</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38835</v>
      </c>
      <c r="D54" s="1183">
        <v>5.4</v>
      </c>
      <c r="E54" s="1183">
        <v>5.85</v>
      </c>
      <c r="F54" s="1183">
        <v>6.03</v>
      </c>
      <c r="G54" s="1183">
        <v>6.12</v>
      </c>
      <c r="H54" s="1183">
        <v>6.39</v>
      </c>
      <c r="I54" s="1183">
        <v>4.1399999999999997</v>
      </c>
      <c r="J54" s="1183">
        <v>4.59</v>
      </c>
      <c r="L54" s="1183"/>
      <c r="M54" s="1184"/>
      <c r="N54" s="1183"/>
      <c r="O54" s="1183"/>
      <c r="P54" s="1183"/>
      <c r="Q54" s="1183"/>
      <c r="R54" s="1183"/>
      <c r="S54" s="1183"/>
      <c r="T54" s="1183"/>
      <c r="U54" s="1183"/>
      <c r="V54" s="1183"/>
      <c r="W54" s="1183"/>
      <c r="X54" s="1183"/>
      <c r="Y54" s="1183"/>
      <c r="Z54" s="1183"/>
    </row>
    <row r="55" spans="2:26">
      <c r="B55" s="1183"/>
      <c r="C55" s="1184">
        <v>38428</v>
      </c>
      <c r="D55" s="1183">
        <v>5.22</v>
      </c>
      <c r="E55" s="1183">
        <v>5.58</v>
      </c>
      <c r="F55" s="1183">
        <v>5.76</v>
      </c>
      <c r="G55" s="1183">
        <v>5.85</v>
      </c>
      <c r="H55" s="1183">
        <v>6.12</v>
      </c>
      <c r="I55" s="1183">
        <v>3.96</v>
      </c>
      <c r="J55" s="1183">
        <v>4.41</v>
      </c>
      <c r="L55" s="1183"/>
      <c r="M55" s="1184"/>
      <c r="N55" s="1183"/>
      <c r="O55" s="1183"/>
      <c r="P55" s="1183"/>
      <c r="Q55" s="1183"/>
      <c r="R55" s="1183"/>
      <c r="S55" s="1183"/>
      <c r="T55" s="1183"/>
      <c r="U55" s="1183"/>
      <c r="V55" s="1183"/>
      <c r="W55" s="1183"/>
      <c r="X55" s="1183"/>
      <c r="Y55" s="1183"/>
      <c r="Z55" s="1183"/>
    </row>
    <row r="56" spans="2:26">
      <c r="B56" s="1183"/>
      <c r="C56" s="1184">
        <v>38289</v>
      </c>
      <c r="D56" s="1183">
        <v>5.22</v>
      </c>
      <c r="E56" s="1183">
        <v>5.58</v>
      </c>
      <c r="F56" s="1183">
        <v>5.76</v>
      </c>
      <c r="G56" s="1183">
        <v>5.85</v>
      </c>
      <c r="H56" s="1183">
        <v>6.12</v>
      </c>
      <c r="I56" s="1183">
        <v>3.78</v>
      </c>
      <c r="J56" s="1183">
        <v>4.2300000000000004</v>
      </c>
      <c r="L56" s="1183"/>
      <c r="M56" s="1184"/>
      <c r="N56" s="1183"/>
      <c r="O56" s="1183"/>
      <c r="P56" s="1183"/>
      <c r="Q56" s="1183"/>
      <c r="R56" s="1183"/>
      <c r="S56" s="1183"/>
      <c r="T56" s="1183"/>
      <c r="U56" s="1183"/>
      <c r="V56" s="1183"/>
      <c r="W56" s="1183"/>
      <c r="X56" s="1183"/>
      <c r="Y56" s="1183"/>
      <c r="Z56" s="1183"/>
    </row>
    <row r="57" spans="2:26">
      <c r="B57" s="1183"/>
      <c r="C57" s="1184">
        <v>37308</v>
      </c>
      <c r="D57" s="1183">
        <v>5.04</v>
      </c>
      <c r="E57" s="1183">
        <v>5.31</v>
      </c>
      <c r="F57" s="1183">
        <v>5.49</v>
      </c>
      <c r="G57" s="1183">
        <v>5.58</v>
      </c>
      <c r="H57" s="1183">
        <v>5.76</v>
      </c>
      <c r="I57" s="1183">
        <v>3.6</v>
      </c>
      <c r="J57" s="1183">
        <v>4.05</v>
      </c>
      <c r="L57" s="1183"/>
      <c r="M57" s="1184"/>
      <c r="N57" s="1183"/>
      <c r="O57" s="1183"/>
      <c r="P57" s="1183"/>
      <c r="Q57" s="1183"/>
      <c r="R57" s="1183"/>
      <c r="S57" s="1183"/>
      <c r="T57" s="1183"/>
      <c r="U57" s="1183"/>
      <c r="V57" s="1183"/>
      <c r="W57" s="1183"/>
      <c r="X57" s="1183"/>
      <c r="Y57" s="1183"/>
      <c r="Z57" s="1183"/>
    </row>
    <row r="58" spans="2:26">
      <c r="B58" s="1183"/>
      <c r="C58" s="1184">
        <v>36321</v>
      </c>
      <c r="D58" s="1183">
        <v>5.58</v>
      </c>
      <c r="E58" s="1183">
        <v>5.85</v>
      </c>
      <c r="F58" s="1183">
        <v>5.94</v>
      </c>
      <c r="G58" s="1183">
        <v>6.03</v>
      </c>
      <c r="H58" s="1183">
        <v>6.21</v>
      </c>
      <c r="I58" s="1183">
        <v>4.1399999999999997</v>
      </c>
      <c r="J58" s="1183">
        <v>4.59</v>
      </c>
    </row>
    <row r="59" spans="2:26">
      <c r="B59" s="1183"/>
      <c r="C59" s="1184">
        <v>36136</v>
      </c>
      <c r="D59" s="1183">
        <v>6.12</v>
      </c>
      <c r="E59" s="1183">
        <v>6.39</v>
      </c>
      <c r="F59" s="1183">
        <v>6.66</v>
      </c>
      <c r="G59" s="1183">
        <v>7.2</v>
      </c>
      <c r="H59" s="1183">
        <v>7.56</v>
      </c>
      <c r="I59" s="1183">
        <v>0</v>
      </c>
      <c r="J59" s="1183">
        <v>0</v>
      </c>
    </row>
    <row r="60" spans="2:26">
      <c r="B60" s="1183"/>
      <c r="C60" s="1184">
        <v>35977</v>
      </c>
      <c r="D60" s="1183">
        <v>6.57</v>
      </c>
      <c r="E60" s="1183">
        <v>6.93</v>
      </c>
      <c r="F60" s="1183">
        <v>7.11</v>
      </c>
      <c r="G60" s="1183">
        <v>7.65</v>
      </c>
      <c r="H60" s="1183">
        <v>8.01</v>
      </c>
      <c r="I60" s="1183">
        <v>0</v>
      </c>
      <c r="J60" s="1183">
        <v>0</v>
      </c>
    </row>
    <row r="61" spans="2:26">
      <c r="B61" s="1183"/>
      <c r="C61" s="1184">
        <v>35879</v>
      </c>
      <c r="D61" s="1183">
        <v>7.02</v>
      </c>
      <c r="E61" s="1183">
        <v>7.92</v>
      </c>
      <c r="F61" s="1183">
        <v>9</v>
      </c>
      <c r="G61" s="1183">
        <v>9.7200000000000006</v>
      </c>
      <c r="H61" s="1183">
        <v>10.35</v>
      </c>
      <c r="I61" s="1183">
        <v>0</v>
      </c>
      <c r="J61" s="1183">
        <v>0</v>
      </c>
    </row>
    <row r="62" spans="2:26">
      <c r="B62" s="1183"/>
      <c r="C62" s="1184">
        <v>35726</v>
      </c>
      <c r="D62" s="1183">
        <v>7.65</v>
      </c>
      <c r="E62" s="1183">
        <v>8.64</v>
      </c>
      <c r="F62" s="1183">
        <v>9.36</v>
      </c>
      <c r="G62" s="1183">
        <v>9.9</v>
      </c>
      <c r="H62" s="1183">
        <v>10.53</v>
      </c>
      <c r="I62" s="1183">
        <v>0</v>
      </c>
      <c r="J62" s="1183">
        <v>0</v>
      </c>
    </row>
    <row r="63" spans="2:26">
      <c r="B63" s="1183"/>
      <c r="C63" s="1184">
        <v>35300</v>
      </c>
      <c r="D63" s="1183">
        <v>9.18</v>
      </c>
      <c r="E63" s="1183">
        <v>10.08</v>
      </c>
      <c r="F63" s="1183">
        <v>10.98</v>
      </c>
      <c r="G63" s="1183">
        <v>11.7</v>
      </c>
      <c r="H63" s="1183">
        <v>12.42</v>
      </c>
      <c r="I63" s="1183">
        <v>0</v>
      </c>
      <c r="J63" s="1183">
        <v>0</v>
      </c>
    </row>
    <row r="64" spans="2:26">
      <c r="B64" s="1183"/>
      <c r="C64" s="1184">
        <v>35186</v>
      </c>
      <c r="D64" s="1183">
        <v>9.7200000000000006</v>
      </c>
      <c r="E64" s="1183">
        <v>10.98</v>
      </c>
      <c r="F64" s="1183">
        <v>13.14</v>
      </c>
      <c r="G64" s="1183">
        <v>14.94</v>
      </c>
      <c r="H64" s="1183">
        <v>15.12</v>
      </c>
      <c r="I64" s="1183">
        <v>0</v>
      </c>
      <c r="J64" s="1183">
        <v>0</v>
      </c>
    </row>
    <row r="65" spans="2:10">
      <c r="B65" s="1183"/>
      <c r="C65" s="1184">
        <v>34881</v>
      </c>
      <c r="D65" s="1183">
        <v>10.08</v>
      </c>
      <c r="E65" s="1183">
        <v>12.06</v>
      </c>
      <c r="F65" s="1183">
        <v>13.5</v>
      </c>
      <c r="G65" s="1183">
        <v>15.12</v>
      </c>
      <c r="H65" s="1183">
        <v>15.3</v>
      </c>
      <c r="I65" s="1183">
        <v>0</v>
      </c>
      <c r="J65" s="1183">
        <v>0</v>
      </c>
    </row>
    <row r="66" spans="2:10">
      <c r="B66" s="1183"/>
      <c r="C66" s="1184">
        <v>34700</v>
      </c>
      <c r="D66" s="1183">
        <v>9</v>
      </c>
      <c r="E66" s="1183">
        <v>10.98</v>
      </c>
      <c r="F66" s="1183">
        <v>12.96</v>
      </c>
      <c r="G66" s="1183">
        <v>14.58</v>
      </c>
      <c r="H66" s="1183">
        <v>14.76</v>
      </c>
      <c r="I66" s="1183">
        <v>0</v>
      </c>
      <c r="J66" s="1183">
        <v>0</v>
      </c>
    </row>
    <row r="67" spans="2:10">
      <c r="B67" s="1183"/>
      <c r="C67" s="1184">
        <v>34161</v>
      </c>
      <c r="D67" s="1183">
        <v>9</v>
      </c>
      <c r="E67" s="1183">
        <v>10.98</v>
      </c>
      <c r="F67" s="1183">
        <v>12.24</v>
      </c>
      <c r="G67" s="1183">
        <v>13.86</v>
      </c>
      <c r="H67" s="1183">
        <v>14.04</v>
      </c>
      <c r="I67" s="1183">
        <v>0</v>
      </c>
      <c r="J67" s="1183">
        <v>0</v>
      </c>
    </row>
    <row r="68" spans="2:10">
      <c r="B68" s="1183"/>
      <c r="C68" s="1184">
        <v>34104</v>
      </c>
      <c r="D68" s="1183">
        <v>8.82</v>
      </c>
      <c r="E68" s="1183">
        <v>9.36</v>
      </c>
      <c r="F68" s="1183">
        <v>10.8</v>
      </c>
      <c r="G68" s="1183">
        <v>12.06</v>
      </c>
      <c r="H68" s="1183">
        <v>12.24</v>
      </c>
      <c r="I68" s="1183">
        <v>0</v>
      </c>
      <c r="J68" s="1183">
        <v>0</v>
      </c>
    </row>
    <row r="69" spans="2:10">
      <c r="B69" s="1183"/>
      <c r="C69" s="1184">
        <v>33349</v>
      </c>
      <c r="D69" s="1183">
        <v>8.1</v>
      </c>
      <c r="E69" s="1183">
        <v>8.64</v>
      </c>
      <c r="F69" s="1183">
        <v>9</v>
      </c>
      <c r="G69" s="1183">
        <v>9.5399999999999991</v>
      </c>
      <c r="H69" s="1183">
        <v>9.7200000000000006</v>
      </c>
      <c r="I69" s="1183">
        <v>0</v>
      </c>
      <c r="J69" s="1183">
        <v>0</v>
      </c>
    </row>
    <row r="70" spans="2:10">
      <c r="B70" s="1183"/>
      <c r="C70" s="1184">
        <v>33318</v>
      </c>
      <c r="D70" s="1183">
        <v>9</v>
      </c>
      <c r="E70" s="1183">
        <v>10.08</v>
      </c>
      <c r="F70" s="1183">
        <v>10.8</v>
      </c>
      <c r="G70" s="1183">
        <v>11.52</v>
      </c>
      <c r="H70" s="1183">
        <v>11.88</v>
      </c>
      <c r="I70" s="1183" t="s">
        <v>633</v>
      </c>
      <c r="J70" s="1183" t="s">
        <v>633</v>
      </c>
    </row>
    <row r="71" spans="2:10">
      <c r="B71" s="1183"/>
      <c r="C71" s="1184">
        <v>33106</v>
      </c>
      <c r="D71" s="1183">
        <v>8.64</v>
      </c>
      <c r="E71" s="1183">
        <v>9.36</v>
      </c>
      <c r="F71" s="1183">
        <v>10.08</v>
      </c>
      <c r="G71" s="1183">
        <v>10.8</v>
      </c>
      <c r="H71" s="1183">
        <v>11.16</v>
      </c>
      <c r="I71" s="1183">
        <v>0</v>
      </c>
      <c r="J71" s="1183">
        <v>0</v>
      </c>
    </row>
    <row r="72" spans="2:10">
      <c r="B72" s="1183"/>
      <c r="C72" s="1184">
        <v>32540</v>
      </c>
      <c r="D72" s="1183">
        <v>11.34</v>
      </c>
      <c r="E72" s="1183">
        <v>11.34</v>
      </c>
      <c r="F72" s="1183">
        <v>12.78</v>
      </c>
      <c r="G72" s="1183">
        <v>14.4</v>
      </c>
      <c r="H72" s="1183">
        <v>19.260000000000002</v>
      </c>
      <c r="I72" s="1183">
        <v>0</v>
      </c>
      <c r="J72" s="1183">
        <v>0</v>
      </c>
    </row>
    <row r="73" spans="2:10">
      <c r="B73" s="1183"/>
      <c r="C73" s="1184"/>
      <c r="D73" s="1183"/>
      <c r="E73" s="1183"/>
      <c r="F73" s="1183"/>
      <c r="G73" s="1183"/>
      <c r="H73" s="1183"/>
      <c r="I73" s="1183"/>
      <c r="J73" s="1183"/>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86"/>
      <c r="C76" s="1187"/>
      <c r="D76" s="1186"/>
      <c r="E76" s="1186"/>
      <c r="F76" s="1186"/>
      <c r="G76" s="1186"/>
      <c r="H76" s="1186"/>
      <c r="I76" s="1186"/>
      <c r="J76" s="1186"/>
    </row>
    <row r="77" spans="2:10">
      <c r="B77" s="1137"/>
      <c r="C77" s="1137"/>
      <c r="D77" s="1137"/>
      <c r="E77" s="1137"/>
      <c r="F77" s="1137"/>
      <c r="G77" s="1137"/>
      <c r="H77" s="1137"/>
      <c r="I77" s="1137"/>
      <c r="J77" s="1137"/>
    </row>
    <row r="78" spans="2:10">
      <c r="B78" s="1137"/>
      <c r="C78" s="1137"/>
      <c r="D78" s="1137"/>
      <c r="E78" s="1137"/>
      <c r="F78" s="1137"/>
      <c r="G78" s="1137"/>
      <c r="H78" s="1137"/>
      <c r="I78" s="1137"/>
      <c r="J78" s="1137"/>
    </row>
  </sheetData>
  <sheetProtection password="CEE9"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00" customWidth="1"/>
    <col min="2" max="16384" width="14.5" style="1383"/>
  </cols>
  <sheetData>
    <row r="1" spans="1:7" s="1397" customFormat="1" ht="18.75">
      <c r="A1" s="1396" t="s">
        <v>947</v>
      </c>
    </row>
    <row r="3" spans="1:7">
      <c r="A3" s="1398" t="s">
        <v>55</v>
      </c>
      <c r="B3" s="1383" t="s">
        <v>948</v>
      </c>
      <c r="G3" s="1399"/>
    </row>
    <row r="4" spans="1:7">
      <c r="G4" s="1399"/>
    </row>
    <row r="5" spans="1:7">
      <c r="A5" s="1401" t="s">
        <v>46</v>
      </c>
      <c r="B5" s="1383" t="s">
        <v>949</v>
      </c>
      <c r="G5" s="1399"/>
    </row>
    <row r="6" spans="1:7">
      <c r="G6" s="1399"/>
    </row>
    <row r="7" spans="1:7">
      <c r="A7" s="1402" t="s">
        <v>108</v>
      </c>
      <c r="B7" s="1383" t="s">
        <v>950</v>
      </c>
      <c r="G7" s="1399"/>
    </row>
    <row r="8" spans="1:7">
      <c r="G8" s="1399"/>
    </row>
    <row r="9" spans="1:7">
      <c r="A9" s="1403" t="s">
        <v>47</v>
      </c>
      <c r="B9" s="1383" t="s">
        <v>951</v>
      </c>
    </row>
    <row r="11" spans="1:7">
      <c r="A11" s="1404" t="s">
        <v>48</v>
      </c>
      <c r="B11" s="1405" t="s">
        <v>45</v>
      </c>
    </row>
    <row r="13" spans="1:7">
      <c r="A13" s="1406" t="s">
        <v>952</v>
      </c>
    </row>
    <row r="15" spans="1:7" ht="13.5">
      <c r="A15" s="3301" t="s">
        <v>953</v>
      </c>
      <c r="B15" s="3296" t="s">
        <v>109</v>
      </c>
      <c r="C15" s="3297"/>
    </row>
    <row r="16" spans="1:7" ht="13.5">
      <c r="A16" s="3302"/>
      <c r="B16" s="3296" t="s">
        <v>42</v>
      </c>
      <c r="C16" s="3297"/>
    </row>
    <row r="17" spans="1:3" ht="13.5">
      <c r="A17" s="3302"/>
      <c r="B17" s="3299" t="s">
        <v>954</v>
      </c>
      <c r="C17" s="1407" t="s">
        <v>953</v>
      </c>
    </row>
    <row r="18" spans="1:3" ht="13.5">
      <c r="A18" s="3302"/>
      <c r="B18" s="3299"/>
      <c r="C18" s="1407" t="s">
        <v>955</v>
      </c>
    </row>
    <row r="19" spans="1:3" ht="13.5">
      <c r="A19" s="3302"/>
      <c r="B19" s="3299"/>
      <c r="C19" s="1407" t="s">
        <v>956</v>
      </c>
    </row>
    <row r="20" spans="1:3" ht="13.5">
      <c r="A20" s="3303"/>
      <c r="B20" s="3298" t="s">
        <v>957</v>
      </c>
      <c r="C20" s="3297"/>
    </row>
    <row r="21" spans="1:3" ht="13.5">
      <c r="A21" s="1408" t="s">
        <v>958</v>
      </c>
      <c r="B21" s="1409"/>
      <c r="C21" s="1410"/>
    </row>
    <row r="22" spans="1:3" ht="13.5">
      <c r="A22" s="3300" t="s">
        <v>959</v>
      </c>
      <c r="B22" s="3298" t="s">
        <v>960</v>
      </c>
      <c r="C22" s="3297"/>
    </row>
    <row r="23" spans="1:3" ht="13.5">
      <c r="A23" s="3300"/>
      <c r="B23" s="3298" t="s">
        <v>961</v>
      </c>
      <c r="C23" s="3297"/>
    </row>
    <row r="24" spans="1:3" ht="13.5">
      <c r="A24" s="3300"/>
      <c r="B24" s="3298" t="s">
        <v>962</v>
      </c>
      <c r="C24" s="3297"/>
    </row>
    <row r="25" spans="1:3" ht="13.5">
      <c r="A25" s="3300"/>
      <c r="B25" s="3299" t="s">
        <v>963</v>
      </c>
      <c r="C25" s="1407" t="s">
        <v>964</v>
      </c>
    </row>
    <row r="26" spans="1:3" ht="13.5">
      <c r="A26" s="3300"/>
      <c r="B26" s="3299"/>
      <c r="C26" s="1407" t="s">
        <v>965</v>
      </c>
    </row>
    <row r="27" spans="1:3" ht="13.5">
      <c r="A27" s="3300"/>
      <c r="B27" s="3299"/>
      <c r="C27" s="1407" t="s">
        <v>966</v>
      </c>
    </row>
    <row r="28" spans="1:3" ht="13.5">
      <c r="A28" s="3300"/>
      <c r="B28" s="3299"/>
      <c r="C28" s="1407" t="s">
        <v>967</v>
      </c>
    </row>
    <row r="29" spans="1:3" ht="13.5">
      <c r="A29" s="3300"/>
      <c r="B29" s="3299"/>
      <c r="C29" s="1407" t="s">
        <v>968</v>
      </c>
    </row>
    <row r="30" spans="1:3" ht="13.5">
      <c r="A30" s="3300"/>
      <c r="B30" s="3299"/>
      <c r="C30" s="1407" t="s">
        <v>969</v>
      </c>
    </row>
    <row r="31" spans="1:3" ht="13.5">
      <c r="A31" s="3300"/>
      <c r="B31" s="3299"/>
      <c r="C31" s="1407" t="s">
        <v>970</v>
      </c>
    </row>
    <row r="32" spans="1:3" ht="13.5">
      <c r="A32" s="3300"/>
      <c r="B32" s="3299"/>
      <c r="C32" s="1407" t="s">
        <v>971</v>
      </c>
    </row>
    <row r="33" spans="1:3" ht="13.5">
      <c r="A33" s="3300"/>
      <c r="B33" s="3299"/>
      <c r="C33" s="1407" t="s">
        <v>972</v>
      </c>
    </row>
    <row r="34" spans="1:3">
      <c r="A34" s="1411" t="s">
        <v>49</v>
      </c>
    </row>
    <row r="37" spans="1:3">
      <c r="A37" s="1411" t="s">
        <v>973</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2134</v>
      </c>
      <c r="B2" s="2134">
        <f ca="1">TODAY()</f>
        <v>45953</v>
      </c>
      <c r="C2" s="2135" t="s">
        <v>2135</v>
      </c>
      <c r="D2" s="2135"/>
      <c r="E2" s="2135"/>
      <c r="F2" s="2131"/>
      <c r="G2" s="2131"/>
      <c r="H2" s="2131"/>
    </row>
    <row r="3" spans="1:8" ht="24" customHeight="1">
      <c r="A3" s="2136" t="s">
        <v>2136</v>
      </c>
      <c r="B3" s="1197" t="s">
        <v>2137</v>
      </c>
      <c r="C3" s="1197" t="s">
        <v>2138</v>
      </c>
      <c r="D3" s="2137" t="s">
        <v>2139</v>
      </c>
      <c r="E3" s="2138" t="s">
        <v>2140</v>
      </c>
      <c r="F3" s="1197" t="s">
        <v>2141</v>
      </c>
      <c r="G3" s="1197" t="s">
        <v>2138</v>
      </c>
      <c r="H3" s="2137" t="s">
        <v>2142</v>
      </c>
    </row>
    <row r="4" spans="1:8" ht="24" customHeight="1">
      <c r="A4" s="1197" t="s">
        <v>2143</v>
      </c>
      <c r="B4" s="1197" t="str">
        <f ca="1">IF(C4&lt;B2,"已过期",1119970066)</f>
        <v>已过期</v>
      </c>
      <c r="C4" s="2139">
        <v>45937</v>
      </c>
      <c r="D4" s="2140" t="str">
        <f ca="1">A4&amp;"（注册号："&amp;B4&amp;"）"</f>
        <v>梁津（注册号：已过期）</v>
      </c>
      <c r="E4" s="2141" t="s">
        <v>2143</v>
      </c>
      <c r="F4" s="1197">
        <f ca="1">IF(G4&lt;B2,"已过期",96010014)</f>
        <v>96010014</v>
      </c>
      <c r="G4" s="2142">
        <v>47118</v>
      </c>
      <c r="H4" s="2143" t="str">
        <f ca="1">E4&amp;"（注册号："&amp;F4&amp;"）"</f>
        <v>梁津（注册号：96010014）</v>
      </c>
    </row>
    <row r="5" spans="1:8" ht="24" customHeight="1">
      <c r="A5" s="1197" t="s">
        <v>2144</v>
      </c>
      <c r="B5" s="1197" t="str">
        <f ca="1">IF(C5&lt;B2,"已过期",1119970111)</f>
        <v>已过期</v>
      </c>
      <c r="C5" s="2139">
        <v>45937</v>
      </c>
      <c r="D5" s="2140" t="str">
        <f t="shared" ref="D5:D15" ca="1" si="0">A5&amp;"（注册号："&amp;B5&amp;"）"</f>
        <v>叶凌（注册号：已过期）</v>
      </c>
      <c r="E5" s="2141" t="s">
        <v>2144</v>
      </c>
      <c r="F5" s="1197">
        <f ca="1">IF(G5&lt;B2,"已过期",94010078)</f>
        <v>94010078</v>
      </c>
      <c r="G5" s="2142">
        <v>46387</v>
      </c>
      <c r="H5" s="2143" t="str">
        <f t="shared" ref="H5:H16" ca="1" si="1">E5&amp;"（注册号："&amp;F5&amp;"）"</f>
        <v>叶凌（注册号：94010078）</v>
      </c>
    </row>
    <row r="6" spans="1:8" ht="24" customHeight="1">
      <c r="A6" s="1197" t="s">
        <v>2145</v>
      </c>
      <c r="B6" s="1197" t="str">
        <f ca="1">IF(C6&lt;B2,"已过期",1120050019)</f>
        <v>已过期</v>
      </c>
      <c r="C6" s="2139">
        <v>45410</v>
      </c>
      <c r="D6" s="2140" t="str">
        <f t="shared" ca="1" si="0"/>
        <v>王鹏（注册号：已过期）</v>
      </c>
      <c r="E6" s="2141" t="s">
        <v>2145</v>
      </c>
      <c r="F6" s="1197">
        <f ca="1">IF(G6&lt;B2,"已过期",2002110030)</f>
        <v>2002110030</v>
      </c>
      <c r="G6" s="2142">
        <v>46387</v>
      </c>
      <c r="H6" s="2143" t="str">
        <f t="shared" ca="1" si="1"/>
        <v>王鹏（注册号：2002110030）</v>
      </c>
    </row>
    <row r="7" spans="1:8" ht="24" customHeight="1">
      <c r="A7" s="1197" t="s">
        <v>2146</v>
      </c>
      <c r="B7" s="1197" t="str">
        <f ca="1">IF(C7&lt;B2,"已过期",1120000080)</f>
        <v>已过期</v>
      </c>
      <c r="C7" s="2139">
        <v>45937</v>
      </c>
      <c r="D7" s="2140" t="str">
        <f t="shared" ca="1" si="0"/>
        <v>欧红伟（注册号：已过期）</v>
      </c>
      <c r="E7" s="2141" t="s">
        <v>2146</v>
      </c>
      <c r="F7" s="1197">
        <f ca="1">IF(G7&lt;B2,"已过期",2000110082)</f>
        <v>2000110082</v>
      </c>
      <c r="G7" s="2142">
        <v>46387</v>
      </c>
      <c r="H7" s="2143" t="str">
        <f t="shared" ca="1" si="1"/>
        <v>欧红伟（注册号：2000110082）</v>
      </c>
    </row>
    <row r="8" spans="1:8" ht="24" customHeight="1">
      <c r="A8" s="1197" t="s">
        <v>2147</v>
      </c>
      <c r="B8" s="1197" t="str">
        <f ca="1">IF(C8&lt;B2,"已过期",1419970001)</f>
        <v>已过期</v>
      </c>
      <c r="C8" s="2139">
        <v>45937</v>
      </c>
      <c r="D8" s="2140" t="str">
        <f t="shared" ca="1" si="0"/>
        <v>吴薇（注册号：已过期）</v>
      </c>
      <c r="E8" s="2141" t="s">
        <v>2147</v>
      </c>
      <c r="F8" s="1197">
        <f ca="1">IF(G8&lt;B2,"已过期",2002110125)</f>
        <v>2002110125</v>
      </c>
      <c r="G8" s="2142">
        <v>47118</v>
      </c>
      <c r="H8" s="2143" t="str">
        <f t="shared" ca="1" si="1"/>
        <v>吴薇（注册号：2002110125）</v>
      </c>
    </row>
    <row r="9" spans="1:8" ht="24" customHeight="1">
      <c r="A9" s="1197" t="s">
        <v>2148</v>
      </c>
      <c r="B9" s="1197" t="str">
        <f ca="1">IF(C9&lt;B2,"已过期",1120060040)</f>
        <v>已过期</v>
      </c>
      <c r="C9" s="2144">
        <v>45592</v>
      </c>
      <c r="D9" s="2140" t="str">
        <f t="shared" ca="1" si="0"/>
        <v>陈颖（注册号：已过期）</v>
      </c>
      <c r="E9" s="2141" t="s">
        <v>2148</v>
      </c>
      <c r="F9" s="1197">
        <f ca="1">IF(G9&lt;B2,"已过期",2004110096)</f>
        <v>2004110096</v>
      </c>
      <c r="G9" s="2142">
        <v>47118</v>
      </c>
      <c r="H9" s="2143" t="str">
        <f t="shared" ca="1" si="1"/>
        <v>陈颖（注册号：2004110096）</v>
      </c>
    </row>
    <row r="10" spans="1:8" ht="24" customHeight="1">
      <c r="A10" s="1197" t="s">
        <v>2149</v>
      </c>
      <c r="B10" s="1197" t="str">
        <f ca="1">IF(C10&lt;B2,"已过期",1120100036)</f>
        <v>已过期</v>
      </c>
      <c r="C10" s="2144">
        <v>45752</v>
      </c>
      <c r="D10" s="2140" t="str">
        <f t="shared" ca="1" si="0"/>
        <v>崔锴（注册号：已过期）</v>
      </c>
      <c r="E10" s="2141" t="s">
        <v>2149</v>
      </c>
      <c r="F10" s="1197">
        <f ca="1">IF(G10&lt;B2,"已过期",2010110070)</f>
        <v>2010110070</v>
      </c>
      <c r="G10" s="2142">
        <v>47907</v>
      </c>
      <c r="H10" s="2143" t="str">
        <f t="shared" ca="1" si="1"/>
        <v>崔锴（注册号：2010110070）</v>
      </c>
    </row>
    <row r="11" spans="1:8" ht="24" customHeight="1">
      <c r="A11" s="1197" t="s">
        <v>2150</v>
      </c>
      <c r="B11" s="1197" t="str">
        <f ca="1">IF(C11&lt;B2,"已过期",1120070131)</f>
        <v>已过期</v>
      </c>
      <c r="C11" s="2139">
        <v>45937</v>
      </c>
      <c r="D11" s="2140" t="str">
        <f t="shared" ca="1" si="0"/>
        <v>郑燚（注册号：已过期）</v>
      </c>
      <c r="E11" s="2141" t="s">
        <v>2150</v>
      </c>
      <c r="F11" s="1197">
        <f ca="1">IF(G11&lt;B2,"已过期",2014110011)</f>
        <v>2014110011</v>
      </c>
      <c r="G11" s="2142">
        <v>49302</v>
      </c>
      <c r="H11" s="2143" t="str">
        <f t="shared" ca="1" si="1"/>
        <v>郑燚（注册号：2014110011）</v>
      </c>
    </row>
    <row r="12" spans="1:8" ht="24" customHeight="1">
      <c r="A12" s="1197" t="s">
        <v>2151</v>
      </c>
      <c r="B12" s="1197" t="str">
        <f ca="1">IF(C12&lt;B2,"已过期",1120040230)</f>
        <v>已过期</v>
      </c>
      <c r="C12" s="2144">
        <v>45937</v>
      </c>
      <c r="D12" s="2140" t="str">
        <f t="shared" ca="1" si="0"/>
        <v>苏海（注册号：已过期）</v>
      </c>
      <c r="E12" s="2141" t="s">
        <v>2151</v>
      </c>
      <c r="F12" s="1197">
        <f ca="1">IF(G12&lt;B2,"已过期",98030020)</f>
        <v>98030020</v>
      </c>
      <c r="G12" s="2142">
        <v>47118</v>
      </c>
      <c r="H12" s="2143" t="str">
        <f t="shared" ca="1" si="1"/>
        <v>苏海（注册号：98030020）</v>
      </c>
    </row>
    <row r="13" spans="1:8" ht="24" customHeight="1">
      <c r="A13" s="1197" t="s">
        <v>2152</v>
      </c>
      <c r="B13" s="1197" t="str">
        <f ca="1">IF(C13&lt;B2,"已过期",1120020033)</f>
        <v>已过期</v>
      </c>
      <c r="C13" s="2139">
        <v>45375</v>
      </c>
      <c r="D13" s="2140" t="str">
        <f t="shared" ca="1" si="0"/>
        <v>刘敬东（注册号：已过期）</v>
      </c>
      <c r="E13" s="2141" t="s">
        <v>2152</v>
      </c>
      <c r="F13" s="1197">
        <f ca="1">IF(G13&lt;B2,"已过期",2000110137)</f>
        <v>2000110137</v>
      </c>
      <c r="G13" s="2142">
        <v>46387</v>
      </c>
      <c r="H13" s="2143" t="str">
        <f t="shared" ca="1" si="1"/>
        <v>刘敬东（注册号：2000110137）</v>
      </c>
    </row>
    <row r="14" spans="1:8" ht="24" customHeight="1">
      <c r="A14" s="1197" t="s">
        <v>2153</v>
      </c>
      <c r="B14" s="1197" t="str">
        <f ca="1">IF(C14&lt;B2,"已过期",1119980106)</f>
        <v>已过期</v>
      </c>
      <c r="C14" s="2144">
        <v>44969</v>
      </c>
      <c r="D14" s="2140" t="str">
        <f t="shared" ca="1" si="0"/>
        <v>刘俊财（注册号：已过期）</v>
      </c>
      <c r="E14" s="2141" t="s">
        <v>2153</v>
      </c>
      <c r="F14" s="1197">
        <f ca="1">IF(G14&lt;B2,"已过期",96010063)</f>
        <v>96010063</v>
      </c>
      <c r="G14" s="2142">
        <v>47483</v>
      </c>
      <c r="H14" s="2143" t="str">
        <f t="shared" ca="1" si="1"/>
        <v>刘俊财（注册号：96010063）</v>
      </c>
    </row>
    <row r="15" spans="1:8" ht="24" customHeight="1">
      <c r="A15" s="1197" t="s">
        <v>2421</v>
      </c>
      <c r="B15" s="1197">
        <v>1120210056</v>
      </c>
      <c r="C15" s="2144">
        <v>45410</v>
      </c>
      <c r="D15" s="2140" t="str">
        <f t="shared" si="0"/>
        <v>宁小鳗（注册号：1120210056）</v>
      </c>
      <c r="E15" s="2141" t="s">
        <v>2154</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304" t="s">
        <v>2155</v>
      </c>
      <c r="B17" s="3304"/>
      <c r="C17" s="3304"/>
      <c r="D17" s="3304"/>
      <c r="E17" s="3304"/>
      <c r="F17" s="3304"/>
      <c r="G17" s="3304"/>
      <c r="H17" s="3304"/>
    </row>
    <row r="18" spans="1:8" ht="24" customHeight="1">
      <c r="A18" s="3305" t="s">
        <v>2156</v>
      </c>
      <c r="B18" s="3305"/>
      <c r="C18" s="3305"/>
      <c r="D18" s="2137"/>
      <c r="E18" s="3306" t="s">
        <v>2157</v>
      </c>
      <c r="F18" s="3305"/>
      <c r="G18" s="3305"/>
    </row>
    <row r="19" spans="1:8" s="2147" customFormat="1" ht="24" customHeight="1">
      <c r="A19" s="2146" t="s">
        <v>2158</v>
      </c>
      <c r="B19" s="1197" t="s">
        <v>2159</v>
      </c>
      <c r="C19" s="1197" t="s">
        <v>2138</v>
      </c>
      <c r="D19" s="2137"/>
      <c r="E19" s="2141" t="s">
        <v>2158</v>
      </c>
      <c r="F19" s="1197" t="s">
        <v>2159</v>
      </c>
      <c r="G19" s="1197" t="s">
        <v>2138</v>
      </c>
    </row>
    <row r="20" spans="1:8" s="2147" customFormat="1" ht="24" customHeight="1">
      <c r="A20" s="2148" t="s">
        <v>2160</v>
      </c>
      <c r="B20" s="2148" t="s">
        <v>2161</v>
      </c>
      <c r="C20" s="2142">
        <v>45898</v>
      </c>
      <c r="D20" s="2149"/>
      <c r="E20" s="2150" t="s">
        <v>2162</v>
      </c>
      <c r="F20" s="2153" t="s">
        <v>2422</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96" priority="32" stopIfTrue="1" operator="equal">
      <formula>"已过期"</formula>
    </cfRule>
  </conditionalFormatting>
  <conditionalFormatting sqref="B4:B15">
    <cfRule type="cellIs" dxfId="195" priority="4" stopIfTrue="1" operator="equal">
      <formula>"已过期"</formula>
    </cfRule>
  </conditionalFormatting>
  <conditionalFormatting sqref="C7:C12">
    <cfRule type="expression" dxfId="194" priority="22">
      <formula>AND($C7-TODAY()&lt;30,TODAY()&lt;$C7)</formula>
    </cfRule>
    <cfRule type="cellIs" dxfId="193" priority="23" stopIfTrue="1" operator="lessThan">
      <formula>$B$2</formula>
    </cfRule>
  </conditionalFormatting>
  <conditionalFormatting sqref="C14:C15">
    <cfRule type="expression" dxfId="192" priority="7">
      <formula>AND($C14-TODAY()&lt;30,TODAY()&lt;$C14)</formula>
    </cfRule>
    <cfRule type="cellIs" dxfId="191" priority="8" stopIfTrue="1" operator="lessThan">
      <formula>$B$2</formula>
    </cfRule>
  </conditionalFormatting>
  <conditionalFormatting sqref="C4:D6 D14">
    <cfRule type="cellIs" dxfId="190" priority="50" stopIfTrue="1" operator="lessThan">
      <formula>$B$2</formula>
    </cfRule>
  </conditionalFormatting>
  <conditionalFormatting sqref="C12:D13">
    <cfRule type="expression" dxfId="189" priority="47">
      <formula>AND($C12-TODAY()&lt;30,TODAY()&lt;$C12)</formula>
    </cfRule>
  </conditionalFormatting>
  <conditionalFormatting sqref="C13:D14">
    <cfRule type="expression" dxfId="188" priority="18">
      <formula>AND($C13-TODAY()&lt;30,TODAY()&lt;$C13)</formula>
    </cfRule>
    <cfRule type="cellIs" dxfId="187" priority="19" stopIfTrue="1" operator="lessThan">
      <formula>$B$2</formula>
    </cfRule>
  </conditionalFormatting>
  <conditionalFormatting sqref="C15:D15">
    <cfRule type="expression" dxfId="186" priority="5">
      <formula>AND($C15-TODAY()&lt;30,TODAY()&lt;$C15)</formula>
    </cfRule>
    <cfRule type="cellIs" dxfId="185" priority="6" stopIfTrue="1" operator="lessThan">
      <formula>$B$2</formula>
    </cfRule>
  </conditionalFormatting>
  <conditionalFormatting sqref="C20:D20 C13:D13">
    <cfRule type="cellIs" dxfId="184" priority="54" stopIfTrue="1" operator="lessThan">
      <formula>$B$2</formula>
    </cfRule>
  </conditionalFormatting>
  <conditionalFormatting sqref="C20:D20">
    <cfRule type="expression" dxfId="183" priority="52">
      <formula>AND($C20-TODAY()&lt;30,TODAY()&lt;$C20)</formula>
    </cfRule>
  </conditionalFormatting>
  <conditionalFormatting sqref="D7:D12 D16">
    <cfRule type="expression" dxfId="182" priority="53">
      <formula>AND($C7-TODAY()&lt;30,TODAY()&lt;$C7)</formula>
    </cfRule>
  </conditionalFormatting>
  <conditionalFormatting sqref="D7:D12">
    <cfRule type="cellIs" dxfId="181" priority="48" stopIfTrue="1" operator="lessThan">
      <formula>$B$2</formula>
    </cfRule>
  </conditionalFormatting>
  <conditionalFormatting sqref="D14 C4:D6">
    <cfRule type="expression" dxfId="180" priority="49">
      <formula>AND($C4-TODAY()&lt;30,TODAY()&lt;$C4)</formula>
    </cfRule>
  </conditionalFormatting>
  <conditionalFormatting sqref="D15:D16">
    <cfRule type="expression" dxfId="179" priority="12">
      <formula>AND($C15-TODAY()&lt;30,TODAY()&lt;$C15)</formula>
    </cfRule>
    <cfRule type="cellIs" dxfId="178" priority="13" stopIfTrue="1" operator="lessThan">
      <formula>$B$2</formula>
    </cfRule>
  </conditionalFormatting>
  <conditionalFormatting sqref="E16:G16">
    <cfRule type="cellIs" dxfId="177" priority="31" stopIfTrue="1" operator="equal">
      <formula>"已过期"</formula>
    </cfRule>
  </conditionalFormatting>
  <conditionalFormatting sqref="F4:F15">
    <cfRule type="cellIs" dxfId="176" priority="9" stopIfTrue="1" operator="equal">
      <formula>"已过期"</formula>
    </cfRule>
  </conditionalFormatting>
  <conditionalFormatting sqref="G4:G15">
    <cfRule type="cellIs" dxfId="175" priority="3" stopIfTrue="1" operator="lessThan">
      <formula>$B$2</formula>
    </cfRule>
  </conditionalFormatting>
  <conditionalFormatting sqref="G20:G21">
    <cfRule type="expression" dxfId="174" priority="1" stopIfTrue="1">
      <formula>AND(#REF!-TODAY()&lt;30,TODAY()&lt;#REF!)</formula>
    </cfRule>
    <cfRule type="cellIs" dxfId="17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163</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土地信息</vt:lpstr>
      <vt:lpstr>总面积</vt:lpstr>
      <vt:lpstr>739地块</vt:lpstr>
      <vt:lpstr>738地块</vt:lpstr>
      <vt:lpstr>评估范围</vt:lpstr>
      <vt:lpstr>749地块</vt:lpstr>
      <vt:lpstr>758地块</vt:lpstr>
      <vt:lpstr>755地块</vt:lpstr>
      <vt:lpstr>754地块</vt:lpstr>
      <vt:lpstr>数据-汇总表</vt:lpstr>
      <vt:lpstr>数据-取费表</vt:lpstr>
      <vt:lpstr>估价对象房地状况</vt:lpstr>
      <vt:lpstr>典型户型修正</vt:lpstr>
      <vt:lpstr>系统读取表</vt:lpstr>
      <vt:lpstr>结果表</vt:lpstr>
      <vt:lpstr>成本法</vt:lpstr>
      <vt:lpstr>成本法 (元)</vt:lpstr>
      <vt:lpstr>假设开发法</vt:lpstr>
      <vt:lpstr>基准地价修正-商业</vt:lpstr>
      <vt:lpstr>基准地价修正-办公</vt:lpstr>
      <vt:lpstr>基准地价修正-公服</vt:lpstr>
      <vt:lpstr>基准地价（汇总）</vt:lpstr>
      <vt:lpstr>收益法-商业</vt:lpstr>
      <vt:lpstr>收益法-办公</vt:lpstr>
      <vt:lpstr>收益法-公服</vt:lpstr>
      <vt:lpstr>收益法（汇总）</vt:lpstr>
      <vt:lpstr>739地块商业租金</vt:lpstr>
      <vt:lpstr>739地块办公租金</vt:lpstr>
      <vt:lpstr>商业</vt:lpstr>
      <vt:lpstr>738商业租金</vt:lpstr>
      <vt:lpstr>办公</vt:lpstr>
      <vt:lpstr>738办公租金</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'基准地价修正-公服'!Print_Area</vt:lpstr>
      <vt:lpstr>'基准地价修正-商业'!Print_Area</vt:lpstr>
      <vt:lpstr>假设开发法!Print_Area</vt:lpstr>
      <vt:lpstr>结果表!Print_Area</vt:lpstr>
      <vt:lpstr>'收益法 (元)'!Print_Area</vt:lpstr>
      <vt:lpstr>'收益法（汇总）'!Print_Area</vt:lpstr>
      <vt:lpstr>'收益法-办公'!Print_Area</vt:lpstr>
      <vt:lpstr>'收益法-公服'!Print_Area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'基准地价修正-办公'!季度</vt:lpstr>
      <vt:lpstr>'基准地价修正-公服'!季度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2025-10-22T08:53:24Z</cp:lastPrinted>
  <dcterms:created xsi:type="dcterms:W3CDTF">2015-07-13T07:17:23Z</dcterms:created>
  <dcterms:modified xsi:type="dcterms:W3CDTF">2025-10-23T02:13:55Z</dcterms:modified>
</cp:coreProperties>
</file>