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D7" i="61"/>
  <c r="D3" i="61"/>
  <c r="E2" i="21"/>
  <c r="H23" i="31"/>
  <c r="D4" i="61"/>
  <c r="C19" i="57"/>
  <c r="F5" i="61"/>
  <c r="E2" i="35"/>
  <c r="D19" i="57"/>
  <c r="F4" i="61"/>
  <c r="E2" i="36"/>
  <c r="D6" i="61"/>
  <c r="E2" i="37"/>
  <c r="E2" i="34"/>
  <c r="F3" i="61"/>
  <c r="E2" i="11"/>
  <c r="F6" i="61"/>
  <c r="D20" i="57"/>
  <c r="C20" i="57"/>
  <c r="F7" i="61"/>
  <c r="D5" i="61"/>
  <c r="E2" i="33"/>
  <c r="B23" i="31" l="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4" i="62"/>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G14" i="62" s="1"/>
  <c r="B6" i="62" s="1"/>
  <c r="M49" i="57"/>
  <c r="F14" i="62"/>
  <c r="B5" i="62"/>
  <c r="E14" i="62"/>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6" i="62"/>
  <c r="D6" i="62"/>
  <c r="C5" i="62"/>
  <c r="D5" i="62"/>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07" i="9"/>
  <c r="I103" i="9"/>
  <c r="C104" i="9"/>
  <c r="C34" i="9"/>
  <c r="E121" i="9" s="1"/>
  <c r="G121" i="9"/>
  <c r="D121" i="9" l="1"/>
  <c r="E4" i="52"/>
  <c r="B38" i="60" s="1"/>
  <c r="D30" i="50"/>
  <c r="D9" i="50"/>
  <c r="B21" i="60" s="1"/>
  <c r="H4" i="52"/>
  <c r="D106" i="9"/>
  <c r="D112" i="9" s="1"/>
  <c r="C103" i="9"/>
  <c r="I102" i="9"/>
  <c r="H122" i="9"/>
  <c r="H5" i="52" s="1"/>
  <c r="G4" i="52"/>
  <c r="B41" i="60" s="1"/>
  <c r="F121" i="9"/>
  <c r="F4" i="52" l="1"/>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8" i="52" s="1"/>
  <c r="D36" i="50"/>
  <c r="D37" i="50" s="1"/>
  <c r="D16" i="50" l="1"/>
  <c r="B30" i="60" s="1"/>
  <c r="B29" i="60"/>
  <c r="C79" i="9"/>
  <c r="D17" i="50"/>
  <c r="D126" i="9"/>
  <c r="D9" i="52" s="1"/>
  <c r="C95" i="9"/>
  <c r="C96" i="9" l="1"/>
  <c r="E96" i="9" s="1"/>
  <c r="E97" i="9" s="1"/>
  <c r="C80" i="9"/>
  <c r="E80" i="9" s="1"/>
  <c r="E81" i="9" s="1"/>
  <c r="C81" i="9" l="1"/>
  <c r="C97" i="9"/>
  <c r="D58" i="9" s="1"/>
  <c r="D56" i="9" s="1"/>
  <c r="M54" i="9" s="1"/>
  <c r="N57" i="9" s="1"/>
  <c r="N58" i="9" s="1"/>
  <c r="P57" i="9" l="1"/>
  <c r="N59" i="9"/>
  <c r="N60" i="9" s="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<sst xmlns="http://schemas.openxmlformats.org/spreadsheetml/2006/main" count="6897" uniqueCount="2925">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</sst>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1">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估价对象为江西省赣州市房地产，为赣州市君成亿置业有限公司所有。根据《不动产权证书》[]，估价对象建筑面积为24.62平方米，（分摊）出让国有建设用地使用权面积为平方米。估价对象用途为。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24.62</v>
      </c>
    </row>
    <row r="19" spans="1:2">
      <c r="A19" s="1702" t="s">
        <v>1125</v>
      </c>
      <c r="B19" s="1689">
        <f ca="1">'预评函-2（1）'!D7</f>
        <v>157666</v>
      </c>
    </row>
    <row r="20" spans="1:2">
      <c r="A20" s="1702" t="s">
        <v>1163</v>
      </c>
      <c r="B20" s="1689" t="str">
        <f>'预评函-2（1）'!C7</f>
        <v>总价（元）</v>
      </c>
    </row>
    <row r="21" spans="1:2">
      <c r="A21" s="1702" t="s">
        <v>1126</v>
      </c>
      <c r="B21" s="1689">
        <f ca="1">'预评函-2（1）'!D9</f>
        <v>6404</v>
      </c>
    </row>
    <row r="22" spans="1:2">
      <c r="A22" s="1702" t="s">
        <v>1127</v>
      </c>
      <c r="B22" s="1689" t="str">
        <f ca="1">'预评函-2（1）'!D8</f>
        <v>壹拾伍万柒仟陆佰陆拾陆元整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157666</v>
      </c>
    </row>
    <row r="30" spans="1:2">
      <c r="A30" s="1702" t="s">
        <v>1133</v>
      </c>
      <c r="B30" s="1689" t="str">
        <f ca="1">'预评函-2（1）'!D16</f>
        <v>壹拾伍万柒仟陆佰陆拾陆元整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110199</v>
      </c>
    </row>
    <row r="38" spans="1:2">
      <c r="A38" s="1702" t="s">
        <v>1141</v>
      </c>
      <c r="B38" s="1689">
        <f ca="1">'预评函-2（2）'!E4</f>
        <v>4476</v>
      </c>
    </row>
    <row r="39" spans="1:2">
      <c r="A39" s="1702" t="s">
        <v>1142</v>
      </c>
      <c r="B39" s="1689" t="str">
        <f ca="1">'预评函-2（2）'!D5</f>
        <v>壹拾壹万零壹佰玖拾玖元整</v>
      </c>
    </row>
    <row r="40" spans="1:2">
      <c r="A40" s="1702" t="s">
        <v>1143</v>
      </c>
      <c r="B40" s="1689">
        <f ca="1">'预评函-2（2）'!F4</f>
        <v>47467</v>
      </c>
    </row>
    <row r="41" spans="1:2">
      <c r="A41" s="1702" t="s">
        <v>1144</v>
      </c>
      <c r="B41" s="1689">
        <f ca="1">'预评函-2（2）'!G4</f>
        <v>1928</v>
      </c>
    </row>
    <row r="42" spans="1:2" s="1699" customFormat="1" ht="15.75" thickBot="1">
      <c r="A42" s="1703" t="s">
        <v>1145</v>
      </c>
      <c r="B42" s="1691" t="str">
        <f ca="1">'预评函-2（2）'!F5</f>
        <v>肆万柒仟肆佰陆拾柒元整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6404</v>
      </c>
    </row>
    <row r="63" spans="1:2" s="1701" customFormat="1" ht="28.5">
      <c r="A63" s="1705" t="s">
        <v>1258</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江西省赣州市房地产市场价值预评估</v>
      </c>
      <c r="C1" s="1063"/>
      <c r="D1" s="1996"/>
      <c r="E1" s="1063"/>
      <c r="F1" s="1997" t="s">
        <v>1545</v>
      </c>
      <c r="G1" s="1682"/>
      <c r="I1" s="1020" t="str">
        <f>IF(B6="北京市","北京市",C6)&amp;IF(E12="房屋所有权证",B28,E28)&amp;"房地产"</f>
        <v>江西省赣州市房地产</v>
      </c>
    </row>
    <row r="2" spans="1:10" ht="13.5" thickTop="1">
      <c r="A2" s="1998" t="s">
        <v>1546</v>
      </c>
      <c r="B2" s="1088">
        <v>43322</v>
      </c>
      <c r="C2" s="1999" t="s">
        <v>1547</v>
      </c>
      <c r="D2" s="1088">
        <f>B2</f>
        <v>43322</v>
      </c>
      <c r="E2" s="1064"/>
      <c r="F2" s="1064"/>
      <c r="G2" s="1683"/>
      <c r="H2" s="1020"/>
    </row>
    <row r="3" spans="1:10" ht="13.5" thickBot="1">
      <c r="A3" s="2000" t="s">
        <v>1548</v>
      </c>
      <c r="B3" s="2001" t="s">
        <v>2819</v>
      </c>
      <c r="C3" s="1065">
        <f ca="1">SUMIF(注册房地产估价师,B3,估价师及机构信息!B3:B24)</f>
        <v>1120060040</v>
      </c>
      <c r="D3" s="2001" t="s">
        <v>2820</v>
      </c>
      <c r="E3" s="1066">
        <f ca="1">SUMIF(注册房地产估价师,D3,估价师及机构信息!B3:B24)</f>
        <v>1119970111</v>
      </c>
      <c r="F3" s="1067"/>
      <c r="G3" s="1684"/>
      <c r="H3" s="1020"/>
    </row>
    <row r="4" spans="1:10" ht="13.5" customHeight="1" thickTop="1">
      <c r="A4" s="2002" t="s">
        <v>1549</v>
      </c>
      <c r="B4" s="2003"/>
      <c r="C4" s="2004" t="s">
        <v>1550</v>
      </c>
      <c r="D4" s="2005" t="s">
        <v>2821</v>
      </c>
      <c r="E4" s="1064"/>
      <c r="F4" s="1064"/>
      <c r="G4" s="1683"/>
    </row>
    <row r="5" spans="1:10">
      <c r="A5" s="2006" t="s">
        <v>1551</v>
      </c>
      <c r="B5" s="2007"/>
      <c r="C5" s="2008" t="s">
        <v>1552</v>
      </c>
      <c r="D5" s="2009" t="s">
        <v>2822</v>
      </c>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2824</v>
      </c>
      <c r="C6" s="2733" t="s">
        <v>2825</v>
      </c>
      <c r="D6" s="2015" t="s">
        <v>1555</v>
      </c>
      <c r="E6" s="1022"/>
      <c r="F6" s="1021"/>
      <c r="G6" s="1074"/>
      <c r="I6" s="1070" t="str">
        <f>IF(COUNTIF(B5,"*上海银行*"),"上海银行","")</f>
        <v/>
      </c>
    </row>
    <row r="7" spans="1:10" ht="24.75" thickBot="1">
      <c r="A7" s="2000" t="s">
        <v>1556</v>
      </c>
      <c r="B7" s="2016" t="s">
        <v>2823</v>
      </c>
      <c r="C7" s="2017" t="str">
        <f>IF(B7="自然人","姓名","名称")</f>
        <v>名称</v>
      </c>
      <c r="D7" s="2734" t="s">
        <v>2826</v>
      </c>
      <c r="E7" s="1068"/>
      <c r="F7" s="1067"/>
      <c r="G7" s="1684"/>
    </row>
    <row r="8" spans="1:10" ht="13.5" thickTop="1">
      <c r="A8" s="2805" t="s">
        <v>1557</v>
      </c>
      <c r="B8" s="2018" t="s">
        <v>1558</v>
      </c>
      <c r="C8" s="2818"/>
      <c r="D8" s="2819"/>
      <c r="E8" s="2019" t="s">
        <v>1559</v>
      </c>
      <c r="F8" s="2020" t="s">
        <v>1560</v>
      </c>
      <c r="G8" s="690" t="str">
        <f>C6</f>
        <v>江西省赣州市</v>
      </c>
    </row>
    <row r="9" spans="1:10" ht="25.5">
      <c r="A9" s="2805"/>
      <c r="B9" s="344" t="s">
        <v>1561</v>
      </c>
      <c r="C9" s="2735" t="s">
        <v>2829</v>
      </c>
      <c r="D9" s="2021" t="s">
        <v>2827</v>
      </c>
      <c r="E9" s="1010" t="s">
        <v>1562</v>
      </c>
      <c r="F9" s="996"/>
      <c r="G9" s="1012"/>
    </row>
    <row r="10" spans="1:10" ht="13.5" thickBot="1">
      <c r="A10" s="2805"/>
      <c r="B10" s="344" t="s">
        <v>1563</v>
      </c>
      <c r="C10" s="2820"/>
      <c r="D10" s="2821"/>
      <c r="E10" s="2022" t="s">
        <v>1564</v>
      </c>
      <c r="F10" s="1013"/>
      <c r="G10" s="1014"/>
    </row>
    <row r="11" spans="1:10" ht="13.5" thickBot="1">
      <c r="A11" s="2805"/>
      <c r="B11" s="2023" t="s">
        <v>1565</v>
      </c>
      <c r="C11" s="2822"/>
      <c r="D11" s="2823"/>
      <c r="E11" s="1022"/>
      <c r="F11" s="1021"/>
      <c r="G11" s="1074"/>
    </row>
    <row r="12" spans="1:10" ht="24.75" thickBot="1">
      <c r="A12" s="2809" t="s">
        <v>1566</v>
      </c>
      <c r="B12" s="2024" t="s">
        <v>1567</v>
      </c>
      <c r="C12" s="1016">
        <v>24.62</v>
      </c>
      <c r="D12" s="2024" t="s">
        <v>1568</v>
      </c>
      <c r="E12" s="2025" t="s">
        <v>1569</v>
      </c>
      <c r="F12" s="2026" t="s">
        <v>1570</v>
      </c>
      <c r="G12" s="1074"/>
    </row>
    <row r="13" spans="1:10" ht="21" customHeight="1" thickBot="1">
      <c r="A13" s="2810"/>
      <c r="B13" s="2027" t="s">
        <v>1571</v>
      </c>
      <c r="C13" s="1017"/>
      <c r="D13" s="2027" t="s">
        <v>1572</v>
      </c>
      <c r="E13" s="2028" t="s">
        <v>1569</v>
      </c>
      <c r="F13" s="1021"/>
      <c r="G13" s="1074"/>
      <c r="I13" s="2828" t="s">
        <v>1573</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1574</v>
      </c>
      <c r="C14" s="2032"/>
      <c r="D14" s="1021"/>
      <c r="E14" s="1021"/>
      <c r="F14" s="1021"/>
      <c r="G14" s="1074"/>
      <c r="I14" s="282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9"/>
      <c r="D15" s="1067"/>
      <c r="E15" s="1067"/>
      <c r="F15" s="1067"/>
      <c r="G15" s="1684"/>
      <c r="I15" s="282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5" t="s">
        <v>1577</v>
      </c>
      <c r="C16" s="2036"/>
      <c r="D16" s="2037" t="s">
        <v>1578</v>
      </c>
      <c r="E16" s="2038"/>
      <c r="F16" s="2039" t="str">
        <f>IF(AND(C16="是",E16="否"),"是否提供他项权证或相关说明","")</f>
        <v/>
      </c>
      <c r="G16" s="2038"/>
      <c r="I16" s="1071"/>
      <c r="J16" s="1020"/>
    </row>
    <row r="17" spans="1:15" ht="13.5" customHeight="1">
      <c r="A17" s="2040" t="s">
        <v>1579</v>
      </c>
      <c r="B17" s="2824" t="s">
        <v>1580</v>
      </c>
      <c r="C17" s="2825"/>
      <c r="D17" s="2826" t="s">
        <v>1581</v>
      </c>
      <c r="E17" s="2827"/>
      <c r="F17" s="2041" t="s">
        <v>1582</v>
      </c>
      <c r="G17" s="2042"/>
      <c r="J17" s="1020"/>
    </row>
    <row r="18" spans="1:15" ht="24">
      <c r="A18" s="2040"/>
      <c r="B18" s="2043" t="s">
        <v>1583</v>
      </c>
      <c r="C18" s="2012" t="s">
        <v>1584</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6"/>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7"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5" activePane="bottomRight" state="frozen"/>
      <selection activeCell="A11" sqref="A11:D11"/>
      <selection pane="topRight" activeCell="A11" sqref="A11:D11"/>
      <selection pane="bottomLeft" activeCell="A11" sqref="A11:D11"/>
      <selection pane="bottomRight" activeCell="E46" sqref="E4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43322</v>
      </c>
      <c r="C2" s="1855"/>
      <c r="D2" s="2839"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077" t="s">
        <v>2861</v>
      </c>
      <c r="C3" s="1855"/>
      <c r="D3" s="2840"/>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1647</v>
      </c>
      <c r="B4" s="2077" t="s">
        <v>2862</v>
      </c>
      <c r="C4" s="1855"/>
      <c r="D4" s="2840"/>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24.62</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1319">
        <f>项目基本情况!C13</f>
        <v>0</v>
      </c>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2828</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40</v>
      </c>
      <c r="C11" s="1855"/>
      <c r="D11" s="2087" t="s">
        <v>1657</v>
      </c>
      <c r="E11" s="34"/>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54793</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31.42</v>
      </c>
      <c r="C13" s="2094"/>
      <c r="D13" s="2095"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0.872</v>
      </c>
      <c r="C14" s="1855"/>
      <c r="D14" s="2096"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1666</v>
      </c>
      <c r="B15" s="30">
        <v>0.03</v>
      </c>
      <c r="C15" s="1855"/>
      <c r="D15" s="2092"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1668</v>
      </c>
      <c r="B16" s="30">
        <v>0.04</v>
      </c>
      <c r="C16" s="1855"/>
      <c r="D16" s="2097"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0.06</v>
      </c>
      <c r="C17" s="1855"/>
      <c r="D17" s="2083" t="s">
        <v>1671</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39392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4">
        <v>1</v>
      </c>
      <c r="C22" s="1855"/>
      <c r="D22" s="2092"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3">
        <f>B21-B22</f>
        <v>0</v>
      </c>
      <c r="C25" s="1237"/>
      <c r="D25" s="2087" t="s">
        <v>1687</v>
      </c>
      <c r="E25" s="711">
        <v>0.02</v>
      </c>
      <c r="F25" s="1852" t="s">
        <v>1688</v>
      </c>
      <c r="I25" s="1853"/>
      <c r="AE25" s="1237"/>
      <c r="AF25" s="1237"/>
      <c r="AG25" s="1237"/>
      <c r="AH25" s="1237"/>
      <c r="AI25" s="1237"/>
      <c r="AJ25" s="1237"/>
      <c r="AK25" s="1237"/>
      <c r="AL25" s="1237"/>
      <c r="AM25" s="1237"/>
      <c r="AN25" s="1237"/>
      <c r="AO25" s="1237"/>
    </row>
    <row r="26" spans="1:41" ht="15.75" thickBot="1">
      <c r="A26" s="2106" t="s">
        <v>1689</v>
      </c>
      <c r="B26" s="1094">
        <v>2015</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2863</v>
      </c>
      <c r="C28" s="1237"/>
      <c r="D28" s="2109" t="s">
        <v>1694</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1000</v>
      </c>
      <c r="C29" s="1237"/>
      <c r="D29" s="2096" t="s">
        <v>1695</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9">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1.4999999999999999E-2</v>
      </c>
      <c r="C31" s="1237"/>
      <c r="D31" s="2110" t="s">
        <v>1699</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0.2</v>
      </c>
      <c r="C32" s="1237"/>
      <c r="D32" s="2111" t="s">
        <v>1701</v>
      </c>
      <c r="E32" s="43">
        <v>0.05</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80">
        <f>收益法!J54</f>
        <v>31.42</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t="s">
        <v>161</v>
      </c>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0.01</v>
      </c>
      <c r="C44" s="1237" t="s">
        <v>969</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1E-3</v>
      </c>
      <c r="C45" s="1237" t="s">
        <v>970</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0.01</v>
      </c>
      <c r="C46" s="1237" t="s">
        <v>971</v>
      </c>
      <c r="D46" s="2122"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1" t="s">
        <v>1736</v>
      </c>
      <c r="B1" s="2842"/>
      <c r="C1" s="2842"/>
      <c r="D1" s="2842"/>
      <c r="E1" s="2842"/>
      <c r="F1" s="2842"/>
      <c r="G1" s="284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54">
      <c r="A4" s="411"/>
      <c r="B4" s="1887" t="s">
        <v>1744</v>
      </c>
      <c r="C4" s="2737" t="s">
        <v>2835</v>
      </c>
      <c r="D4" s="2144"/>
      <c r="E4" s="2148"/>
      <c r="F4" s="2149" t="s">
        <v>1745</v>
      </c>
      <c r="G4" s="2150" t="s">
        <v>1746</v>
      </c>
      <c r="H4" s="2140"/>
      <c r="I4" s="2140"/>
      <c r="J4" s="2140"/>
      <c r="K4" s="2140"/>
      <c r="L4" s="2140"/>
      <c r="M4" s="2140"/>
      <c r="N4" s="2140"/>
      <c r="O4" s="2140"/>
      <c r="P4" s="2140"/>
      <c r="Q4" s="2140"/>
      <c r="R4" s="2140"/>
    </row>
    <row r="5" spans="1:29" ht="41.25">
      <c r="A5" s="411"/>
      <c r="B5" s="1887" t="s">
        <v>1747</v>
      </c>
      <c r="C5" s="2147" t="s">
        <v>1748</v>
      </c>
      <c r="D5" s="2144"/>
      <c r="E5" s="2148"/>
      <c r="F5" s="1887" t="s">
        <v>1749</v>
      </c>
      <c r="G5" s="2150" t="s">
        <v>1750</v>
      </c>
      <c r="H5" s="2140"/>
      <c r="I5" s="2140"/>
      <c r="J5" s="2140"/>
      <c r="K5" s="2140"/>
      <c r="L5" s="2140"/>
      <c r="M5" s="2140"/>
      <c r="N5" s="2140"/>
      <c r="O5" s="2140"/>
      <c r="P5" s="2140"/>
      <c r="Q5" s="2140"/>
      <c r="R5" s="2140"/>
    </row>
    <row r="6" spans="1:29" ht="54">
      <c r="A6" s="411"/>
      <c r="B6" s="1887" t="s">
        <v>1751</v>
      </c>
      <c r="C6" s="2738" t="s">
        <v>2836</v>
      </c>
      <c r="D6" s="2144"/>
      <c r="E6" s="2148"/>
      <c r="F6" s="1887" t="s">
        <v>1752</v>
      </c>
      <c r="G6" s="2150" t="s">
        <v>1753</v>
      </c>
      <c r="H6" s="2140"/>
      <c r="I6" s="2140"/>
      <c r="J6" s="2140"/>
      <c r="K6" s="2140"/>
      <c r="L6" s="2140"/>
      <c r="M6" s="2140"/>
      <c r="N6" s="2140"/>
      <c r="O6" s="2140"/>
      <c r="P6" s="2140"/>
      <c r="Q6" s="2140"/>
      <c r="R6" s="2140"/>
    </row>
    <row r="7" spans="1:29" ht="41.25" thickBot="1">
      <c r="A7" s="411"/>
      <c r="B7" s="1887" t="s">
        <v>1749</v>
      </c>
      <c r="C7" s="2738" t="s">
        <v>2837</v>
      </c>
      <c r="D7" s="2151"/>
      <c r="E7" s="2152"/>
      <c r="F7" s="2153" t="s">
        <v>1754</v>
      </c>
      <c r="G7" s="2154" t="s">
        <v>1755</v>
      </c>
      <c r="H7" s="2140"/>
      <c r="I7" s="2140"/>
      <c r="J7" s="2140"/>
      <c r="K7" s="2140"/>
      <c r="L7" s="2140"/>
      <c r="M7" s="2140"/>
      <c r="N7" s="2140"/>
      <c r="O7" s="2140"/>
      <c r="P7" s="2140"/>
      <c r="Q7" s="2140"/>
      <c r="R7" s="2140"/>
    </row>
    <row r="8" spans="1:29" ht="15">
      <c r="A8" s="411"/>
      <c r="B8" s="1887" t="s">
        <v>1752</v>
      </c>
      <c r="C8" s="2738" t="s">
        <v>2839</v>
      </c>
      <c r="D8" s="2151"/>
      <c r="E8" s="2151"/>
      <c r="F8" s="1246"/>
      <c r="G8" s="1246"/>
      <c r="H8" s="2140"/>
      <c r="I8" s="2140"/>
      <c r="J8" s="2140"/>
      <c r="K8" s="2140"/>
      <c r="L8" s="2140"/>
      <c r="M8" s="2140"/>
      <c r="N8" s="2140"/>
      <c r="O8" s="2140"/>
      <c r="P8" s="2140"/>
      <c r="Q8" s="2140"/>
      <c r="R8" s="2140"/>
    </row>
    <row r="9" spans="1:29" ht="67.5">
      <c r="A9" s="411"/>
      <c r="B9" s="1887" t="s">
        <v>1756</v>
      </c>
      <c r="C9" s="2737" t="s">
        <v>2840</v>
      </c>
      <c r="D9" s="2144"/>
      <c r="E9" s="2151"/>
      <c r="F9" s="1246"/>
      <c r="G9" s="1246"/>
      <c r="H9" s="2140"/>
      <c r="I9" s="2140"/>
      <c r="J9" s="2140"/>
      <c r="K9" s="2140"/>
      <c r="L9" s="2140"/>
      <c r="M9" s="2140"/>
      <c r="N9" s="2140"/>
      <c r="O9" s="2140"/>
      <c r="P9" s="2140"/>
      <c r="Q9" s="2140"/>
      <c r="R9" s="2140"/>
    </row>
    <row r="10" spans="1:29" s="35" customFormat="1" ht="15.75" thickBot="1">
      <c r="A10" s="2155"/>
      <c r="B10" s="2156" t="s">
        <v>1757</v>
      </c>
      <c r="C10" s="2739" t="s">
        <v>2841</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1758</v>
      </c>
      <c r="B13" s="2161"/>
      <c r="C13" s="2161"/>
      <c r="D13" s="2137"/>
      <c r="E13" s="2161"/>
      <c r="F13" s="2161"/>
      <c r="G13" s="2161"/>
    </row>
    <row r="14" spans="1:29" ht="15.75" thickBot="1">
      <c r="A14" s="2171"/>
      <c r="B14" s="2172"/>
      <c r="C14" s="2173" t="s">
        <v>1759</v>
      </c>
      <c r="D14" s="2144"/>
      <c r="E14" s="2174"/>
      <c r="F14" s="2174"/>
      <c r="G14" s="2136" t="s">
        <v>1760</v>
      </c>
    </row>
    <row r="15" spans="1:29" ht="57">
      <c r="A15" s="25" t="s">
        <v>1761</v>
      </c>
      <c r="B15" s="2175" t="s">
        <v>1740</v>
      </c>
      <c r="C15" s="2176" t="str">
        <f>C3</f>
        <v>估价对象周边居住用地比例、居住小区规模和社区发展完善程度，综合评价居住社区成熟度一般</v>
      </c>
      <c r="D15" s="2144"/>
      <c r="E15" s="2177" t="s">
        <v>1762</v>
      </c>
      <c r="F15" s="2175" t="s">
        <v>1763</v>
      </c>
      <c r="G15" s="51" t="str">
        <f>G3</f>
        <v>估价对象位于XX开发区，园区建设成熟度XX，产业集聚程度XX</v>
      </c>
    </row>
    <row r="16" spans="1:29" ht="57">
      <c r="A16" s="629"/>
      <c r="B16" s="1493" t="s">
        <v>1744</v>
      </c>
      <c r="C16" s="2178" t="str">
        <f>C4</f>
        <v>周边有于都新红旗商厦、金钻购物广场、天誉百货等，商业氛围较成熟，人流量较大，商业繁华度较好</v>
      </c>
      <c r="D16" s="2144"/>
      <c r="E16" s="2179"/>
      <c r="F16" s="2180" t="s">
        <v>1745</v>
      </c>
      <c r="G16" s="52" t="str">
        <f>G4</f>
        <v>估价对象周边道路状况、公共交通通达情况、停车便捷程度，综合评价交通便捷度较好</v>
      </c>
    </row>
    <row r="17" spans="1:18" ht="42.75">
      <c r="A17" s="629"/>
      <c r="B17" s="1493" t="s">
        <v>1747</v>
      </c>
      <c r="C17" s="2178" t="str">
        <f>C5</f>
        <v>估价对象位于XX商圈，周边办公楼项目较多，入驻率高，办公集聚程度较好</v>
      </c>
      <c r="D17" s="2151"/>
      <c r="E17" s="2179"/>
      <c r="F17" s="2180" t="s">
        <v>1764</v>
      </c>
      <c r="G17" s="2181"/>
    </row>
    <row r="18" spans="1:18" ht="57">
      <c r="A18" s="629"/>
      <c r="B18" s="2180" t="s">
        <v>1751</v>
      </c>
      <c r="C18" s="52" t="str">
        <f>C6</f>
        <v>估价对象周边有20路、25路、26路等多条公交线路，公共交通通达情况较好，综合评价交通便捷度一般</v>
      </c>
      <c r="D18" s="2151"/>
      <c r="E18" s="2179"/>
      <c r="F18" s="2180" t="s">
        <v>1754</v>
      </c>
      <c r="G18" s="52" t="str">
        <f>G7</f>
        <v>该园区内是否有污染型企业，绿化情况，卫生条件，整体环境状况判断</v>
      </c>
    </row>
    <row r="19" spans="1:18" ht="28.5">
      <c r="A19" s="629"/>
      <c r="B19" s="2180" t="s">
        <v>1765</v>
      </c>
      <c r="C19" s="2181"/>
      <c r="D19" s="2144"/>
      <c r="E19" s="2179"/>
      <c r="F19" s="1887" t="s">
        <v>1749</v>
      </c>
      <c r="G19" s="52" t="str">
        <f>G5</f>
        <v>估价对象所在区域公共配套设施齐备情况</v>
      </c>
    </row>
    <row r="20" spans="1:18" ht="71.25">
      <c r="A20" s="629"/>
      <c r="B20" s="2180" t="s">
        <v>1766</v>
      </c>
      <c r="C20" s="2178" t="str">
        <f>C9</f>
        <v>区域自然环境：东河公园、天竺山公园、赣江、章水；人文环境：海公禅寺、江西理工大学；综合评价环境状况较好</v>
      </c>
      <c r="D20" s="2151"/>
      <c r="E20" s="2179"/>
      <c r="F20" s="1887" t="s">
        <v>1767</v>
      </c>
      <c r="G20" s="52" t="str">
        <f>G6</f>
        <v>估价对象所在区域基础设施水平</v>
      </c>
    </row>
    <row r="21" spans="1:18" ht="28.5">
      <c r="A21" s="629"/>
      <c r="B21" s="1887" t="s">
        <v>1749</v>
      </c>
      <c r="C21" s="52" t="str">
        <f>C7</f>
        <v>估价对象所在区域公共配套设施齐备情况较好</v>
      </c>
      <c r="D21" s="2144"/>
      <c r="E21" s="2179"/>
      <c r="F21" s="2180" t="s">
        <v>1768</v>
      </c>
      <c r="G21" s="2182"/>
    </row>
    <row r="22" spans="1:18" ht="15">
      <c r="A22" s="629"/>
      <c r="B22" s="1887" t="s">
        <v>1752</v>
      </c>
      <c r="C22" s="52" t="str">
        <f>C8</f>
        <v>六通</v>
      </c>
      <c r="D22" s="2144"/>
      <c r="E22" s="2179"/>
      <c r="F22" s="2180" t="s">
        <v>1757</v>
      </c>
      <c r="G22" s="2183"/>
    </row>
    <row r="23" spans="1:18" s="2140"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40" customFormat="1" ht="15.75" thickBot="1">
      <c r="A24" s="2187"/>
      <c r="B24" s="2185" t="s">
        <v>1770</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24.62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24.62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8" sqref="C8:C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919" t="str">
        <f>项目基本情况!B1</f>
        <v>江西省赣州市房地产市场价值预评估</v>
      </c>
      <c r="B2" s="2919"/>
      <c r="C2" s="2919"/>
      <c r="D2" s="2919"/>
      <c r="E2" s="2919"/>
      <c r="F2" s="2919"/>
      <c r="G2" s="2919"/>
      <c r="H2" s="2919"/>
      <c r="I2" s="2919"/>
    </row>
    <row r="3" spans="1:12" ht="12.75">
      <c r="A3" s="2925" t="s">
        <v>1772</v>
      </c>
      <c r="B3" s="2926"/>
      <c r="C3" s="2926"/>
      <c r="D3" s="2926"/>
      <c r="E3" s="2926"/>
      <c r="F3" s="2926"/>
      <c r="G3" s="2926"/>
      <c r="H3" s="2926"/>
      <c r="I3" s="2926"/>
    </row>
    <row r="4" spans="1:12" ht="14.25">
      <c r="A4" s="2196" t="s">
        <v>1773</v>
      </c>
      <c r="B4" s="2197" t="s">
        <v>1774</v>
      </c>
      <c r="C4" s="2198" t="s">
        <v>2869</v>
      </c>
      <c r="D4" s="2198" t="s">
        <v>2870</v>
      </c>
      <c r="E4" s="2930" t="s">
        <v>1775</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1776</v>
      </c>
      <c r="B5" s="2865">
        <v>25</v>
      </c>
      <c r="C5" s="2927">
        <v>2</v>
      </c>
      <c r="D5" s="2924">
        <f>10-C5</f>
        <v>8</v>
      </c>
      <c r="E5" s="56" t="s">
        <v>1777</v>
      </c>
      <c r="F5" s="2199"/>
      <c r="G5" s="2199"/>
      <c r="H5" s="2199"/>
      <c r="I5" s="2200"/>
    </row>
    <row r="6" spans="1:12" ht="12.75">
      <c r="A6" s="2920"/>
      <c r="B6" s="2865"/>
      <c r="C6" s="2928"/>
      <c r="D6" s="2924"/>
      <c r="E6" s="56" t="s">
        <v>1778</v>
      </c>
      <c r="F6" s="2199"/>
      <c r="G6" s="2199"/>
      <c r="H6" s="2199"/>
      <c r="I6" s="2200"/>
    </row>
    <row r="7" spans="1:12" ht="12.75">
      <c r="A7" s="2920"/>
      <c r="B7" s="2865"/>
      <c r="C7" s="2929"/>
      <c r="D7" s="2924"/>
      <c r="E7" s="56" t="s">
        <v>1779</v>
      </c>
      <c r="F7" s="2199"/>
      <c r="G7" s="2199"/>
      <c r="H7" s="2199"/>
      <c r="I7" s="2200"/>
    </row>
    <row r="8" spans="1:12" ht="12.75">
      <c r="A8" s="2920" t="s">
        <v>1780</v>
      </c>
      <c r="B8" s="2865">
        <v>15</v>
      </c>
      <c r="C8" s="2927"/>
      <c r="D8" s="2924"/>
      <c r="E8" s="56" t="s">
        <v>1781</v>
      </c>
      <c r="F8" s="2199"/>
      <c r="G8" s="2199"/>
      <c r="H8" s="2199"/>
      <c r="I8" s="2200"/>
    </row>
    <row r="9" spans="1:12" ht="12.75">
      <c r="A9" s="2920"/>
      <c r="B9" s="2865"/>
      <c r="C9" s="2929"/>
      <c r="D9" s="2924"/>
      <c r="E9" s="56" t="s">
        <v>1782</v>
      </c>
      <c r="F9" s="2199"/>
      <c r="G9" s="2199"/>
      <c r="H9" s="2199"/>
      <c r="I9" s="2200"/>
    </row>
    <row r="10" spans="1:12" ht="12.75">
      <c r="A10" s="2920" t="s">
        <v>1783</v>
      </c>
      <c r="B10" s="2865">
        <v>15</v>
      </c>
      <c r="C10" s="2927"/>
      <c r="D10" s="2924"/>
      <c r="E10" s="56" t="s">
        <v>1784</v>
      </c>
      <c r="F10" s="2199"/>
      <c r="G10" s="2199"/>
      <c r="H10" s="2199"/>
      <c r="I10" s="2200"/>
    </row>
    <row r="11" spans="1:12" ht="12.75">
      <c r="A11" s="2920"/>
      <c r="B11" s="2865"/>
      <c r="C11" s="2929"/>
      <c r="D11" s="2924"/>
      <c r="E11" s="56" t="s">
        <v>1785</v>
      </c>
      <c r="F11" s="2199"/>
      <c r="G11" s="2199"/>
      <c r="H11" s="2199"/>
      <c r="I11" s="2200"/>
    </row>
    <row r="12" spans="1:12" ht="12.75">
      <c r="A12" s="2920" t="s">
        <v>1786</v>
      </c>
      <c r="B12" s="2865">
        <v>15</v>
      </c>
      <c r="C12" s="2927"/>
      <c r="D12" s="2924"/>
      <c r="E12" s="56" t="s">
        <v>1787</v>
      </c>
      <c r="F12" s="2199"/>
      <c r="G12" s="2199"/>
      <c r="H12" s="2199"/>
      <c r="I12" s="2200"/>
    </row>
    <row r="13" spans="1:12" ht="12.75">
      <c r="A13" s="2920"/>
      <c r="B13" s="2865"/>
      <c r="C13" s="2929"/>
      <c r="D13" s="2924"/>
      <c r="E13" s="56" t="s">
        <v>1788</v>
      </c>
      <c r="F13" s="2199"/>
      <c r="G13" s="2199"/>
      <c r="H13" s="2199"/>
      <c r="I13" s="2200"/>
    </row>
    <row r="14" spans="1:12" ht="12.75">
      <c r="A14" s="2920" t="s">
        <v>1789</v>
      </c>
      <c r="B14" s="2865">
        <v>30</v>
      </c>
      <c r="C14" s="2927"/>
      <c r="D14" s="2924"/>
      <c r="E14" s="56" t="s">
        <v>1790</v>
      </c>
      <c r="F14" s="2199"/>
      <c r="G14" s="2199"/>
      <c r="H14" s="2199"/>
      <c r="I14" s="2200"/>
    </row>
    <row r="15" spans="1:12" ht="12.75">
      <c r="A15" s="2920"/>
      <c r="B15" s="2865"/>
      <c r="C15" s="2928"/>
      <c r="D15" s="2924"/>
      <c r="E15" s="56" t="s">
        <v>1791</v>
      </c>
      <c r="F15" s="2199"/>
      <c r="G15" s="2199"/>
      <c r="H15" s="2199"/>
      <c r="I15" s="2200"/>
    </row>
    <row r="16" spans="1:12" ht="12.75">
      <c r="A16" s="2920"/>
      <c r="B16" s="2865"/>
      <c r="C16" s="2929"/>
      <c r="D16" s="2924"/>
      <c r="E16" s="56" t="s">
        <v>1792</v>
      </c>
      <c r="F16" s="2199"/>
      <c r="G16" s="2199"/>
      <c r="H16" s="2199"/>
      <c r="I16" s="2200"/>
    </row>
    <row r="17" spans="1:35" ht="15">
      <c r="A17" s="2201" t="s">
        <v>1793</v>
      </c>
      <c r="B17" s="2202"/>
      <c r="C17" s="57">
        <f>SUM(C5:C16)</f>
        <v>2</v>
      </c>
      <c r="D17" s="57">
        <f>SUM(D5:D16)</f>
        <v>8</v>
      </c>
      <c r="E17" s="2194"/>
      <c r="F17" s="2194"/>
      <c r="G17" s="2194"/>
      <c r="H17" s="2194"/>
      <c r="I17" s="2194"/>
    </row>
    <row r="18" spans="1:35" ht="15.75" thickBot="1">
      <c r="A18" s="2203" t="s">
        <v>1794</v>
      </c>
      <c r="B18" s="2204"/>
      <c r="C18" s="58">
        <f>ROUND(C17/SUM(C17:D17),2)</f>
        <v>0.2</v>
      </c>
      <c r="D18" s="58">
        <f>1-C18</f>
        <v>0.8</v>
      </c>
      <c r="E18" s="2194"/>
      <c r="F18" s="2194"/>
      <c r="G18" s="2194"/>
      <c r="H18" s="2194"/>
      <c r="I18" s="2194"/>
    </row>
    <row r="19" spans="1:35" ht="15">
      <c r="A19" s="2205" t="s">
        <v>1795</v>
      </c>
      <c r="B19" s="2206" t="s">
        <v>1796</v>
      </c>
      <c r="C19" s="59">
        <f ca="1">SUMIF(INDIRECT("'"&amp;C4&amp;"'"&amp;"!A:A"),结果表!B19,INDIRECT("'"&amp;C4&amp;"'"&amp;"!B:B"))</f>
        <v>115774</v>
      </c>
      <c r="D19" s="60">
        <f ca="1">SUMIF(INDIRECT("'"&amp;D4&amp;"'"&amp;"!A:A"),结果表!B19,INDIRECT("'"&amp;D4&amp;"'"&amp;"!B:B"))</f>
        <v>168135</v>
      </c>
      <c r="E19" s="2205" t="s">
        <v>1797</v>
      </c>
      <c r="F19" s="2206" t="s">
        <v>1796</v>
      </c>
      <c r="G19" s="61">
        <f ca="1">ROUND(C19*$C$18+D19*$D$18,0)</f>
        <v>157663</v>
      </c>
      <c r="H19" s="2207" t="str">
        <f>'数据-取费表'!B3</f>
        <v>元</v>
      </c>
      <c r="I19" s="2194"/>
    </row>
    <row r="20" spans="1:35" ht="15">
      <c r="A20" s="2208"/>
      <c r="B20" s="2209" t="s">
        <v>1798</v>
      </c>
      <c r="C20" s="62">
        <f ca="1">SUMIF(INDIRECT("'"&amp;C4&amp;"'"&amp;"!A:A"),结果表!B20,INDIRECT("'"&amp;C4&amp;"'"&amp;"!B:B"))</f>
        <v>4702</v>
      </c>
      <c r="D20" s="63">
        <f ca="1">SUMIF(INDIRECT("'"&amp;D4&amp;"'"&amp;"!A:A"),结果表!B20,INDIRECT("'"&amp;D4&amp;"'"&amp;"!B:B"))</f>
        <v>6829</v>
      </c>
      <c r="E20" s="2208"/>
      <c r="F20" s="2209" t="s">
        <v>1798</v>
      </c>
      <c r="G20" s="64">
        <f ca="1">ROUND(C20*$C$18+D20*$D$18,0)</f>
        <v>6404</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0.45226907595833254</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1801</v>
      </c>
      <c r="B24" s="2206" t="s">
        <v>1796</v>
      </c>
      <c r="C24" s="61">
        <f>D30</f>
        <v>0</v>
      </c>
      <c r="D24" s="994"/>
      <c r="E24" s="2194"/>
      <c r="F24" s="2194"/>
      <c r="G24" s="2194"/>
      <c r="H24" s="2194"/>
      <c r="I24" s="2194"/>
    </row>
    <row r="25" spans="1:35" ht="21.75" customHeight="1">
      <c r="A25" s="2934"/>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楼面单价</v>
      </c>
      <c r="C32" s="1145">
        <f ca="1">IF(B32="总价",G19-C24,G20-C25)</f>
        <v>6404</v>
      </c>
      <c r="D32" s="2194" t="str">
        <f>IF(B32="楼面单价","元/平方米",H19)</f>
        <v>元/平方米</v>
      </c>
      <c r="E32" s="2194"/>
      <c r="F32" s="2194"/>
      <c r="G32" s="2194"/>
      <c r="H32" s="2194"/>
      <c r="I32" s="2194"/>
    </row>
    <row r="33" spans="1:16" ht="15">
      <c r="A33" s="2224" t="s">
        <v>1808</v>
      </c>
      <c r="B33" s="2225"/>
      <c r="C33" s="2226"/>
      <c r="D33" s="2227"/>
      <c r="E33" s="2228" t="s">
        <v>1809</v>
      </c>
      <c r="F33" s="2229" t="str">
        <f>IF(B32="楼面单价","取值（单价）","取值（总价）")</f>
        <v>取值（单价）</v>
      </c>
      <c r="G33" s="2194"/>
      <c r="H33" s="2194"/>
      <c r="I33" s="2194"/>
    </row>
    <row r="34" spans="1:16" ht="15">
      <c r="A34" s="2230"/>
      <c r="B34" s="2231" t="s">
        <v>1810</v>
      </c>
      <c r="C34" s="72">
        <f ca="1">IF(D33="自定义",F34,C32-C35)</f>
        <v>4476</v>
      </c>
      <c r="D34" s="1091">
        <f ca="1">IF(D33="自定义",ROUND(C34/C32,3),1-D35)</f>
        <v>0.69900000000000007</v>
      </c>
      <c r="E34" s="2232" t="s">
        <v>1811</v>
      </c>
      <c r="F34" s="1828">
        <v>2000</v>
      </c>
      <c r="G34" s="2194"/>
      <c r="H34" s="2194"/>
      <c r="I34" s="2194"/>
    </row>
    <row r="35" spans="1:16" ht="15.75" thickBot="1">
      <c r="A35" s="2233"/>
      <c r="B35" s="2234" t="s">
        <v>1812</v>
      </c>
      <c r="C35" s="73">
        <f ca="1">IF(D33="自定义",F35,ROUND(C32*D35,0))</f>
        <v>1928</v>
      </c>
      <c r="D35" s="1090">
        <f ca="1">IF(D33="自定义",ROUND(C35/C32,3),IF(D33="成本法成本比率",成本法!C56,IF(D33="收益法收益比率",收益法!J38,收益法!J41)))</f>
        <v>0.30099999999999999</v>
      </c>
      <c r="E35" s="2235" t="s">
        <v>1813</v>
      </c>
      <c r="F35" s="79">
        <v>4460</v>
      </c>
      <c r="G35" s="2194"/>
      <c r="H35" s="2194"/>
      <c r="I35" s="2194"/>
    </row>
    <row r="36" spans="1:16" ht="15.75" thickBot="1">
      <c r="A36" s="2938" t="s">
        <v>1814</v>
      </c>
      <c r="B36" s="2236" t="s">
        <v>1815</v>
      </c>
      <c r="C36" s="69">
        <v>0</v>
      </c>
      <c r="D36" s="2237"/>
      <c r="E36" s="2238"/>
      <c r="F36" s="2238"/>
      <c r="G36" s="2194"/>
      <c r="H36" s="2194"/>
      <c r="I36" s="2194"/>
    </row>
    <row r="37" spans="1:16" ht="15.75" thickBot="1">
      <c r="A37" s="2939"/>
      <c r="B37" s="2239" t="s">
        <v>1816</v>
      </c>
      <c r="C37" s="71">
        <v>0</v>
      </c>
      <c r="D37" s="2204"/>
      <c r="E37" s="2204"/>
      <c r="F37" s="2238"/>
      <c r="G37" s="2204"/>
      <c r="H37" s="2204"/>
      <c r="I37" s="2204"/>
    </row>
    <row r="38" spans="1:16" ht="15.75" thickBot="1">
      <c r="A38" s="2940"/>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943" t="s">
        <v>1825</v>
      </c>
      <c r="B45" s="2944"/>
      <c r="C45" s="2945"/>
      <c r="D45" s="80">
        <f ca="1">ROUND(I102*F45,0)</f>
        <v>157666</v>
      </c>
      <c r="E45" s="81" t="s">
        <v>1826</v>
      </c>
      <c r="F45" s="82">
        <v>1</v>
      </c>
      <c r="G45" s="83" t="s">
        <v>1827</v>
      </c>
      <c r="H45" s="2194"/>
      <c r="I45" s="2194"/>
      <c r="J45" s="2855" t="s">
        <v>1828</v>
      </c>
      <c r="K45" s="2855"/>
      <c r="L45" s="2855"/>
      <c r="M45" s="2855"/>
      <c r="N45" s="2855"/>
      <c r="O45" s="2855"/>
      <c r="P45" s="1845"/>
    </row>
    <row r="46" spans="1:16" ht="14.25" customHeight="1">
      <c r="A46" s="2935" t="s">
        <v>1829</v>
      </c>
      <c r="B46" s="2936"/>
      <c r="C46" s="2936"/>
      <c r="D46" s="2936"/>
      <c r="E46" s="2936"/>
      <c r="F46" s="2936"/>
      <c r="G46" s="2937"/>
      <c r="H46" s="2256"/>
      <c r="I46" s="1144"/>
      <c r="J46" s="1883">
        <v>1</v>
      </c>
      <c r="K46" s="2855" t="s">
        <v>1830</v>
      </c>
      <c r="L46" s="2855"/>
      <c r="M46" s="2856" t="str">
        <f>项目基本情况!B1</f>
        <v>江西省赣州市房地产市场价值预评估</v>
      </c>
      <c r="N46" s="2856"/>
      <c r="O46" s="2856"/>
      <c r="P46" s="1845"/>
    </row>
    <row r="47" spans="1:16" ht="12" customHeight="1">
      <c r="A47" s="85" t="s">
        <v>1831</v>
      </c>
      <c r="B47" s="86"/>
      <c r="C47" s="87"/>
      <c r="D47" s="88" t="s">
        <v>1832</v>
      </c>
      <c r="E47" s="14" t="s">
        <v>1833</v>
      </c>
      <c r="F47" s="89" t="s">
        <v>1834</v>
      </c>
      <c r="G47" s="90" t="s">
        <v>1835</v>
      </c>
      <c r="H47" s="2256"/>
      <c r="I47" s="1144"/>
      <c r="J47" s="1883">
        <v>2</v>
      </c>
      <c r="K47" s="2855" t="s">
        <v>1836</v>
      </c>
      <c r="L47" s="2855"/>
      <c r="M47" s="2857">
        <f>'数据-取费表'!B2</f>
        <v>43322</v>
      </c>
      <c r="N47" s="2857"/>
      <c r="O47" s="2857"/>
      <c r="P47" s="1845"/>
    </row>
    <row r="48" spans="1:16" ht="25.5">
      <c r="A48" s="2941" t="s">
        <v>1837</v>
      </c>
      <c r="B48" s="2942"/>
      <c r="C48" s="2942"/>
      <c r="D48" s="56">
        <f ca="1">IF(H48="情况1",0,IF(H48="情况2",D52,IF(H48="情况3",D53,IF(H48="情况4",D54))))</f>
        <v>8259</v>
      </c>
      <c r="E48" s="1893" t="str">
        <f>IF(H48="情况4","(销售额-原购置价)×税（费）率","销售额×税（费）率")</f>
        <v>销售额×税（费）率</v>
      </c>
      <c r="F48" s="91">
        <f>IF(H48="情况1","免征",'数据-取费表'!E29)</f>
        <v>5.5000000000000007E-2</v>
      </c>
      <c r="G48" s="2257" t="s">
        <v>1838</v>
      </c>
      <c r="H48" s="2258" t="s">
        <v>1839</v>
      </c>
      <c r="I48" s="2256"/>
      <c r="J48" s="1883">
        <v>3</v>
      </c>
      <c r="K48" s="2855" t="s">
        <v>1840</v>
      </c>
      <c r="L48" s="2855"/>
      <c r="M48" s="2856">
        <f ca="1">I102</f>
        <v>157666</v>
      </c>
      <c r="N48" s="2856"/>
      <c r="O48" s="2856"/>
      <c r="P48" s="1845"/>
    </row>
    <row r="49" spans="1:16" ht="25.5" customHeight="1">
      <c r="A49" s="92" t="s">
        <v>1841</v>
      </c>
      <c r="B49" s="2922" t="s">
        <v>1842</v>
      </c>
      <c r="C49" s="2922"/>
      <c r="D49" s="93">
        <v>0</v>
      </c>
      <c r="E49" s="13" t="s">
        <v>1843</v>
      </c>
      <c r="F49" s="18" t="s">
        <v>48</v>
      </c>
      <c r="G49" s="2846"/>
      <c r="H49" s="2194"/>
      <c r="I49" s="2259"/>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1844</v>
      </c>
      <c r="C50" s="2922"/>
      <c r="D50" s="95"/>
      <c r="E50" s="21"/>
      <c r="F50" s="96"/>
      <c r="G50" s="2847"/>
      <c r="H50" s="2194"/>
      <c r="I50" s="2259"/>
      <c r="J50" s="2855" t="s">
        <v>1845</v>
      </c>
      <c r="K50" s="2855"/>
      <c r="L50" s="2855"/>
      <c r="M50" s="2855"/>
      <c r="N50" s="2855"/>
      <c r="O50" s="2855"/>
      <c r="P50" s="1845"/>
    </row>
    <row r="51" spans="1:16" ht="12" customHeight="1">
      <c r="A51" s="97"/>
      <c r="B51" s="2922" t="s">
        <v>1846</v>
      </c>
      <c r="C51" s="2922"/>
      <c r="D51" s="98"/>
      <c r="E51" s="20"/>
      <c r="F51" s="96"/>
      <c r="G51" s="2848"/>
      <c r="H51" s="2194"/>
      <c r="I51" s="2259"/>
      <c r="J51" s="2260" t="s">
        <v>1847</v>
      </c>
      <c r="K51" s="2855" t="s">
        <v>1848</v>
      </c>
      <c r="L51" s="2855"/>
      <c r="M51" s="2260" t="s">
        <v>1849</v>
      </c>
      <c r="N51" s="2260" t="s">
        <v>1850</v>
      </c>
      <c r="O51" s="2260" t="s">
        <v>1851</v>
      </c>
      <c r="P51" s="1845"/>
    </row>
    <row r="52" spans="1:16" ht="24" customHeight="1">
      <c r="A52" s="99" t="s">
        <v>1852</v>
      </c>
      <c r="B52" s="2922" t="s">
        <v>1853</v>
      </c>
      <c r="C52" s="2922"/>
      <c r="D52" s="98">
        <f ca="1">ROUND(D45*'数据-取费表'!E29/(1+'数据-取费表'!F30),0)</f>
        <v>8259</v>
      </c>
      <c r="E52" s="10" t="s">
        <v>1854</v>
      </c>
      <c r="F52" s="100">
        <f>'数据-取费表'!E29</f>
        <v>5.5000000000000007E-2</v>
      </c>
      <c r="G52" s="2261"/>
      <c r="H52" s="2194"/>
      <c r="I52" s="2259"/>
      <c r="J52" s="1883">
        <v>1</v>
      </c>
      <c r="K52" s="2845" t="s">
        <v>1855</v>
      </c>
      <c r="L52" s="2845"/>
      <c r="M52" s="778">
        <f ca="1">D48</f>
        <v>8259</v>
      </c>
      <c r="N52" s="1883" t="str">
        <f>E48</f>
        <v>销售额×税（费）率</v>
      </c>
      <c r="O52" s="779">
        <f>F48</f>
        <v>5.5000000000000007E-2</v>
      </c>
      <c r="P52" s="1845"/>
    </row>
    <row r="53" spans="1:16" ht="12" customHeight="1">
      <c r="A53" s="99" t="s">
        <v>1856</v>
      </c>
      <c r="B53" s="2921" t="s">
        <v>1857</v>
      </c>
      <c r="C53" s="2815"/>
      <c r="D53" s="98">
        <f ca="1">ROUND(D45*'数据-取费表'!E29/(1+'数据-取费表'!F30),0)</f>
        <v>8259</v>
      </c>
      <c r="E53" s="10" t="s">
        <v>1854</v>
      </c>
      <c r="F53" s="100">
        <f>'数据-取费表'!E29</f>
        <v>5.5000000000000007E-2</v>
      </c>
      <c r="G53" s="2261"/>
      <c r="H53" s="2194"/>
      <c r="I53" s="2259"/>
      <c r="J53" s="1883">
        <v>2</v>
      </c>
      <c r="K53" s="2845" t="s">
        <v>1858</v>
      </c>
      <c r="L53" s="2845"/>
      <c r="M53" s="778">
        <f t="shared" ref="M53:O54" ca="1" si="1">D55</f>
        <v>79</v>
      </c>
      <c r="N53" s="1883" t="str">
        <f t="shared" si="1"/>
        <v>销售额×税（费）率</v>
      </c>
      <c r="O53" s="779">
        <f t="shared" si="1"/>
        <v>5.0000000000000001E-4</v>
      </c>
      <c r="P53" s="1845"/>
    </row>
    <row r="54" spans="1:16" ht="12" customHeight="1">
      <c r="A54" s="99" t="s">
        <v>1859</v>
      </c>
      <c r="B54" s="2921" t="s">
        <v>1860</v>
      </c>
      <c r="C54" s="2815"/>
      <c r="D54" s="98">
        <f ca="1">C68</f>
        <v>8259</v>
      </c>
      <c r="E54" s="20" t="s">
        <v>1861</v>
      </c>
      <c r="F54" s="100">
        <f>'数据-取费表'!E29</f>
        <v>5.5000000000000007E-2</v>
      </c>
      <c r="G54" s="2261"/>
      <c r="H54" s="2262"/>
      <c r="I54" s="2259"/>
      <c r="J54" s="1883">
        <v>3</v>
      </c>
      <c r="K54" s="2845" t="s">
        <v>1862</v>
      </c>
      <c r="L54" s="2845"/>
      <c r="M54" s="778">
        <f t="shared" ca="1" si="1"/>
        <v>89381</v>
      </c>
      <c r="N54" s="1883" t="str">
        <f t="shared" si="1"/>
        <v>增值额×税（费）率</v>
      </c>
      <c r="O54" s="780" t="str">
        <f t="shared" si="1"/>
        <v>——</v>
      </c>
      <c r="P54" s="1845"/>
    </row>
    <row r="55" spans="1:16" ht="24" customHeight="1">
      <c r="A55" s="2807" t="s">
        <v>1863</v>
      </c>
      <c r="B55" s="2942"/>
      <c r="C55" s="2942"/>
      <c r="D55" s="101">
        <f ca="1">IF(H55="个人住宅",0,ROUND(D45*I55,0))</f>
        <v>79</v>
      </c>
      <c r="E55" s="10" t="s">
        <v>1864</v>
      </c>
      <c r="F55" s="100">
        <f>IF(H55="正常",I55,"免征")</f>
        <v>5.0000000000000001E-4</v>
      </c>
      <c r="G55" s="2261"/>
      <c r="H55" s="2258" t="s">
        <v>1865</v>
      </c>
      <c r="I55" s="102">
        <f>'数据-取费表'!E37</f>
        <v>5.0000000000000001E-4</v>
      </c>
      <c r="J55" s="1883">
        <f>IF(H59="非个人房产","",4)</f>
        <v>4</v>
      </c>
      <c r="K55" s="2845" t="str">
        <f>IF(H59="非个人房产","——","个人所得税")</f>
        <v>个人所得税</v>
      </c>
      <c r="L55" s="2845"/>
      <c r="M55" s="781">
        <f ca="1">D59</f>
        <v>1577</v>
      </c>
      <c r="N55" s="1886" t="str">
        <f>E59</f>
        <v>销售额×税（费）率</v>
      </c>
      <c r="O55" s="782">
        <f>F59</f>
        <v>0.01</v>
      </c>
      <c r="P55" s="1845"/>
    </row>
    <row r="56" spans="1:16" ht="24.75">
      <c r="A56" s="2807" t="s">
        <v>1866</v>
      </c>
      <c r="B56" s="2942"/>
      <c r="C56" s="2942"/>
      <c r="D56" s="101">
        <f ca="1">IF(H56="个人住宅",D57,D58)</f>
        <v>89381</v>
      </c>
      <c r="E56" s="10" t="s">
        <v>1867</v>
      </c>
      <c r="F56" s="100" t="str">
        <f>IF(H56="正常",F58,"免征")</f>
        <v>——</v>
      </c>
      <c r="G56" s="2263" t="s">
        <v>1868</v>
      </c>
      <c r="H56" s="2264" t="s">
        <v>1865</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1841</v>
      </c>
      <c r="B57" s="2930" t="s">
        <v>1869</v>
      </c>
      <c r="C57" s="2932"/>
      <c r="D57" s="103">
        <v>0</v>
      </c>
      <c r="E57" s="13" t="s">
        <v>1843</v>
      </c>
      <c r="F57" s="70"/>
      <c r="G57" s="2261"/>
      <c r="H57" s="1022"/>
      <c r="I57" s="1022"/>
      <c r="J57" s="2845">
        <f>IF(AND(J55="",J56=""),4,IF(项目基本情况!I6="上海银行",J56+1,J55+1))</f>
        <v>5</v>
      </c>
      <c r="K57" s="2845" t="s">
        <v>1870</v>
      </c>
      <c r="L57" s="2265" t="s">
        <v>1871</v>
      </c>
      <c r="M57" s="783"/>
      <c r="N57" s="784">
        <f ca="1">SUMIF(M52:M56,"&lt;9e307")</f>
        <v>99296</v>
      </c>
      <c r="O57" s="2266"/>
      <c r="P57" s="1841" t="e">
        <f ca="1">N57/M49</f>
        <v>#VALUE!</v>
      </c>
    </row>
    <row r="58" spans="1:16" ht="24.75">
      <c r="A58" s="99" t="s">
        <v>1852</v>
      </c>
      <c r="B58" s="2930" t="s">
        <v>1872</v>
      </c>
      <c r="C58" s="2931"/>
      <c r="D58" s="101">
        <f ca="1">IF(H58="转让取得",C81,C97)</f>
        <v>89381</v>
      </c>
      <c r="E58" s="10" t="s">
        <v>1867</v>
      </c>
      <c r="F58" s="14" t="s">
        <v>48</v>
      </c>
      <c r="G58" s="2261"/>
      <c r="H58" s="2264" t="s">
        <v>1873</v>
      </c>
      <c r="I58" s="1022"/>
      <c r="J58" s="2845"/>
      <c r="K58" s="2845"/>
      <c r="L58" s="2265" t="s">
        <v>1874</v>
      </c>
      <c r="M58" s="785"/>
      <c r="N58" s="2267" t="str">
        <f ca="1">IF(H19="元",NUMBERSTRING(INT(N57),2)&amp;"元整",NUMBERSTRING(INT(N57*10000),2)&amp;"元整")</f>
        <v>玖万玖仟贰佰玖拾陆元整</v>
      </c>
      <c r="O58" s="2268"/>
      <c r="P58" s="1845"/>
    </row>
    <row r="59" spans="1:16" ht="26.25" thickBot="1">
      <c r="A59" s="2808" t="s">
        <v>1875</v>
      </c>
      <c r="B59" s="2811"/>
      <c r="C59" s="2811"/>
      <c r="D59" s="104">
        <f ca="1">IF(H59="非个人房产","——",IF(H59="个人住宅",0,ROUND(D45*I59,0)))</f>
        <v>1577</v>
      </c>
      <c r="E59" s="105" t="str">
        <f>IF(H59="非个人房产","——","销售额×税（费）率")</f>
        <v>销售额×税（费）率</v>
      </c>
      <c r="F59" s="106">
        <f>IF(H59="非个人房产","——",IF(H59="个人住宅","免征",I59))</f>
        <v>0.01</v>
      </c>
      <c r="G59" s="2269" t="s">
        <v>1868</v>
      </c>
      <c r="H59" s="2264" t="s">
        <v>1876</v>
      </c>
      <c r="I59" s="107">
        <v>0.01</v>
      </c>
      <c r="J59" s="2899">
        <f>J57+1</f>
        <v>6</v>
      </c>
      <c r="K59" s="2845" t="s">
        <v>1877</v>
      </c>
      <c r="L59" s="1883" t="s">
        <v>1871</v>
      </c>
      <c r="M59" s="786"/>
      <c r="N59" s="787" t="e">
        <f ca="1">M49-N57</f>
        <v>#VALUE!</v>
      </c>
      <c r="O59" s="2270"/>
      <c r="P59" s="1845"/>
    </row>
    <row r="60" spans="1:16" ht="12" customHeight="1">
      <c r="A60" s="2066"/>
      <c r="B60" s="2194"/>
      <c r="C60" s="2194"/>
      <c r="D60" s="2194"/>
      <c r="E60" s="1022"/>
      <c r="F60" s="1022"/>
      <c r="G60" s="1022"/>
      <c r="H60" s="2247"/>
      <c r="I60" s="2194"/>
      <c r="J60" s="2900"/>
      <c r="K60" s="2845"/>
      <c r="L60" s="2265" t="s">
        <v>1874</v>
      </c>
      <c r="M60" s="785"/>
      <c r="N60" s="2267" t="e">
        <f ca="1">IF(H19="元",NUMBERSTRING(INT(N59),2)&amp;"元整",NUMBERSTRING(INT(N59*10000),2)&amp;"元整")</f>
        <v>#VALUE!</v>
      </c>
      <c r="O60" s="2268"/>
      <c r="P60" s="1845"/>
    </row>
    <row r="61" spans="1:16" ht="13.5" thickBot="1">
      <c r="A61" s="2946" t="s">
        <v>1878</v>
      </c>
      <c r="B61" s="2946"/>
      <c r="C61" s="2946"/>
      <c r="D61" s="2946"/>
      <c r="E61" s="2946"/>
      <c r="F61" s="1022"/>
      <c r="G61" s="1022"/>
      <c r="H61" s="2247"/>
      <c r="I61" s="2194"/>
      <c r="J61" s="1883">
        <f>J59+1</f>
        <v>7</v>
      </c>
      <c r="K61" s="2845" t="s">
        <v>1879</v>
      </c>
      <c r="L61" s="2845"/>
      <c r="M61" s="788"/>
      <c r="N61" s="789" t="e">
        <f ca="1">IF(H19="元",ROUND(N59/项目基本情况!C12,0),ROUND(N59*10000/项目基本情况!C12,0))</f>
        <v>#VALUE!</v>
      </c>
      <c r="O61" s="2271"/>
      <c r="P61" s="1845"/>
    </row>
    <row r="62" spans="1:16" ht="12.75">
      <c r="A62" s="2883" t="s">
        <v>1880</v>
      </c>
      <c r="B62" s="2884"/>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150158</v>
      </c>
      <c r="D63" s="112"/>
      <c r="E63" s="113"/>
      <c r="F63" s="1022"/>
      <c r="G63" s="1022"/>
      <c r="H63" s="2247"/>
      <c r="I63" s="2194"/>
      <c r="J63" s="2864" t="s">
        <v>1884</v>
      </c>
      <c r="K63" s="2272"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157666</v>
      </c>
      <c r="D64" s="117" t="s">
        <v>41</v>
      </c>
      <c r="E64" s="118"/>
      <c r="F64" s="1022"/>
      <c r="G64" s="1022"/>
      <c r="H64" s="2247"/>
      <c r="I64" s="2194"/>
      <c r="J64" s="2864"/>
      <c r="K64" s="2272"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7"/>
      <c r="I65" s="2194"/>
      <c r="J65" s="2864"/>
      <c r="K65" s="2272"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7"/>
      <c r="I66" s="2194"/>
      <c r="J66" s="2864"/>
      <c r="K66" s="2272" t="s">
        <v>1893</v>
      </c>
      <c r="L66" s="1844" t="e">
        <f>M49*0.5%</f>
        <v>#VALUE!</v>
      </c>
      <c r="M66" s="14" t="e">
        <f>IF(L66&gt;0.5,0.5,ROUND(L66,0))</f>
        <v>#VALUE!</v>
      </c>
      <c r="N66" s="1845" t="s">
        <v>1894</v>
      </c>
      <c r="O66" s="1845"/>
      <c r="P66" s="1845"/>
    </row>
    <row r="67" spans="1:35" ht="12.75">
      <c r="A67" s="120" t="s">
        <v>42</v>
      </c>
      <c r="B67" s="121" t="s">
        <v>1895</v>
      </c>
      <c r="C67" s="124">
        <f ca="1">C63-C66</f>
        <v>150158</v>
      </c>
      <c r="D67" s="117" t="s">
        <v>41</v>
      </c>
      <c r="E67" s="118"/>
      <c r="F67" s="1022"/>
      <c r="G67" s="1022"/>
      <c r="H67" s="2247"/>
      <c r="I67" s="2194"/>
      <c r="J67" s="2864"/>
      <c r="K67" s="2272"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8259</v>
      </c>
      <c r="D68" s="128">
        <f>'数据-取费表'!E29</f>
        <v>5.5000000000000007E-2</v>
      </c>
      <c r="E68" s="129"/>
      <c r="F68" s="1022"/>
      <c r="G68" s="1022"/>
      <c r="H68" s="2247"/>
      <c r="I68" s="2194"/>
      <c r="J68" s="2864"/>
      <c r="K68" s="2272" t="s">
        <v>1898</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4"/>
      <c r="K69" s="2272" t="s">
        <v>1899</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5" t="s">
        <v>1900</v>
      </c>
      <c r="B70" s="2886"/>
      <c r="C70" s="2886"/>
      <c r="D70" s="2886"/>
      <c r="E70" s="2886"/>
      <c r="F70" s="2886"/>
      <c r="G70" s="2886"/>
      <c r="H70" s="288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3" t="s">
        <v>1880</v>
      </c>
      <c r="B71" s="2884"/>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150158</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751</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921" t="s">
        <v>1910</v>
      </c>
      <c r="F76" s="2922"/>
      <c r="G76" s="2922"/>
      <c r="H76" s="292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751</v>
      </c>
      <c r="D78" s="145">
        <f>'数据-取费表'!E31</f>
        <v>5.000000000000001E-3</v>
      </c>
      <c r="E78" s="2852" t="s">
        <v>1915</v>
      </c>
      <c r="F78" s="2853"/>
      <c r="G78" s="2853"/>
      <c r="H78" s="287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149407</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198.94407456724369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89381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5" t="s">
        <v>1919</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3" t="s">
        <v>1880</v>
      </c>
      <c r="B84" s="288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150158</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751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852" t="s">
        <v>1927</v>
      </c>
      <c r="F91" s="2853"/>
      <c r="G91" s="2853"/>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852" t="s">
        <v>1930</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751</v>
      </c>
      <c r="D93" s="145">
        <f>'数据-取费表'!E31</f>
        <v>5.000000000000001E-3</v>
      </c>
      <c r="E93" s="2852" t="s">
        <v>1915</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852" t="s">
        <v>1932</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149407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198.94407456724369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89381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870" t="s">
        <v>1934</v>
      </c>
      <c r="B99" s="2871"/>
      <c r="C99" s="2871"/>
      <c r="D99" s="2872"/>
      <c r="E99" s="2194"/>
      <c r="F99" s="2880" t="s">
        <v>1935</v>
      </c>
      <c r="G99" s="2881"/>
      <c r="H99" s="2881"/>
      <c r="I99" s="2882"/>
    </row>
    <row r="100" spans="1:35" ht="15.75">
      <c r="A100" s="2887" t="s">
        <v>1936</v>
      </c>
      <c r="B100" s="2888"/>
      <c r="C100" s="720" t="str">
        <f>C4</f>
        <v>成本法</v>
      </c>
      <c r="D100" s="721" t="str">
        <f>D4</f>
        <v>收益法</v>
      </c>
      <c r="E100" s="2194"/>
      <c r="F100" s="2889" t="s">
        <v>1937</v>
      </c>
      <c r="G100" s="2891"/>
      <c r="H100" s="2889" t="s">
        <v>1938</v>
      </c>
      <c r="I100" s="2890"/>
    </row>
    <row r="101" spans="1:35" ht="15.75">
      <c r="A101" s="2909" t="s">
        <v>1939</v>
      </c>
      <c r="B101" s="2289" t="str">
        <f>IF(H19="元","总价（元）","总价（万元）")</f>
        <v>总价（元）</v>
      </c>
      <c r="C101" s="720">
        <f ca="1">C19</f>
        <v>115774</v>
      </c>
      <c r="D101" s="721">
        <f ca="1">D19</f>
        <v>168135</v>
      </c>
      <c r="E101" s="2194"/>
      <c r="F101" s="2889" t="str">
        <f>项目基本情况!I1</f>
        <v>江西省赣州市房地产</v>
      </c>
      <c r="G101" s="2891"/>
      <c r="H101" s="2950">
        <f>项目基本情况!C12</f>
        <v>24.62</v>
      </c>
      <c r="I101" s="2890"/>
    </row>
    <row r="102" spans="1:35" ht="15.75">
      <c r="A102" s="2909"/>
      <c r="B102" s="2289" t="s">
        <v>1940</v>
      </c>
      <c r="C102" s="722">
        <f ca="1">C20</f>
        <v>4702</v>
      </c>
      <c r="D102" s="723">
        <f ca="1">D20</f>
        <v>6829</v>
      </c>
      <c r="E102" s="2194"/>
      <c r="F102" s="2964" t="s">
        <v>1941</v>
      </c>
      <c r="G102" s="2965"/>
      <c r="H102" s="2290" t="str">
        <f>C106</f>
        <v>总价（元）</v>
      </c>
      <c r="I102" s="1862">
        <f ca="1">H121</f>
        <v>157666</v>
      </c>
    </row>
    <row r="103" spans="1:35" ht="15">
      <c r="A103" s="2909" t="s">
        <v>1942</v>
      </c>
      <c r="B103" s="2291" t="str">
        <f>B101</f>
        <v>总价（元）</v>
      </c>
      <c r="C103" s="724">
        <f ca="1">H121</f>
        <v>157666</v>
      </c>
      <c r="D103" s="725"/>
      <c r="E103" s="2194"/>
      <c r="F103" s="2964"/>
      <c r="G103" s="2965"/>
      <c r="H103" s="2290" t="s">
        <v>1940</v>
      </c>
      <c r="I103" s="1050">
        <f ca="1">I121</f>
        <v>6404</v>
      </c>
    </row>
    <row r="104" spans="1:35" ht="16.5" thickBot="1">
      <c r="A104" s="2910"/>
      <c r="B104" s="2292" t="s">
        <v>1940</v>
      </c>
      <c r="C104" s="726">
        <f ca="1">I121</f>
        <v>6404</v>
      </c>
      <c r="D104" s="727"/>
      <c r="E104" s="2194"/>
      <c r="F104" s="2876"/>
      <c r="G104" s="2877"/>
      <c r="H104" s="2911"/>
      <c r="I104" s="2912"/>
    </row>
    <row r="105" spans="1:35" ht="15.75">
      <c r="A105" s="2870" t="s">
        <v>1943</v>
      </c>
      <c r="B105" s="2871"/>
      <c r="C105" s="2871"/>
      <c r="D105" s="2872"/>
      <c r="E105" s="2194"/>
      <c r="F105" s="2915" t="s">
        <v>1944</v>
      </c>
      <c r="G105" s="2916"/>
      <c r="H105" s="2293" t="str">
        <f>C108</f>
        <v>总额（元）</v>
      </c>
      <c r="I105" s="1862">
        <f>SUMIF(I106:I108,"&lt;9E307")</f>
        <v>0</v>
      </c>
    </row>
    <row r="106" spans="1:35" ht="15">
      <c r="A106" s="2917" t="s">
        <v>1945</v>
      </c>
      <c r="B106" s="2918"/>
      <c r="C106" s="2290" t="str">
        <f>B101</f>
        <v>总价（元）</v>
      </c>
      <c r="D106" s="1051">
        <f ca="1">H121</f>
        <v>157666</v>
      </c>
      <c r="E106" s="2194"/>
      <c r="F106" s="2878" t="s">
        <v>1946</v>
      </c>
      <c r="G106" s="287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7"/>
      <c r="B107" s="2918"/>
      <c r="C107" s="2290" t="s">
        <v>1940</v>
      </c>
      <c r="D107" s="1052">
        <f ca="1">I121</f>
        <v>6404</v>
      </c>
      <c r="E107" s="2194"/>
      <c r="F107" s="2878" t="s">
        <v>1947</v>
      </c>
      <c r="G107" s="2879"/>
      <c r="H107" s="2293" t="str">
        <f>C110</f>
        <v>总额（元）</v>
      </c>
      <c r="I107" s="1050">
        <f>C37</f>
        <v>0</v>
      </c>
      <c r="K107" s="2294"/>
    </row>
    <row r="108" spans="1:35" ht="15">
      <c r="A108" s="2960" t="s">
        <v>1948</v>
      </c>
      <c r="B108" s="2961"/>
      <c r="C108" s="2293" t="str">
        <f>IF(H19="元","总额（元）","总额（万元）")</f>
        <v>总额（元）</v>
      </c>
      <c r="D108" s="1051">
        <f>IF(D36="正常操作",I106+I107+I108,I107+I108)</f>
        <v>0</v>
      </c>
      <c r="E108" s="2194"/>
      <c r="F108" s="2878" t="s">
        <v>1949</v>
      </c>
      <c r="G108" s="2879"/>
      <c r="H108" s="2293" t="str">
        <f>C111</f>
        <v>总额（元）</v>
      </c>
      <c r="I108" s="1050">
        <f>C38</f>
        <v>0</v>
      </c>
    </row>
    <row r="109" spans="1:35" ht="15.75">
      <c r="A109" s="2878" t="s">
        <v>1946</v>
      </c>
      <c r="B109" s="2879"/>
      <c r="C109" s="2293" t="str">
        <f>C108</f>
        <v>总额（元）</v>
      </c>
      <c r="D109" s="637">
        <f>IF(D36="同一抵押权人同一抵押物续贷",C36&amp;"（未扣减，详见特别提示）",C36)</f>
        <v>0</v>
      </c>
      <c r="E109" s="2194"/>
      <c r="F109" s="2876"/>
      <c r="G109" s="2877"/>
      <c r="H109" s="2913"/>
      <c r="I109" s="2914"/>
    </row>
    <row r="110" spans="1:35" ht="28.5" customHeight="1">
      <c r="A110" s="2878" t="s">
        <v>1947</v>
      </c>
      <c r="B110" s="2879"/>
      <c r="C110" s="2293" t="str">
        <f>C108</f>
        <v>总额（元）</v>
      </c>
      <c r="D110" s="637">
        <f>C37</f>
        <v>0</v>
      </c>
      <c r="E110" s="2194"/>
      <c r="F110" s="2858" t="str">
        <f>IF(项目基本情况!F5="已注销","——","3.房地产抵押价值")</f>
        <v>3.房地产抵押价值</v>
      </c>
      <c r="G110" s="2859"/>
      <c r="H110" s="2295" t="str">
        <f>C112</f>
        <v>总价（元）</v>
      </c>
      <c r="I110" s="1863">
        <f ca="1">IF(F110="——","——",I102-I105)</f>
        <v>157666</v>
      </c>
    </row>
    <row r="111" spans="1:35" ht="15">
      <c r="A111" s="2878" t="s">
        <v>1949</v>
      </c>
      <c r="B111" s="2879"/>
      <c r="C111" s="2293" t="str">
        <f>C108</f>
        <v>总额（元）</v>
      </c>
      <c r="D111" s="637">
        <f>C38</f>
        <v>0</v>
      </c>
      <c r="E111" s="2194"/>
      <c r="F111" s="2860"/>
      <c r="G111" s="2861"/>
      <c r="H111" s="2290" t="s">
        <v>1940</v>
      </c>
      <c r="I111" s="2296">
        <f ca="1">D113</f>
        <v>6404</v>
      </c>
    </row>
    <row r="112" spans="1:35" ht="26.25" customHeight="1">
      <c r="A112" s="2917" t="str">
        <f>IF(项目基本情况!F5="已注销","——","3.房地产抵押价值")</f>
        <v>3.房地产抵押价值</v>
      </c>
      <c r="B112" s="2918"/>
      <c r="C112" s="2290" t="str">
        <f>B101</f>
        <v>总价（元）</v>
      </c>
      <c r="D112" s="1051">
        <f ca="1">IF(A112="——","——",D106-D108)</f>
        <v>157666</v>
      </c>
      <c r="E112" s="2194"/>
      <c r="F112" s="2858" t="str">
        <f>IF(项目基本情况!F5="已注销及未注销","4.抵押担保权已注销时的房地产抵押价值",IF(项目基本情况!F5="已注销","3.抵押担保权已注销时的房地产抵押价值","——"))</f>
        <v>——</v>
      </c>
      <c r="G112" s="2859"/>
      <c r="H112" s="2295" t="str">
        <f>C114</f>
        <v>总价（元）</v>
      </c>
      <c r="I112" s="1863" t="str">
        <f>IF(F112="——","——",I102-I107-I108)</f>
        <v>——</v>
      </c>
    </row>
    <row r="113" spans="1:15" ht="15">
      <c r="A113" s="2917"/>
      <c r="B113" s="2918"/>
      <c r="C113" s="2290" t="s">
        <v>1940</v>
      </c>
      <c r="D113" s="1052">
        <f ca="1">ROUND(IF(D112=D106,D107,IF(H19="元",D112/项目基本情况!C12,D112*10000/项目基本情况!C12)),0)</f>
        <v>6404</v>
      </c>
      <c r="E113" s="2194"/>
      <c r="F113" s="2860"/>
      <c r="G113" s="2861"/>
      <c r="H113" s="2290" t="s">
        <v>1940</v>
      </c>
      <c r="I113" s="2297" t="str">
        <f>D115</f>
        <v>——</v>
      </c>
    </row>
    <row r="114" spans="1:15" ht="15.75">
      <c r="A114" s="2917" t="str">
        <f>IF(项目基本情况!F5="已注销及未注销","4.抵押担保权已注销时的房地产抵押价值",IF(项目基本情况!F5="已注销","3.抵押担保权已注销时的房地产抵押价值","——"))</f>
        <v>——</v>
      </c>
      <c r="B114" s="2918"/>
      <c r="C114" s="2290" t="str">
        <f>B101</f>
        <v>总价（元）</v>
      </c>
      <c r="D114" s="1051" t="str">
        <f>IF(A114="——","——",D106-D110-D111)</f>
        <v>——</v>
      </c>
      <c r="E114" s="2194"/>
      <c r="F114" s="2858" t="str">
        <f>IF(项目基本情况!G5="抵押净值",IF(OR(项目基本情况!F5="已注销",项目基本情况!F5="房地产抵押价值"),"4.抵押净值","5.抵押净值"),"——")</f>
        <v>——</v>
      </c>
      <c r="G114" s="2859"/>
      <c r="H114" s="2290" t="str">
        <f>C116</f>
        <v>总价（元）</v>
      </c>
      <c r="I114" s="1862" t="str">
        <f>IF(F114="——","——",N59)</f>
        <v>——</v>
      </c>
    </row>
    <row r="115" spans="1:15" ht="15.75" thickBot="1">
      <c r="A115" s="2917"/>
      <c r="B115" s="2918"/>
      <c r="C115" s="2290" t="s">
        <v>1940</v>
      </c>
      <c r="D115" s="1052" t="str">
        <f>IF(A114="——","——",ROUND(IF(D114=D106,D107,IF(H19="元",D114/项目基本情况!C12,D114*10000/项目基本情况!C12)),0))</f>
        <v>——</v>
      </c>
      <c r="E115" s="2194"/>
      <c r="F115" s="2951"/>
      <c r="G115" s="2952"/>
      <c r="H115" s="2298" t="s">
        <v>1940</v>
      </c>
      <c r="I115" s="1864" t="str">
        <f ca="1">D117</f>
        <v>——</v>
      </c>
    </row>
    <row r="116" spans="1:15" ht="15.75">
      <c r="A116" s="2917" t="str">
        <f>IF(项目基本情况!G5="抵押净值",IF(OR(项目基本情况!F5="已注销",项目基本情况!F5="房地产抵押价值"),"4.抵押净值","5.抵押净值"),"——")</f>
        <v>——</v>
      </c>
      <c r="B116" s="2918"/>
      <c r="C116" s="2290" t="str">
        <f>B101</f>
        <v>总价（元）</v>
      </c>
      <c r="D116" s="1051" t="str">
        <f>IF(A116="——","——",N59)</f>
        <v>——</v>
      </c>
      <c r="E116" s="2194"/>
      <c r="F116" s="2854"/>
      <c r="G116" s="2854"/>
      <c r="H116" s="2896"/>
      <c r="I116" s="2896"/>
      <c r="N116" s="55"/>
      <c r="O116" s="55"/>
    </row>
    <row r="117" spans="1:15" ht="15.75" thickBot="1">
      <c r="A117" s="2958"/>
      <c r="B117" s="2959"/>
      <c r="C117" s="2298" t="s">
        <v>1940</v>
      </c>
      <c r="D117" s="1053" t="str">
        <f ca="1">IF(D116=D112,D113,IF(A116="——","——",N61))</f>
        <v>——</v>
      </c>
      <c r="E117" s="2194"/>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1950</v>
      </c>
      <c r="B118" s="2898"/>
      <c r="C118" s="2898"/>
      <c r="D118" s="2898"/>
      <c r="E118" s="2898"/>
      <c r="F118" s="2898"/>
      <c r="G118" s="2898"/>
      <c r="H118" s="2898"/>
      <c r="I118" s="2898"/>
    </row>
    <row r="119" spans="1:15" ht="14.25">
      <c r="A119" s="2869" t="s">
        <v>1951</v>
      </c>
      <c r="B119" s="2867" t="s">
        <v>1952</v>
      </c>
      <c r="C119" s="2867" t="s">
        <v>1953</v>
      </c>
      <c r="D119" s="2874" t="s">
        <v>1954</v>
      </c>
      <c r="E119" s="2875"/>
      <c r="F119" s="2865" t="s">
        <v>1812</v>
      </c>
      <c r="G119" s="2865"/>
      <c r="H119" s="2865" t="s">
        <v>1955</v>
      </c>
      <c r="I119" s="2866"/>
    </row>
    <row r="120" spans="1:15" ht="14.25">
      <c r="A120" s="2869"/>
      <c r="B120" s="2868"/>
      <c r="C120" s="2868"/>
      <c r="D120" s="1887" t="s">
        <v>1956</v>
      </c>
      <c r="E120" s="1887" t="s">
        <v>1957</v>
      </c>
      <c r="F120" s="1887" t="s">
        <v>1956</v>
      </c>
      <c r="G120" s="1887" t="s">
        <v>1958</v>
      </c>
      <c r="H120" s="1887" t="s">
        <v>1956</v>
      </c>
      <c r="I120" s="637" t="s">
        <v>1958</v>
      </c>
    </row>
    <row r="121" spans="1:15" ht="28.5">
      <c r="A121" s="2180" t="str">
        <f>项目基本情况!I1</f>
        <v>江西省赣州市房地产</v>
      </c>
      <c r="B121" s="1887">
        <f>项目基本情况!C12</f>
        <v>24.62</v>
      </c>
      <c r="C121" s="1887">
        <f>项目基本情况!C13</f>
        <v>0</v>
      </c>
      <c r="D121" s="1887">
        <f ca="1">ROUND(IF(B32="总价",C34,IF('数据-取费表'!B3="万元",E121*B121/10000,E121*B121)),0)</f>
        <v>110199</v>
      </c>
      <c r="E121" s="1887">
        <f ca="1">ROUND(IF(B32="楼面单价",C34,IF(H19="元",D121/B121,D121*10000/B121)),0)</f>
        <v>4476</v>
      </c>
      <c r="F121" s="1887">
        <f ca="1">ROUND(IF(B32="总价",C35,IF('数据-取费表'!B3="万元",G121*B121/10000,G121*B121)),0)</f>
        <v>47467</v>
      </c>
      <c r="G121" s="1887">
        <f ca="1">ROUND(IF(B32="楼面单价",C35,IF(H19="元",F121/B121,F121*10000/B121)),0)</f>
        <v>1928</v>
      </c>
      <c r="H121" s="1887">
        <f ca="1">ROUND(IF(B32="总价",C32,IF('数据-取费表'!B3="万元",I121*B121/10000,I121*B121)),0)</f>
        <v>157666</v>
      </c>
      <c r="I121" s="637">
        <f ca="1">ROUND(IF(B32="楼面单价",C32,IF(H19="元",H121/B121,H121*10000/B121)),0)</f>
        <v>6404</v>
      </c>
    </row>
    <row r="122" spans="1:15" ht="14.25">
      <c r="A122" s="2869" t="s">
        <v>1959</v>
      </c>
      <c r="B122" s="2865"/>
      <c r="C122" s="2865"/>
      <c r="D122" s="2901" t="str">
        <f ca="1">IF(H19="元",NUMBERSTRING(INT(D121),2)&amp;"元整",NUMBERSTRING(INT(D121*10000),2)&amp;"元整")</f>
        <v>壹拾壹万零壹佰玖拾玖元整</v>
      </c>
      <c r="E122" s="2902"/>
      <c r="F122" s="2901" t="str">
        <f ca="1">IF(H19="元",NUMBERSTRING(INT(F121),2)&amp;"元整",NUMBERSTRING(INT(F121*10000),2)&amp;"元整")</f>
        <v>肆万柒仟肆佰陆拾柒元整</v>
      </c>
      <c r="G122" s="2902"/>
      <c r="H122" s="2901" t="str">
        <f ca="1">IF(H19="元",NUMBERSTRING(INT(H121),2)&amp;"元整",NUMBERSTRING(INT(H121*10000),2)&amp;"元整")</f>
        <v>壹拾伍万柒仟陆佰陆拾陆元整</v>
      </c>
      <c r="I122" s="2966"/>
    </row>
    <row r="123" spans="1:15" ht="15">
      <c r="A123" s="2903" t="str">
        <f>IF(项目基本情况!D5="房地产市场价值","——",MID(A108,3,LEN(A108)-2))</f>
        <v>——</v>
      </c>
      <c r="B123" s="2904"/>
      <c r="C123" s="2905"/>
      <c r="D123" s="2894">
        <f>I105</f>
        <v>0</v>
      </c>
      <c r="E123" s="2904"/>
      <c r="F123" s="2904"/>
      <c r="G123" s="2904"/>
      <c r="H123" s="2904"/>
      <c r="I123" s="2953"/>
    </row>
    <row r="124" spans="1:15" ht="14.25">
      <c r="A124" s="2906" t="s">
        <v>1959</v>
      </c>
      <c r="B124" s="2907"/>
      <c r="C124" s="2908"/>
      <c r="D124" s="2954">
        <f>H109</f>
        <v>0</v>
      </c>
      <c r="E124" s="2955"/>
      <c r="F124" s="2955"/>
      <c r="G124" s="2955"/>
      <c r="H124" s="2955"/>
      <c r="I124" s="2956"/>
    </row>
    <row r="125" spans="1:15" ht="15">
      <c r="A125" s="2892" t="str">
        <f>IF(项目基本情况!D5="房地产市场价值","——",MID(A112,3,LEN(A112)-2))</f>
        <v>——</v>
      </c>
      <c r="B125" s="2893"/>
      <c r="C125" s="2893"/>
      <c r="D125" s="2894">
        <f ca="1">I110</f>
        <v>157666</v>
      </c>
      <c r="E125" s="2904"/>
      <c r="F125" s="2904"/>
      <c r="G125" s="2904"/>
      <c r="H125" s="2904"/>
      <c r="I125" s="2953"/>
    </row>
    <row r="126" spans="1:15" ht="14.25">
      <c r="A126" s="2869" t="s">
        <v>1959</v>
      </c>
      <c r="B126" s="2865"/>
      <c r="C126" s="2865"/>
      <c r="D126" s="2954">
        <f ca="1">I111</f>
        <v>6404</v>
      </c>
      <c r="E126" s="2955"/>
      <c r="F126" s="2955"/>
      <c r="G126" s="2955"/>
      <c r="H126" s="2955"/>
      <c r="I126" s="2956"/>
    </row>
    <row r="127" spans="1:15" ht="15.75" thickBot="1">
      <c r="A127" s="2892" t="str">
        <f>IF(项目基本情况!D5="房地产市场价值","——",MID(A114,3,LEN(A114)-2))</f>
        <v>——</v>
      </c>
      <c r="B127" s="2893"/>
      <c r="C127" s="2893"/>
      <c r="D127" s="2849" t="str">
        <f>I112</f>
        <v>——</v>
      </c>
      <c r="E127" s="2850"/>
      <c r="F127" s="2850"/>
      <c r="G127" s="2850"/>
      <c r="H127" s="2850"/>
      <c r="I127" s="2851"/>
    </row>
    <row r="128" spans="1:15" ht="15.75" thickTop="1" thickBot="1">
      <c r="A128" s="2869" t="s">
        <v>1959</v>
      </c>
      <c r="B128" s="2865"/>
      <c r="C128" s="2949"/>
      <c r="D128" s="2895" t="str">
        <f>I113</f>
        <v>——</v>
      </c>
      <c r="E128" s="2895"/>
      <c r="F128" s="2895"/>
      <c r="G128" s="2895"/>
      <c r="H128" s="2895"/>
      <c r="I128" s="2895"/>
    </row>
    <row r="129" spans="1:9" ht="16.5" thickTop="1" thickBot="1">
      <c r="A129" s="2892" t="str">
        <f>IF(项目基本情况!D5="房地产市场价值","——",MID(F114,3,LEN(F114)-2))</f>
        <v>——</v>
      </c>
      <c r="B129" s="2893"/>
      <c r="C129" s="2894"/>
      <c r="D129" s="2957" t="str">
        <f>I114</f>
        <v>——</v>
      </c>
      <c r="E129" s="2957"/>
      <c r="F129" s="2957"/>
      <c r="G129" s="2957"/>
      <c r="H129" s="2957"/>
      <c r="I129" s="2957"/>
    </row>
    <row r="130" spans="1:9" ht="15.75" thickTop="1" thickBot="1">
      <c r="A130" s="2962" t="s">
        <v>1959</v>
      </c>
      <c r="B130" s="2963"/>
      <c r="C130" s="2963"/>
      <c r="D130" s="2967">
        <f>H116</f>
        <v>0</v>
      </c>
      <c r="E130" s="2968"/>
      <c r="F130" s="2968"/>
      <c r="G130" s="2968"/>
      <c r="H130" s="2968"/>
      <c r="I130" s="296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2971" t="s">
        <v>1968</v>
      </c>
      <c r="B2" s="2971"/>
      <c r="C2" s="2971"/>
      <c r="D2" s="2971"/>
      <c r="E2" s="2971"/>
      <c r="F2" s="2971"/>
      <c r="G2" s="2971"/>
      <c r="H2" s="2971"/>
      <c r="I2" s="2971"/>
    </row>
    <row r="3" spans="1:12" ht="12.75">
      <c r="A3" s="2925" t="s">
        <v>1772</v>
      </c>
      <c r="B3" s="2926"/>
      <c r="C3" s="2926"/>
      <c r="D3" s="2926"/>
      <c r="E3" s="2926"/>
      <c r="F3" s="2926"/>
      <c r="G3" s="2926"/>
      <c r="H3" s="2926"/>
      <c r="I3" s="2926"/>
    </row>
    <row r="4" spans="1:12" ht="14.25">
      <c r="A4" s="2196" t="s">
        <v>1773</v>
      </c>
      <c r="B4" s="2197" t="s">
        <v>1774</v>
      </c>
      <c r="C4" s="2198"/>
      <c r="D4" s="2198"/>
      <c r="E4" s="2930" t="s">
        <v>1969</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1776</v>
      </c>
      <c r="B5" s="2865">
        <v>25</v>
      </c>
      <c r="C5" s="2927"/>
      <c r="D5" s="2924"/>
      <c r="E5" s="56" t="s">
        <v>1777</v>
      </c>
      <c r="F5" s="2199"/>
      <c r="G5" s="2199"/>
      <c r="H5" s="2199"/>
      <c r="I5" s="2200"/>
    </row>
    <row r="6" spans="1:12" ht="12.75">
      <c r="A6" s="2920"/>
      <c r="B6" s="2865"/>
      <c r="C6" s="2928"/>
      <c r="D6" s="2924"/>
      <c r="E6" s="56" t="s">
        <v>1778</v>
      </c>
      <c r="F6" s="2199"/>
      <c r="G6" s="2199"/>
      <c r="H6" s="2199"/>
      <c r="I6" s="2200"/>
    </row>
    <row r="7" spans="1:12" ht="12.75">
      <c r="A7" s="2920"/>
      <c r="B7" s="2865"/>
      <c r="C7" s="2929"/>
      <c r="D7" s="2924"/>
      <c r="E7" s="56" t="s">
        <v>1779</v>
      </c>
      <c r="F7" s="2199"/>
      <c r="G7" s="2199"/>
      <c r="H7" s="2199"/>
      <c r="I7" s="2200"/>
    </row>
    <row r="8" spans="1:12" ht="12.75">
      <c r="A8" s="2920" t="s">
        <v>1780</v>
      </c>
      <c r="B8" s="2865">
        <v>15</v>
      </c>
      <c r="C8" s="2927"/>
      <c r="D8" s="2924"/>
      <c r="E8" s="56" t="s">
        <v>1781</v>
      </c>
      <c r="F8" s="2199"/>
      <c r="G8" s="2199"/>
      <c r="H8" s="2199"/>
      <c r="I8" s="2200"/>
    </row>
    <row r="9" spans="1:12" ht="12.75">
      <c r="A9" s="2920"/>
      <c r="B9" s="2865"/>
      <c r="C9" s="2929"/>
      <c r="D9" s="2924"/>
      <c r="E9" s="56" t="s">
        <v>1782</v>
      </c>
      <c r="F9" s="2199"/>
      <c r="G9" s="2199"/>
      <c r="H9" s="2199"/>
      <c r="I9" s="2200"/>
    </row>
    <row r="10" spans="1:12" ht="12.75">
      <c r="A10" s="2920" t="s">
        <v>1783</v>
      </c>
      <c r="B10" s="2865">
        <v>15</v>
      </c>
      <c r="C10" s="2927"/>
      <c r="D10" s="2924"/>
      <c r="E10" s="56" t="s">
        <v>1784</v>
      </c>
      <c r="F10" s="2199"/>
      <c r="G10" s="2199"/>
      <c r="H10" s="2199"/>
      <c r="I10" s="2200"/>
    </row>
    <row r="11" spans="1:12" ht="12.75">
      <c r="A11" s="2920"/>
      <c r="B11" s="2865"/>
      <c r="C11" s="2929"/>
      <c r="D11" s="2924"/>
      <c r="E11" s="56" t="s">
        <v>1785</v>
      </c>
      <c r="F11" s="2199"/>
      <c r="G11" s="2199"/>
      <c r="H11" s="2199"/>
      <c r="I11" s="2200"/>
    </row>
    <row r="12" spans="1:12" ht="12.75">
      <c r="A12" s="2920" t="s">
        <v>1786</v>
      </c>
      <c r="B12" s="2865">
        <v>15</v>
      </c>
      <c r="C12" s="2927"/>
      <c r="D12" s="2924"/>
      <c r="E12" s="56" t="s">
        <v>1787</v>
      </c>
      <c r="F12" s="2199"/>
      <c r="G12" s="2199"/>
      <c r="H12" s="2199"/>
      <c r="I12" s="2200"/>
    </row>
    <row r="13" spans="1:12" ht="12.75">
      <c r="A13" s="2920"/>
      <c r="B13" s="2865"/>
      <c r="C13" s="2929"/>
      <c r="D13" s="2924"/>
      <c r="E13" s="56" t="s">
        <v>1788</v>
      </c>
      <c r="F13" s="2199"/>
      <c r="G13" s="2199"/>
      <c r="H13" s="2199"/>
      <c r="I13" s="2200"/>
    </row>
    <row r="14" spans="1:12" ht="12.75">
      <c r="A14" s="2920" t="s">
        <v>1789</v>
      </c>
      <c r="B14" s="2865">
        <v>30</v>
      </c>
      <c r="C14" s="2927"/>
      <c r="D14" s="2924"/>
      <c r="E14" s="56" t="s">
        <v>1790</v>
      </c>
      <c r="F14" s="2199"/>
      <c r="G14" s="2199"/>
      <c r="H14" s="2199"/>
      <c r="I14" s="2200"/>
    </row>
    <row r="15" spans="1:12" ht="12.75">
      <c r="A15" s="2920"/>
      <c r="B15" s="2865"/>
      <c r="C15" s="2928"/>
      <c r="D15" s="2924"/>
      <c r="E15" s="56" t="s">
        <v>1791</v>
      </c>
      <c r="F15" s="2199"/>
      <c r="G15" s="2199"/>
      <c r="H15" s="2199"/>
      <c r="I15" s="2200"/>
    </row>
    <row r="16" spans="1:12" ht="12.75">
      <c r="A16" s="2920"/>
      <c r="B16" s="2865"/>
      <c r="C16" s="2929"/>
      <c r="D16" s="2924"/>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1801</v>
      </c>
      <c r="B24" s="2206" t="s">
        <v>1796</v>
      </c>
      <c r="C24" s="61">
        <f>D30</f>
        <v>0</v>
      </c>
      <c r="D24" s="994"/>
      <c r="E24" s="2194"/>
      <c r="F24" s="2194"/>
      <c r="G24" s="2194"/>
      <c r="H24" s="2194"/>
      <c r="I24" s="2194"/>
    </row>
    <row r="25" spans="1:35" ht="21.75" customHeight="1">
      <c r="A25" s="2934"/>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1971</v>
      </c>
      <c r="B30" s="2716"/>
      <c r="C30" s="2716"/>
      <c r="D30" s="2716"/>
      <c r="E30" s="2714" t="s">
        <v>2808</v>
      </c>
      <c r="F30" s="2194"/>
      <c r="G30" s="2194"/>
      <c r="H30" s="2194"/>
      <c r="I30" s="2194"/>
    </row>
    <row r="31" spans="1:35" s="2221" customFormat="1" ht="15.75" thickBot="1">
      <c r="A31" s="2981" t="s">
        <v>1972</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t="e">
        <f>典型户型修正!B3</f>
        <v>#DIV/0!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938" t="s">
        <v>1981</v>
      </c>
      <c r="B37" s="2236" t="s">
        <v>1982</v>
      </c>
      <c r="C37" s="69"/>
      <c r="D37" s="2237"/>
      <c r="E37" s="2238"/>
      <c r="F37" s="2238"/>
      <c r="G37" s="2194"/>
      <c r="H37" s="2194"/>
      <c r="I37" s="2194"/>
    </row>
    <row r="38" spans="1:16" ht="15.75" thickBot="1">
      <c r="A38" s="2939"/>
      <c r="B38" s="2239" t="s">
        <v>1983</v>
      </c>
      <c r="C38" s="71"/>
      <c r="D38" s="2204"/>
      <c r="E38" s="2204"/>
      <c r="F38" s="2238"/>
      <c r="G38" s="2204"/>
      <c r="H38" s="2204"/>
      <c r="I38" s="2204"/>
    </row>
    <row r="39" spans="1:16" ht="15.75" thickBot="1">
      <c r="A39" s="2940"/>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943" t="s">
        <v>1994</v>
      </c>
      <c r="B46" s="2944"/>
      <c r="C46" s="2945"/>
      <c r="D46" s="80">
        <f>ROUND(I103*F46,0)</f>
        <v>0</v>
      </c>
      <c r="E46" s="81" t="s">
        <v>1995</v>
      </c>
      <c r="F46" s="82">
        <v>1</v>
      </c>
      <c r="G46" s="83" t="s">
        <v>1996</v>
      </c>
      <c r="H46" s="2194"/>
      <c r="I46" s="2194"/>
      <c r="J46" s="2855" t="s">
        <v>1828</v>
      </c>
      <c r="K46" s="2855"/>
      <c r="L46" s="2855"/>
      <c r="M46" s="2855"/>
      <c r="N46" s="2855"/>
      <c r="O46" s="2855"/>
      <c r="P46" s="1845"/>
    </row>
    <row r="47" spans="1:16" ht="14.25" customHeight="1">
      <c r="A47" s="2935" t="s">
        <v>1829</v>
      </c>
      <c r="B47" s="2936"/>
      <c r="C47" s="2936"/>
      <c r="D47" s="2936"/>
      <c r="E47" s="2936"/>
      <c r="F47" s="2936"/>
      <c r="G47" s="2937"/>
      <c r="H47" s="2256"/>
      <c r="I47" s="1144"/>
      <c r="J47" s="1883">
        <v>1</v>
      </c>
      <c r="K47" s="2855" t="s">
        <v>1830</v>
      </c>
      <c r="L47" s="2855"/>
      <c r="M47" s="2970"/>
      <c r="N47" s="2970"/>
      <c r="O47" s="2970"/>
      <c r="P47" s="1845"/>
    </row>
    <row r="48" spans="1:16" ht="12" customHeight="1">
      <c r="A48" s="85" t="s">
        <v>1831</v>
      </c>
      <c r="B48" s="86"/>
      <c r="C48" s="87"/>
      <c r="D48" s="88" t="s">
        <v>1832</v>
      </c>
      <c r="E48" s="14" t="s">
        <v>1833</v>
      </c>
      <c r="F48" s="89" t="s">
        <v>1834</v>
      </c>
      <c r="G48" s="90" t="s">
        <v>1835</v>
      </c>
      <c r="H48" s="2256"/>
      <c r="I48" s="1144"/>
      <c r="J48" s="1883">
        <v>2</v>
      </c>
      <c r="K48" s="2855" t="s">
        <v>1836</v>
      </c>
      <c r="L48" s="2855"/>
      <c r="M48" s="2857">
        <f>'数据-取费表'!B2</f>
        <v>43322</v>
      </c>
      <c r="N48" s="2857"/>
      <c r="O48" s="2857"/>
      <c r="P48" s="1845"/>
    </row>
    <row r="49" spans="1:16" ht="25.5">
      <c r="A49" s="2941" t="s">
        <v>1837</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7" t="s">
        <v>1838</v>
      </c>
      <c r="H49" s="2258" t="s">
        <v>1839</v>
      </c>
      <c r="I49" s="2256"/>
      <c r="J49" s="1883">
        <v>3</v>
      </c>
      <c r="K49" s="2855" t="s">
        <v>1840</v>
      </c>
      <c r="L49" s="2855"/>
      <c r="M49" s="2856">
        <f>I103</f>
        <v>0</v>
      </c>
      <c r="N49" s="2856"/>
      <c r="O49" s="2856"/>
      <c r="P49" s="1845"/>
    </row>
    <row r="50" spans="1:16" ht="25.5" customHeight="1">
      <c r="A50" s="92" t="s">
        <v>1841</v>
      </c>
      <c r="B50" s="2922" t="s">
        <v>1842</v>
      </c>
      <c r="C50" s="2922"/>
      <c r="D50" s="93">
        <v>0</v>
      </c>
      <c r="E50" s="13" t="s">
        <v>1843</v>
      </c>
      <c r="F50" s="18" t="s">
        <v>48</v>
      </c>
      <c r="G50" s="2846"/>
      <c r="H50" s="2194"/>
      <c r="I50" s="2259"/>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1844</v>
      </c>
      <c r="C51" s="2922"/>
      <c r="D51" s="95"/>
      <c r="E51" s="21"/>
      <c r="F51" s="96"/>
      <c r="G51" s="2847"/>
      <c r="H51" s="2194"/>
      <c r="I51" s="2259"/>
      <c r="J51" s="2855" t="s">
        <v>1845</v>
      </c>
      <c r="K51" s="2855"/>
      <c r="L51" s="2855"/>
      <c r="M51" s="2855"/>
      <c r="N51" s="2855"/>
      <c r="O51" s="2855"/>
      <c r="P51" s="1845"/>
    </row>
    <row r="52" spans="1:16" ht="12" customHeight="1">
      <c r="A52" s="97"/>
      <c r="B52" s="2922" t="s">
        <v>1846</v>
      </c>
      <c r="C52" s="2922"/>
      <c r="D52" s="98"/>
      <c r="E52" s="20"/>
      <c r="F52" s="96"/>
      <c r="G52" s="2848"/>
      <c r="H52" s="2194"/>
      <c r="I52" s="2259"/>
      <c r="J52" s="2260" t="s">
        <v>1847</v>
      </c>
      <c r="K52" s="2855" t="s">
        <v>1848</v>
      </c>
      <c r="L52" s="2855"/>
      <c r="M52" s="2260" t="s">
        <v>1849</v>
      </c>
      <c r="N52" s="2260" t="s">
        <v>1850</v>
      </c>
      <c r="O52" s="2260" t="s">
        <v>1851</v>
      </c>
      <c r="P52" s="1845"/>
    </row>
    <row r="53" spans="1:16" ht="24" customHeight="1">
      <c r="A53" s="99" t="s">
        <v>1852</v>
      </c>
      <c r="B53" s="2922" t="s">
        <v>1853</v>
      </c>
      <c r="C53" s="2922"/>
      <c r="D53" s="98">
        <f>ROUND(D46*'数据-取费表'!E29/(1+'数据-取费表'!F30),0)</f>
        <v>0</v>
      </c>
      <c r="E53" s="10" t="s">
        <v>1854</v>
      </c>
      <c r="F53" s="100">
        <f>'数据-取费表'!E29</f>
        <v>5.5000000000000007E-2</v>
      </c>
      <c r="G53" s="2261"/>
      <c r="H53" s="2194"/>
      <c r="I53" s="2259"/>
      <c r="J53" s="1883">
        <v>1</v>
      </c>
      <c r="K53" s="2845" t="s">
        <v>1855</v>
      </c>
      <c r="L53" s="2845"/>
      <c r="M53" s="778">
        <f>D49</f>
        <v>0</v>
      </c>
      <c r="N53" s="1883" t="str">
        <f>E49</f>
        <v>销售额×税（费）率</v>
      </c>
      <c r="O53" s="779">
        <f>F49</f>
        <v>5.5000000000000007E-2</v>
      </c>
      <c r="P53" s="1845"/>
    </row>
    <row r="54" spans="1:16" ht="12" customHeight="1">
      <c r="A54" s="99" t="s">
        <v>1856</v>
      </c>
      <c r="B54" s="2921" t="s">
        <v>1857</v>
      </c>
      <c r="C54" s="2815"/>
      <c r="D54" s="98">
        <f>ROUND(D46*'数据-取费表'!E29/(1+'数据-取费表'!F30),0)</f>
        <v>0</v>
      </c>
      <c r="E54" s="10" t="s">
        <v>1854</v>
      </c>
      <c r="F54" s="100">
        <f>'数据-取费表'!E29</f>
        <v>5.5000000000000007E-2</v>
      </c>
      <c r="G54" s="2261"/>
      <c r="H54" s="2194"/>
      <c r="I54" s="2259"/>
      <c r="J54" s="1883">
        <v>2</v>
      </c>
      <c r="K54" s="2845" t="s">
        <v>1858</v>
      </c>
      <c r="L54" s="2845"/>
      <c r="M54" s="778">
        <f t="shared" ref="M54:O55" si="1">D56</f>
        <v>0</v>
      </c>
      <c r="N54" s="1883" t="str">
        <f t="shared" si="1"/>
        <v>销售额×税（费）率</v>
      </c>
      <c r="O54" s="779">
        <f t="shared" si="1"/>
        <v>5.0000000000000001E-4</v>
      </c>
      <c r="P54" s="1845"/>
    </row>
    <row r="55" spans="1:16" ht="12" customHeight="1">
      <c r="A55" s="99" t="s">
        <v>1859</v>
      </c>
      <c r="B55" s="2921" t="s">
        <v>1860</v>
      </c>
      <c r="C55" s="2815"/>
      <c r="D55" s="98">
        <f>C69</f>
        <v>0</v>
      </c>
      <c r="E55" s="20" t="s">
        <v>1861</v>
      </c>
      <c r="F55" s="100">
        <f>'数据-取费表'!E29</f>
        <v>5.5000000000000007E-2</v>
      </c>
      <c r="G55" s="2261"/>
      <c r="H55" s="2262"/>
      <c r="I55" s="2259"/>
      <c r="J55" s="1883">
        <v>3</v>
      </c>
      <c r="K55" s="2845" t="s">
        <v>1862</v>
      </c>
      <c r="L55" s="2845"/>
      <c r="M55" s="778">
        <f t="shared" si="1"/>
        <v>0</v>
      </c>
      <c r="N55" s="1883" t="str">
        <f t="shared" si="1"/>
        <v>增值额×税（费）率</v>
      </c>
      <c r="O55" s="780" t="str">
        <f t="shared" si="1"/>
        <v>——</v>
      </c>
      <c r="P55" s="1845"/>
    </row>
    <row r="56" spans="1:16" ht="24" customHeight="1">
      <c r="A56" s="2807" t="s">
        <v>1863</v>
      </c>
      <c r="B56" s="2942"/>
      <c r="C56" s="2942"/>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1866</v>
      </c>
      <c r="B57" s="2942"/>
      <c r="C57" s="2942"/>
      <c r="D57" s="101">
        <f>IF(H57="个人住宅",D58,D59)</f>
        <v>0</v>
      </c>
      <c r="E57" s="10" t="s">
        <v>1867</v>
      </c>
      <c r="F57" s="100" t="str">
        <f>IF(H57="正常",F59,"免征")</f>
        <v>——</v>
      </c>
      <c r="G57" s="2263" t="s">
        <v>1868</v>
      </c>
      <c r="H57" s="2264" t="s">
        <v>1865</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1841</v>
      </c>
      <c r="B58" s="2930" t="s">
        <v>1869</v>
      </c>
      <c r="C58" s="2932"/>
      <c r="D58" s="103">
        <v>0</v>
      </c>
      <c r="E58" s="13" t="s">
        <v>1843</v>
      </c>
      <c r="F58" s="70"/>
      <c r="G58" s="2261"/>
      <c r="H58" s="1022"/>
      <c r="I58" s="1022"/>
      <c r="J58" s="2845">
        <f>IF(AND(J56="",J57=""),4,IF(项目基本情况!I6="上海银行",J57+1,J56+1))</f>
        <v>4</v>
      </c>
      <c r="K58" s="2845" t="s">
        <v>1870</v>
      </c>
      <c r="L58" s="2265" t="s">
        <v>1871</v>
      </c>
      <c r="M58" s="783"/>
      <c r="N58" s="784">
        <f>SUMIF(M53:M57,"&lt;9e307")</f>
        <v>0</v>
      </c>
      <c r="O58" s="2266"/>
      <c r="P58" s="1841" t="e">
        <f>N58/M50</f>
        <v>#VALUE!</v>
      </c>
    </row>
    <row r="59" spans="1:16" ht="24.75">
      <c r="A59" s="99" t="s">
        <v>1852</v>
      </c>
      <c r="B59" s="2930" t="s">
        <v>1872</v>
      </c>
      <c r="C59" s="2931"/>
      <c r="D59" s="101">
        <f>IF(H59="转让取得",C82,C98)</f>
        <v>0</v>
      </c>
      <c r="E59" s="10" t="s">
        <v>1867</v>
      </c>
      <c r="F59" s="14" t="s">
        <v>48</v>
      </c>
      <c r="G59" s="2261"/>
      <c r="H59" s="2264" t="s">
        <v>1873</v>
      </c>
      <c r="I59" s="1022"/>
      <c r="J59" s="2845"/>
      <c r="K59" s="2845"/>
      <c r="L59" s="2265" t="s">
        <v>1874</v>
      </c>
      <c r="M59" s="785"/>
      <c r="N59" s="2267" t="str">
        <f>IF(H19="元",NUMBERSTRING(INT(N58),2)&amp;"元整",NUMBERSTRING(INT(N58*10000),2)&amp;"元整")</f>
        <v>零元整</v>
      </c>
      <c r="O59" s="2268"/>
      <c r="P59" s="1845"/>
    </row>
    <row r="60" spans="1:16" ht="24.75" thickBot="1">
      <c r="A60" s="2808" t="s">
        <v>1875</v>
      </c>
      <c r="B60" s="2811"/>
      <c r="C60" s="2811"/>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899">
        <f>J58+1</f>
        <v>5</v>
      </c>
      <c r="K60" s="2845" t="s">
        <v>1877</v>
      </c>
      <c r="L60" s="1883" t="s">
        <v>1871</v>
      </c>
      <c r="M60" s="786"/>
      <c r="N60" s="787" t="e">
        <f>M50-N58</f>
        <v>#VALUE!</v>
      </c>
      <c r="O60" s="2270"/>
      <c r="P60" s="1845"/>
    </row>
    <row r="61" spans="1:16" ht="12" customHeight="1">
      <c r="A61" s="2066"/>
      <c r="B61" s="2194"/>
      <c r="C61" s="2194"/>
      <c r="D61" s="2194"/>
      <c r="E61" s="1022"/>
      <c r="F61" s="1022"/>
      <c r="G61" s="1022"/>
      <c r="H61" s="2247"/>
      <c r="I61" s="2194"/>
      <c r="J61" s="2900"/>
      <c r="K61" s="2845"/>
      <c r="L61" s="2265" t="s">
        <v>1874</v>
      </c>
      <c r="M61" s="785"/>
      <c r="N61" s="2267" t="e">
        <f>IF(H19="元",NUMBERSTRING(INT(N60),2)&amp;"元整",NUMBERSTRING(INT(N60*10000),2)&amp;"元整")</f>
        <v>#VALUE!</v>
      </c>
      <c r="O61" s="2268"/>
      <c r="P61" s="1845"/>
    </row>
    <row r="62" spans="1:16" ht="13.5" thickBot="1">
      <c r="A62" s="2946" t="s">
        <v>1878</v>
      </c>
      <c r="B62" s="2946"/>
      <c r="C62" s="2946"/>
      <c r="D62" s="2946"/>
      <c r="E62" s="2946"/>
      <c r="F62" s="1022"/>
      <c r="G62" s="1022"/>
      <c r="H62" s="2247"/>
      <c r="I62" s="2194"/>
      <c r="J62" s="1883">
        <f>J60+1</f>
        <v>6</v>
      </c>
      <c r="K62" s="2845" t="s">
        <v>1879</v>
      </c>
      <c r="L62" s="2845"/>
      <c r="M62" s="788"/>
      <c r="N62" s="789" t="e">
        <f>IF(H19="元",ROUND(N60/项目基本情况!C12,0),ROUND(N60*10000/项目基本情况!C12,0))</f>
        <v>#VALUE!</v>
      </c>
      <c r="O62" s="2271"/>
      <c r="P62" s="1845"/>
    </row>
    <row r="63" spans="1:16" ht="12.75">
      <c r="A63" s="2883" t="s">
        <v>1880</v>
      </c>
      <c r="B63" s="2884"/>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864" t="s">
        <v>1884</v>
      </c>
      <c r="K64" s="2272"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7"/>
      <c r="I65" s="2194"/>
      <c r="J65" s="2864"/>
      <c r="K65" s="2272"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7"/>
      <c r="I66" s="2194"/>
      <c r="J66" s="2864"/>
      <c r="K66" s="2272"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7"/>
      <c r="I67" s="2194"/>
      <c r="J67" s="2864"/>
      <c r="K67" s="2272"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7"/>
      <c r="I68" s="2194"/>
      <c r="J68" s="2864"/>
      <c r="K68" s="2272"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5.5000000000000007E-2</v>
      </c>
      <c r="E69" s="129"/>
      <c r="F69" s="1022"/>
      <c r="G69" s="1022"/>
      <c r="H69" s="2247"/>
      <c r="I69" s="2194"/>
      <c r="J69" s="2864"/>
      <c r="K69" s="2272" t="s">
        <v>1898</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4"/>
      <c r="K70" s="2272" t="s">
        <v>1899</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5" t="s">
        <v>1900</v>
      </c>
      <c r="B71" s="2886"/>
      <c r="C71" s="2886"/>
      <c r="D71" s="2886"/>
      <c r="E71" s="2886"/>
      <c r="F71" s="2886"/>
      <c r="G71" s="2886"/>
      <c r="H71" s="288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3" t="s">
        <v>1880</v>
      </c>
      <c r="B72" s="2884"/>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921" t="s">
        <v>1910</v>
      </c>
      <c r="F77" s="2922"/>
      <c r="G77" s="2922"/>
      <c r="H77" s="292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5.000000000000001E-3</v>
      </c>
      <c r="E79" s="2852" t="s">
        <v>1915</v>
      </c>
      <c r="F79" s="2853"/>
      <c r="G79" s="2853"/>
      <c r="H79" s="287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5" t="s">
        <v>1919</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3" t="s">
        <v>1880</v>
      </c>
      <c r="B85" s="288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852" t="s">
        <v>1927</v>
      </c>
      <c r="F92" s="2853"/>
      <c r="G92" s="2853"/>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852" t="s">
        <v>1930</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5.000000000000001E-3</v>
      </c>
      <c r="E94" s="2852" t="s">
        <v>1915</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852" t="s">
        <v>1932</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870" t="s">
        <v>1934</v>
      </c>
      <c r="B100" s="2871"/>
      <c r="C100" s="2871"/>
      <c r="D100" s="2872"/>
      <c r="E100" s="2194"/>
      <c r="F100" s="2880" t="s">
        <v>1935</v>
      </c>
      <c r="G100" s="2881"/>
      <c r="H100" s="2881"/>
      <c r="I100" s="2882"/>
    </row>
    <row r="101" spans="1:35" ht="15.75">
      <c r="A101" s="2887" t="s">
        <v>1936</v>
      </c>
      <c r="B101" s="2888"/>
      <c r="C101" s="720">
        <f>C4</f>
        <v>0</v>
      </c>
      <c r="D101" s="721">
        <f>D4</f>
        <v>0</v>
      </c>
      <c r="E101" s="2194"/>
      <c r="F101" s="2889" t="s">
        <v>1937</v>
      </c>
      <c r="G101" s="2891"/>
      <c r="H101" s="2972" t="s">
        <v>1938</v>
      </c>
      <c r="I101" s="2890"/>
    </row>
    <row r="102" spans="1:35" ht="15.75">
      <c r="A102" s="2973" t="s">
        <v>1998</v>
      </c>
      <c r="B102" s="2289" t="str">
        <f>IF(H19="元","总价（元）","总价（万元）")</f>
        <v>总价（元）</v>
      </c>
      <c r="C102" s="720" t="e">
        <f ca="1">C19</f>
        <v>#REF!</v>
      </c>
      <c r="D102" s="721" t="e">
        <f ca="1">D19</f>
        <v>#REF!</v>
      </c>
      <c r="E102" s="2194"/>
      <c r="F102" s="2974"/>
      <c r="G102" s="2975"/>
      <c r="H102" s="2950">
        <f>典型户型修正!B25</f>
        <v>0</v>
      </c>
      <c r="I102" s="2890"/>
    </row>
    <row r="103" spans="1:35" ht="15.75">
      <c r="A103" s="2973"/>
      <c r="B103" s="2289" t="s">
        <v>1940</v>
      </c>
      <c r="C103" s="722" t="e">
        <f ca="1">C20</f>
        <v>#REF!</v>
      </c>
      <c r="D103" s="723" t="e">
        <f ca="1">D20</f>
        <v>#REF!</v>
      </c>
      <c r="E103" s="2194"/>
      <c r="F103" s="2964" t="s">
        <v>1941</v>
      </c>
      <c r="G103" s="2965"/>
      <c r="H103" s="2290" t="str">
        <f>C109</f>
        <v>总价（元）</v>
      </c>
      <c r="I103" s="1862">
        <f>H124</f>
        <v>0</v>
      </c>
    </row>
    <row r="104" spans="1:35" ht="15">
      <c r="A104" s="2973" t="s">
        <v>1999</v>
      </c>
      <c r="B104" s="2291" t="str">
        <f>B102</f>
        <v>总价（元）</v>
      </c>
      <c r="C104" s="1190" t="e">
        <f ca="1">ROUND(IF('数据-取费表'!B4="总价",G19,IF(H19="元",G20*'数据-取费表'!E5,G20*'数据-取费表'!E5/10000)),0)</f>
        <v>#REF!</v>
      </c>
      <c r="D104" s="725"/>
      <c r="E104" s="2194"/>
      <c r="F104" s="2964"/>
      <c r="G104" s="2965"/>
      <c r="H104" s="2290" t="s">
        <v>1940</v>
      </c>
      <c r="I104" s="1050" t="e">
        <f>I124</f>
        <v>#DIV/0!</v>
      </c>
    </row>
    <row r="105" spans="1:35" ht="15.75">
      <c r="A105" s="2973"/>
      <c r="B105" s="2289" t="s">
        <v>1940</v>
      </c>
      <c r="C105" s="1191" t="e">
        <f ca="1">ROUND(IF('数据-取费表'!B4="楼面单价",G20,IF(H19="元",G19/'数据-取费表'!E5,G19*10000/'数据-取费表'!E5)),0)</f>
        <v>#REF!</v>
      </c>
      <c r="D105" s="725"/>
      <c r="E105" s="2194"/>
      <c r="F105" s="2876"/>
      <c r="G105" s="2877"/>
      <c r="H105" s="2911"/>
      <c r="I105" s="2912"/>
    </row>
    <row r="106" spans="1:35" ht="15.75">
      <c r="A106" s="2980" t="s">
        <v>2000</v>
      </c>
      <c r="B106" s="2329" t="str">
        <f>B102</f>
        <v>总价（元）</v>
      </c>
      <c r="C106" s="724">
        <f>H124</f>
        <v>0</v>
      </c>
      <c r="D106" s="1189"/>
      <c r="E106" s="2194"/>
      <c r="F106" s="2915" t="s">
        <v>1944</v>
      </c>
      <c r="G106" s="2916"/>
      <c r="H106" s="2293" t="str">
        <f>C111</f>
        <v>总额（元）</v>
      </c>
      <c r="I106" s="1862">
        <f>SUMIF(I107:I109,"&lt;9E307")</f>
        <v>0</v>
      </c>
    </row>
    <row r="107" spans="1:35" ht="15.75" thickBot="1">
      <c r="A107" s="2910"/>
      <c r="B107" s="2292" t="s">
        <v>1940</v>
      </c>
      <c r="C107" s="726" t="e">
        <f>I124</f>
        <v>#DIV/0!</v>
      </c>
      <c r="D107" s="727"/>
      <c r="E107" s="2194"/>
      <c r="F107" s="2878" t="s">
        <v>1946</v>
      </c>
      <c r="G107" s="287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6" t="s">
        <v>1943</v>
      </c>
      <c r="B108" s="2977"/>
      <c r="C108" s="2977"/>
      <c r="D108" s="2978"/>
      <c r="E108" s="2194"/>
      <c r="F108" s="2878" t="s">
        <v>1947</v>
      </c>
      <c r="G108" s="2879"/>
      <c r="H108" s="2293" t="str">
        <f>C113</f>
        <v>总额（元）</v>
      </c>
      <c r="I108" s="1050">
        <f>C38</f>
        <v>0</v>
      </c>
      <c r="K108" s="2294"/>
    </row>
    <row r="109" spans="1:35" ht="15">
      <c r="A109" s="2917" t="s">
        <v>2001</v>
      </c>
      <c r="B109" s="2918"/>
      <c r="C109" s="2290" t="str">
        <f>B102</f>
        <v>总价（元）</v>
      </c>
      <c r="D109" s="1051">
        <f>H124</f>
        <v>0</v>
      </c>
      <c r="E109" s="2194"/>
      <c r="F109" s="2878" t="s">
        <v>1949</v>
      </c>
      <c r="G109" s="2879"/>
      <c r="H109" s="2293" t="str">
        <f>C114</f>
        <v>总额（元）</v>
      </c>
      <c r="I109" s="1050">
        <f>C39</f>
        <v>0</v>
      </c>
    </row>
    <row r="110" spans="1:35" ht="15.75">
      <c r="A110" s="2917"/>
      <c r="B110" s="2918"/>
      <c r="C110" s="2290" t="s">
        <v>1940</v>
      </c>
      <c r="D110" s="1052" t="e">
        <f>I124</f>
        <v>#DIV/0!</v>
      </c>
      <c r="E110" s="2194"/>
      <c r="F110" s="2876"/>
      <c r="G110" s="2877"/>
      <c r="H110" s="2913"/>
      <c r="I110" s="2914"/>
    </row>
    <row r="111" spans="1:35" ht="28.5" customHeight="1">
      <c r="A111" s="2960" t="s">
        <v>1948</v>
      </c>
      <c r="B111" s="2961"/>
      <c r="C111" s="2293" t="str">
        <f>IF(H19="元","总额（元）","总额（万元）")</f>
        <v>总额（元）</v>
      </c>
      <c r="D111" s="1051">
        <f>IF(D37="正常操作",I107+I108+I109,I108+I109)</f>
        <v>0</v>
      </c>
      <c r="E111" s="2194"/>
      <c r="F111" s="2858" t="str">
        <f>IF(项目基本情况!F5="已注销","——","3.房地产抵押价值")</f>
        <v>3.房地产抵押价值</v>
      </c>
      <c r="G111" s="2859"/>
      <c r="H111" s="2330" t="str">
        <f>C115</f>
        <v>总价（元）</v>
      </c>
      <c r="I111" s="1862">
        <f>IF(F111="——","——",I103-I106)</f>
        <v>0</v>
      </c>
    </row>
    <row r="112" spans="1:35" ht="15">
      <c r="A112" s="2878" t="s">
        <v>1946</v>
      </c>
      <c r="B112" s="2879"/>
      <c r="C112" s="2293" t="str">
        <f>C111</f>
        <v>总额（元）</v>
      </c>
      <c r="D112" s="637">
        <f>IF(D37="同一抵押权人同一抵押物续贷",C37&amp;"（未扣减，详见特别提示）",C37)</f>
        <v>0</v>
      </c>
      <c r="E112" s="2194"/>
      <c r="F112" s="2860"/>
      <c r="G112" s="2861"/>
      <c r="H112" s="2290" t="s">
        <v>1940</v>
      </c>
      <c r="I112" s="2296" t="e">
        <f>D116</f>
        <v>#DIV/0!</v>
      </c>
    </row>
    <row r="113" spans="1:26" ht="15.75">
      <c r="A113" s="2878" t="s">
        <v>1947</v>
      </c>
      <c r="B113" s="2879"/>
      <c r="C113" s="2293" t="str">
        <f>C111</f>
        <v>总额（元）</v>
      </c>
      <c r="D113" s="637">
        <f>C38</f>
        <v>0</v>
      </c>
      <c r="E113" s="2194"/>
      <c r="F113" s="2858" t="str">
        <f>IF(项目基本情况!F5="已注销及未注销","4.抵押担保权已注销时的房地产抵押价值",IF(项目基本情况!F5="已注销","3.抵押担保权已注销时的房地产抵押价值","——"))</f>
        <v>——</v>
      </c>
      <c r="G113" s="2859"/>
      <c r="H113" s="2330" t="str">
        <f>C117</f>
        <v>总价（元）</v>
      </c>
      <c r="I113" s="1862" t="str">
        <f>IF(F113="——","——",I103-I108-I109)</f>
        <v>——</v>
      </c>
    </row>
    <row r="114" spans="1:26" ht="15">
      <c r="A114" s="2878" t="s">
        <v>1949</v>
      </c>
      <c r="B114" s="2879"/>
      <c r="C114" s="2293" t="str">
        <f>C111</f>
        <v>总额（元）</v>
      </c>
      <c r="D114" s="637">
        <f>C39</f>
        <v>0</v>
      </c>
      <c r="E114" s="2194"/>
      <c r="F114" s="2860"/>
      <c r="G114" s="2861"/>
      <c r="H114" s="2290" t="s">
        <v>1940</v>
      </c>
      <c r="I114" s="1050" t="str">
        <f>D118</f>
        <v>——</v>
      </c>
    </row>
    <row r="115" spans="1:26" ht="15.75">
      <c r="A115" s="2917" t="str">
        <f>IF(项目基本情况!F5="已注销","——","3.房地产抵押价值")</f>
        <v>3.房地产抵押价值</v>
      </c>
      <c r="B115" s="2918"/>
      <c r="C115" s="2290" t="str">
        <f>B102</f>
        <v>总价（元）</v>
      </c>
      <c r="D115" s="1051">
        <f>IF(A115="——","——",D109-D111)</f>
        <v>0</v>
      </c>
      <c r="E115" s="2194"/>
      <c r="F115" s="2858" t="str">
        <f>IF(项目基本情况!G5="抵押净值",IF(OR(项目基本情况!F5="已注销",项目基本情况!F5="房地产抵押价值"),"4.抵押净值","5.抵押净值"),"——")</f>
        <v>——</v>
      </c>
      <c r="G115" s="2859"/>
      <c r="H115" s="2290" t="str">
        <f>C119</f>
        <v>总价（元）</v>
      </c>
      <c r="I115" s="1862" t="str">
        <f>IF(F115="——","——",N60)</f>
        <v>——</v>
      </c>
    </row>
    <row r="116" spans="1:26" ht="15.75" thickBot="1">
      <c r="A116" s="2917"/>
      <c r="B116" s="2918"/>
      <c r="C116" s="2290" t="s">
        <v>2002</v>
      </c>
      <c r="D116" s="1052" t="e">
        <f>ROUND(IF(D115=D109,D110,IF(H19="元",D115/B124,D115*10000/B124)),0)</f>
        <v>#DIV/0!</v>
      </c>
      <c r="E116" s="2194"/>
      <c r="F116" s="2951"/>
      <c r="G116" s="2952"/>
      <c r="H116" s="2298" t="s">
        <v>2002</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0" t="str">
        <f>B102</f>
        <v>总价（元）</v>
      </c>
      <c r="D117" s="1051" t="str">
        <f>IF(A117="——","——",D109-D113-D114)</f>
        <v>——</v>
      </c>
      <c r="E117" s="2194"/>
      <c r="F117" s="2854"/>
      <c r="G117" s="2854"/>
      <c r="H117" s="2896"/>
      <c r="I117" s="2896"/>
      <c r="N117" s="55"/>
      <c r="O117" s="55"/>
    </row>
    <row r="118" spans="1:26" s="1845" customFormat="1" ht="15">
      <c r="A118" s="2917"/>
      <c r="B118" s="2918"/>
      <c r="C118" s="2290" t="s">
        <v>2002</v>
      </c>
      <c r="D118" s="1052" t="str">
        <f>IF(A117="——","——",IF(H19="元",ROUND(D117/B124,0),ROUND(D117*10000/B124,0)))</f>
        <v>——</v>
      </c>
      <c r="E118" s="2194"/>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2003</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1951</v>
      </c>
      <c r="B122" s="2867" t="s">
        <v>2004</v>
      </c>
      <c r="C122" s="2867" t="s">
        <v>2005</v>
      </c>
      <c r="D122" s="2874" t="s">
        <v>1954</v>
      </c>
      <c r="E122" s="2875"/>
      <c r="F122" s="2865" t="s">
        <v>2006</v>
      </c>
      <c r="G122" s="2865"/>
      <c r="H122" s="2865" t="s">
        <v>1955</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1959</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1959</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1959</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1959</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1959</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2842</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168135</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6829</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9612</v>
      </c>
      <c r="D5" s="2336" t="s">
        <v>2107</v>
      </c>
      <c r="E5" s="1214"/>
      <c r="F5" s="1383"/>
      <c r="G5" s="1238"/>
      <c r="H5" s="316">
        <v>1</v>
      </c>
      <c r="I5" s="317" t="s">
        <v>2106</v>
      </c>
      <c r="J5" s="318">
        <f ca="1">J6+J10+J12</f>
        <v>0</v>
      </c>
      <c r="K5" s="2336" t="s">
        <v>2107</v>
      </c>
      <c r="L5" s="1214"/>
      <c r="M5" s="1383"/>
    </row>
    <row r="6" spans="1:37" ht="18" customHeight="1">
      <c r="A6" s="1384" t="s">
        <v>2108</v>
      </c>
      <c r="B6" s="2023" t="s">
        <v>2109</v>
      </c>
      <c r="C6" s="318">
        <f>ROUND(F6*F8*F7*(1-F9),0)</f>
        <v>9600</v>
      </c>
      <c r="D6" s="80" t="s">
        <v>2804</v>
      </c>
      <c r="E6" s="319" t="s">
        <v>2110</v>
      </c>
      <c r="F6" s="320">
        <f>'数据-取费表'!B29</f>
        <v>1000</v>
      </c>
      <c r="G6" s="1238"/>
      <c r="H6" s="1384" t="s">
        <v>2108</v>
      </c>
      <c r="I6" s="2023" t="s">
        <v>2109</v>
      </c>
      <c r="J6" s="318">
        <f>ROUND(M6*M8*M7*(1-M9),0)</f>
        <v>0</v>
      </c>
      <c r="K6" s="80" t="s">
        <v>2804</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0.2</v>
      </c>
      <c r="G9" s="1238"/>
      <c r="H9" s="321"/>
      <c r="I9" s="322"/>
      <c r="J9" s="1386"/>
      <c r="K9" s="95"/>
      <c r="L9" s="330" t="s">
        <v>2114</v>
      </c>
      <c r="M9" s="329">
        <f>'数据-取费表'!B38</f>
        <v>0</v>
      </c>
    </row>
    <row r="10" spans="1:37" ht="18" customHeight="1">
      <c r="A10" s="1384" t="s">
        <v>2115</v>
      </c>
      <c r="B10" s="2337" t="s">
        <v>2116</v>
      </c>
      <c r="C10" s="1385">
        <f ca="1">ROUND(IF(F10="押一",C6/12*F11,IF(F10="押二",C6/12*2*F11,IF(F10="押三",C6/12*3*F11,C11*F11))),0)</f>
        <v>12</v>
      </c>
      <c r="D10" s="2338" t="s">
        <v>2812</v>
      </c>
      <c r="E10" s="330" t="s">
        <v>2117</v>
      </c>
      <c r="F10" s="2339" t="s">
        <v>2118</v>
      </c>
      <c r="G10" s="1238"/>
      <c r="H10" s="1384" t="s">
        <v>2115</v>
      </c>
      <c r="I10" s="2337" t="s">
        <v>2116</v>
      </c>
      <c r="J10" s="1385">
        <f ca="1">ROUND(IF(M10="押一",J6/12*M11,IF(M10="押二",J6/12*2*M11,IF(M10="押三",J6/12*3*M11,J11*M11))),0)</f>
        <v>0</v>
      </c>
      <c r="K10" s="80" t="s">
        <v>2812</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50663</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39392</v>
      </c>
      <c r="D14" s="1888" t="s">
        <v>2129</v>
      </c>
      <c r="E14" s="1889"/>
      <c r="F14" s="979"/>
      <c r="G14" s="1239"/>
      <c r="H14" s="337" t="s">
        <v>2108</v>
      </c>
      <c r="I14" s="319" t="s">
        <v>2130</v>
      </c>
      <c r="J14" s="14">
        <f ca="1">C29</f>
        <v>59603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1182</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1097</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4924</v>
      </c>
      <c r="D17" s="319" t="s">
        <v>2143</v>
      </c>
      <c r="E17" s="319" t="s">
        <v>2144</v>
      </c>
      <c r="F17" s="16">
        <f>'数据-取费表'!E23</f>
        <v>200</v>
      </c>
      <c r="G17" s="1239"/>
      <c r="H17" s="337" t="s">
        <v>2145</v>
      </c>
      <c r="I17" s="319" t="s">
        <v>2146</v>
      </c>
      <c r="J17" s="14">
        <f ca="1">ROUND(IF(项目基本情况!B7="自然人",J5*M17,J18+J19+J20),0)</f>
        <v>501</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591</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5.5000000000000007E-2</v>
      </c>
    </row>
    <row r="19" spans="1:37" s="341" customFormat="1" ht="18" customHeight="1">
      <c r="A19" s="337" t="s">
        <v>2145</v>
      </c>
      <c r="B19" s="319" t="s">
        <v>2154</v>
      </c>
      <c r="C19" s="14">
        <f>SUM(C14:C18)</f>
        <v>46089</v>
      </c>
      <c r="D19" s="56" t="s">
        <v>2155</v>
      </c>
      <c r="E19" s="1898"/>
      <c r="F19" s="16"/>
      <c r="G19" s="1239"/>
      <c r="H19" s="337" t="s">
        <v>2131</v>
      </c>
      <c r="I19" s="319" t="s">
        <v>2156</v>
      </c>
      <c r="J19" s="14">
        <f ca="1">IF(项目基本情况!B7="自然人","——",IF(K19="按租金收入计税",ROUND(J5*M19,1),ROUND(C29*M19*0.7,1)))</f>
        <v>500.7</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922</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8"/>
      <c r="F22" s="16"/>
      <c r="G22" s="1238"/>
      <c r="H22" s="337" t="s">
        <v>2135</v>
      </c>
      <c r="I22" s="319" t="s">
        <v>2171</v>
      </c>
      <c r="J22" s="14">
        <f ca="1">ROUND(J14*M22,0)</f>
        <v>596</v>
      </c>
      <c r="K22" s="1893" t="s">
        <v>2172</v>
      </c>
      <c r="L22" s="319" t="s">
        <v>2134</v>
      </c>
      <c r="M22" s="350">
        <f>'数据-取费表'!B44</f>
        <v>0.01</v>
      </c>
    </row>
    <row r="23" spans="1:37" ht="18" customHeight="1">
      <c r="A23" s="337" t="s">
        <v>2151</v>
      </c>
      <c r="B23" s="319" t="s">
        <v>2173</v>
      </c>
      <c r="C23" s="14">
        <f ca="1">IF('数据-取费表'!B23&lt;=1,ROUND(C19*F24*F23/2,0)+ROUND(C20*F24*F23/2,0),ROUND(C19*(POWER((1+F24),F23/2)-1),0)+ROUND(C20*(POWER((1+F24),F23/2)-1),0))</f>
        <v>1022</v>
      </c>
      <c r="D23" s="2008" t="str">
        <f>IF(F23&lt;=1,"(建造成本+管理费用)×利率×(建设周期÷2)","(建造成本+管理费用)×((1+利率)^(建设周期÷2)-1)")</f>
        <v>(建造成本+管理费用)×利率×(建设周期÷2)</v>
      </c>
      <c r="E23" s="319" t="s">
        <v>2174</v>
      </c>
      <c r="F23" s="347">
        <f>'数据-取费表'!B21</f>
        <v>1</v>
      </c>
      <c r="G23" s="1238"/>
      <c r="H23" s="337" t="s">
        <v>2164</v>
      </c>
      <c r="I23" s="319" t="s">
        <v>2175</v>
      </c>
      <c r="J23" s="14">
        <f ca="1">ROUND(J13*M23,0)</f>
        <v>0</v>
      </c>
      <c r="K23" s="1893" t="s">
        <v>2176</v>
      </c>
      <c r="L23" s="319" t="s">
        <v>2177</v>
      </c>
      <c r="M23" s="351">
        <f>'数据-取费表'!B45</f>
        <v>1E-3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销售费用×利率×(建设周期÷2)</v>
      </c>
      <c r="E24" s="319" t="s">
        <v>2180</v>
      </c>
      <c r="F24" s="352">
        <f ca="1">'数据-取费表'!E27</f>
        <v>4.3499999999999997E-2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-1097</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7052</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5.2400000000000002E-2</v>
      </c>
      <c r="D28" s="344" t="s">
        <v>2200</v>
      </c>
      <c r="E28" s="319" t="s">
        <v>2160</v>
      </c>
      <c r="F28" s="342">
        <f>'数据-取费表'!E29</f>
        <v>5.5000000000000007E-2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59603</v>
      </c>
      <c r="D29" s="1433"/>
      <c r="E29" s="1431"/>
      <c r="F29" s="1434"/>
      <c r="G29" s="791"/>
      <c r="H29" s="356" t="s">
        <v>24</v>
      </c>
      <c r="I29" s="357" t="s">
        <v>2204</v>
      </c>
      <c r="J29" s="358">
        <f ca="1">ROUND(J26/(1+F40)^F41,0)</f>
        <v>0</v>
      </c>
      <c r="K29" s="359" t="s">
        <v>2205</v>
      </c>
      <c r="L29" s="360"/>
      <c r="M29" s="361">
        <f>IF(D1="仅计算典型户型",'数据-取费表'!E5,'数据-取费表'!B5)</f>
        <v>24.62</v>
      </c>
    </row>
    <row r="30" spans="1:37" ht="18" customHeight="1" thickTop="1">
      <c r="A30" s="1420" t="s">
        <v>14</v>
      </c>
      <c r="B30" s="1421" t="s">
        <v>2206</v>
      </c>
      <c r="C30" s="327">
        <f ca="1">ROUND(C31+C36+C37+C38,0)</f>
        <v>1747</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1003.7</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503</v>
      </c>
      <c r="D32" s="1893" t="s">
        <v>2211</v>
      </c>
      <c r="E32" s="319" t="s">
        <v>2160</v>
      </c>
      <c r="F32" s="352">
        <f>'数据-取费表'!E29</f>
        <v>5.5000000000000007E-2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500.7</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10</v>
      </c>
      <c r="G34" s="791"/>
      <c r="H34" s="1218"/>
      <c r="I34" s="365" t="s">
        <v>2213</v>
      </c>
      <c r="J34" s="366">
        <f ca="1">ROUND(C13*J35,0)</f>
        <v>3040</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596</v>
      </c>
      <c r="D36" s="1893" t="s">
        <v>2216</v>
      </c>
      <c r="E36" s="319" t="s">
        <v>2160</v>
      </c>
      <c r="F36" s="350">
        <f>'数据-取费表'!B44</f>
        <v>0.01</v>
      </c>
      <c r="G36" s="791"/>
      <c r="H36" s="1230"/>
      <c r="I36" s="369" t="s">
        <v>2217</v>
      </c>
      <c r="J36" s="370"/>
      <c r="K36" s="1234"/>
      <c r="L36" s="1230"/>
      <c r="M36" s="1230"/>
    </row>
    <row r="37" spans="1:18" ht="18" customHeight="1">
      <c r="A37" s="337" t="s">
        <v>2164</v>
      </c>
      <c r="B37" s="319" t="s">
        <v>2175</v>
      </c>
      <c r="C37" s="14">
        <f ca="1">ROUND(C13*F37,0)</f>
        <v>51</v>
      </c>
      <c r="D37" s="1893" t="s">
        <v>2176</v>
      </c>
      <c r="E37" s="319" t="s">
        <v>2177</v>
      </c>
      <c r="F37" s="351">
        <f>'数据-取费表'!B45</f>
        <v>1E-3</v>
      </c>
      <c r="G37" s="791"/>
      <c r="H37" s="1230"/>
      <c r="I37" s="216" t="s">
        <v>2218</v>
      </c>
      <c r="J37" s="371"/>
      <c r="K37" s="1234"/>
      <c r="L37" s="1230"/>
      <c r="M37" s="1230"/>
    </row>
    <row r="38" spans="1:18" ht="18" customHeight="1" thickBot="1">
      <c r="A38" s="1430" t="s">
        <v>2169</v>
      </c>
      <c r="B38" s="1431" t="s">
        <v>2158</v>
      </c>
      <c r="C38" s="1432">
        <f ca="1">ROUND(C5*F38,0)</f>
        <v>96</v>
      </c>
      <c r="D38" s="1433" t="s">
        <v>2181</v>
      </c>
      <c r="E38" s="1431" t="s">
        <v>2177</v>
      </c>
      <c r="F38" s="1426">
        <f>'数据-取费表'!B46</f>
        <v>0.01</v>
      </c>
      <c r="G38" s="791"/>
      <c r="H38" s="1230"/>
      <c r="I38" s="365" t="s">
        <v>2219</v>
      </c>
      <c r="J38" s="220">
        <f ca="1">ROUND(J34/C39,3)</f>
        <v>0.38700000000000001</v>
      </c>
      <c r="K38" s="1235"/>
      <c r="L38" s="1230"/>
      <c r="M38" s="1230"/>
    </row>
    <row r="39" spans="1:18" ht="18" customHeight="1" thickTop="1">
      <c r="A39" s="1420" t="s">
        <v>22</v>
      </c>
      <c r="B39" s="1435" t="s">
        <v>2220</v>
      </c>
      <c r="C39" s="327">
        <f ca="1">C5-C30</f>
        <v>7865</v>
      </c>
      <c r="D39" s="1436" t="s">
        <v>2221</v>
      </c>
      <c r="E39" s="1437"/>
      <c r="F39" s="1438"/>
      <c r="G39" s="791"/>
      <c r="H39" s="1230"/>
      <c r="I39" s="365" t="s">
        <v>2222</v>
      </c>
      <c r="J39" s="220">
        <f ca="1">1-J38</f>
        <v>0.61299999999999999</v>
      </c>
      <c r="K39" s="1235"/>
      <c r="L39" s="1230"/>
      <c r="M39" s="1230"/>
    </row>
    <row r="40" spans="1:18" s="791" customFormat="1" ht="18" customHeight="1">
      <c r="A40" s="316" t="s">
        <v>23</v>
      </c>
      <c r="B40" s="317" t="s">
        <v>2223</v>
      </c>
      <c r="C40" s="318">
        <f ca="1">ROUND(C39*(1-((1+F42)/(1+F40))^F41)/(F40-F42),0)</f>
        <v>168135</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5" t="s">
        <v>2866</v>
      </c>
      <c r="F41" s="355">
        <f>IF('数据-取费表'!B28="租赁期内按合同租金",'数据-取费表'!B34,IF(E41="收益年期(n)",'数据-取费表'!B33,'数据-取费表'!B13))</f>
        <v>31.42</v>
      </c>
      <c r="H41" s="1237"/>
      <c r="I41" s="219" t="s">
        <v>2096</v>
      </c>
      <c r="J41" s="220">
        <f ca="1">ROUND(C13/C40,3)</f>
        <v>0.30099999999999999</v>
      </c>
      <c r="K41" s="1234"/>
      <c r="L41" s="1237"/>
      <c r="M41" s="1237"/>
      <c r="Q41" s="795"/>
    </row>
    <row r="42" spans="1:18" s="791" customFormat="1" ht="18" customHeight="1">
      <c r="A42" s="325"/>
      <c r="B42" s="326"/>
      <c r="C42" s="327"/>
      <c r="D42" s="349"/>
      <c r="E42" s="319" t="s">
        <v>2201</v>
      </c>
      <c r="F42" s="329">
        <f>'数据-取费表'!B31</f>
        <v>1.4999999999999999E-2</v>
      </c>
      <c r="H42" s="1237"/>
      <c r="I42" s="219" t="s">
        <v>2097</v>
      </c>
      <c r="J42" s="221">
        <f ca="1">1-J41</f>
        <v>0.69900000000000007</v>
      </c>
      <c r="K42" s="1234"/>
      <c r="L42" s="1237"/>
      <c r="M42" s="1237"/>
      <c r="Q42" s="795"/>
    </row>
    <row r="43" spans="1:18" s="791" customFormat="1" ht="18" customHeight="1" thickBot="1">
      <c r="A43" s="356" t="s">
        <v>24</v>
      </c>
      <c r="B43" s="357" t="s">
        <v>2226</v>
      </c>
      <c r="C43" s="358">
        <f ca="1">ROUND(C40/F43,0)</f>
        <v>6829</v>
      </c>
      <c r="D43" s="359" t="s">
        <v>2227</v>
      </c>
      <c r="E43" s="360" t="s">
        <v>2228</v>
      </c>
      <c r="F43" s="361">
        <f>IF(D1="仅计算典型户型",'数据-取费表'!E5,'数据-取费表'!B5)</f>
        <v>24.62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168135</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-188466</v>
      </c>
      <c r="D47" s="2344" t="str">
        <f>C2</f>
        <v>元</v>
      </c>
      <c r="E47" s="776"/>
      <c r="F47" s="776"/>
      <c r="I47" s="2345" t="s">
        <v>2239</v>
      </c>
      <c r="J47" s="1343"/>
      <c r="K47" s="1344"/>
      <c r="L47" s="1357" t="str">
        <f>IF(M48="住宅",0,IF(L49&gt;J52,L61,J61))</f>
        <v>0</v>
      </c>
      <c r="O47" s="1371" t="s">
        <v>959</v>
      </c>
      <c r="P47" s="1368" t="s">
        <v>2240</v>
      </c>
      <c r="Q47" s="1369">
        <f ca="1">C29</f>
        <v>59603</v>
      </c>
      <c r="R47" s="1370" t="s">
        <v>2235</v>
      </c>
    </row>
    <row r="48" spans="1:18" s="791" customFormat="1" ht="15.75" thickBot="1">
      <c r="A48" s="312" t="s">
        <v>2241</v>
      </c>
      <c r="B48" s="313" t="s">
        <v>2242</v>
      </c>
      <c r="C48" s="313" t="s">
        <v>2243</v>
      </c>
      <c r="D48" s="313" t="s">
        <v>2244</v>
      </c>
      <c r="E48" s="1297" t="s">
        <v>2245</v>
      </c>
      <c r="F48" s="1298"/>
      <c r="I48" s="2346" t="s">
        <v>2246</v>
      </c>
      <c r="J48" s="2347" t="s">
        <v>2871</v>
      </c>
      <c r="K48" s="2348" t="s">
        <v>2247</v>
      </c>
      <c r="L48" s="1345">
        <f>'数据-取费表'!B11</f>
        <v>40</v>
      </c>
      <c r="M48" s="1358" t="str">
        <f>IF('数据-取费表'!B10="住宅","住宅","非住宅")</f>
        <v>非住宅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2872</v>
      </c>
      <c r="K49" s="2351" t="s">
        <v>2251</v>
      </c>
      <c r="L49" s="1128">
        <f>'数据-取费表'!B13</f>
        <v>31.42</v>
      </c>
      <c r="O49" s="1371" t="s">
        <v>961</v>
      </c>
      <c r="P49" s="1368" t="s">
        <v>2252</v>
      </c>
      <c r="Q49" s="1372">
        <f>J53</f>
        <v>0</v>
      </c>
      <c r="R49" s="1370"/>
    </row>
    <row r="50" spans="1:18" s="791" customFormat="1" ht="15.75" thickBot="1">
      <c r="A50" s="345" t="s">
        <v>2108</v>
      </c>
      <c r="B50" s="2023" t="s">
        <v>2253</v>
      </c>
      <c r="C50" s="318">
        <f>ROUND(F50*F52*F51*(1-F53),0)</f>
        <v>0</v>
      </c>
      <c r="D50" s="93" t="s">
        <v>2805</v>
      </c>
      <c r="E50" s="2352" t="s">
        <v>2254</v>
      </c>
      <c r="F50" s="1299"/>
      <c r="I50" s="2349" t="s">
        <v>2255</v>
      </c>
      <c r="J50" s="1128">
        <f>'数据-取费表'!B26</f>
        <v>2015</v>
      </c>
      <c r="K50" s="2353" t="s">
        <v>2256</v>
      </c>
      <c r="L50" s="1346"/>
      <c r="O50" s="1371" t="s">
        <v>962</v>
      </c>
      <c r="P50" s="1368" t="s">
        <v>2257</v>
      </c>
      <c r="Q50" s="1369">
        <f>J54</f>
        <v>31.42</v>
      </c>
      <c r="R50" s="1370" t="s">
        <v>2258</v>
      </c>
    </row>
    <row r="51" spans="1:18" s="791" customFormat="1" ht="15.75" thickBot="1">
      <c r="A51" s="321"/>
      <c r="B51" s="322"/>
      <c r="C51" s="323"/>
      <c r="D51" s="324"/>
      <c r="E51" s="339" t="s">
        <v>2111</v>
      </c>
      <c r="F51" s="1296">
        <f>F7</f>
        <v>1</v>
      </c>
      <c r="I51" s="2349" t="s">
        <v>2259</v>
      </c>
      <c r="J51" s="1347">
        <f>SUMPRODUCT((I64:I66=J48)*(J63:L63=J49)*(J64:L66))</f>
        <v>60</v>
      </c>
      <c r="K51" s="2353" t="s">
        <v>2260</v>
      </c>
      <c r="L51" s="1346"/>
      <c r="O51" s="1367" t="s">
        <v>963</v>
      </c>
      <c r="P51" s="1368" t="str">
        <f>IF(C2="元","收益价值(元)","收益价值(万元)")</f>
        <v>收益价值(元)</v>
      </c>
      <c r="Q51" s="1369">
        <f ca="1">ROUND(IF(C2="元",Q45+Q46,(Q45+Q46)/10000),0)</f>
        <v>168135</v>
      </c>
      <c r="R51" s="1370" t="s">
        <v>964</v>
      </c>
    </row>
    <row r="52" spans="1:18" s="791" customFormat="1" ht="16.5" thickBot="1">
      <c r="A52" s="321"/>
      <c r="B52" s="322"/>
      <c r="C52" s="323"/>
      <c r="D52" s="324"/>
      <c r="E52" s="319" t="s">
        <v>2113</v>
      </c>
      <c r="F52" s="320">
        <f>F8</f>
        <v>12</v>
      </c>
      <c r="I52" s="2354" t="s">
        <v>2261</v>
      </c>
      <c r="J52" s="1348">
        <f>IF(J50="",J51,J50+J51-YEAR('数据-取费表'!B2))</f>
        <v>57</v>
      </c>
      <c r="K52" s="2355" t="s">
        <v>2262</v>
      </c>
      <c r="L52" s="1349">
        <f ca="1">ROUND(-PV('数据-取费表'!B15,L49,(C40-C13*J35)),0)</f>
        <v>3329133</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ROUND(IF(F54="押一",C50/12*F11,IF(F54="押二",C50/12*2*F11,IF(F54="押三",C50/12*3*F11,C55*F11))),0)</f>
        <v>0</v>
      </c>
      <c r="D54" s="2338" t="s">
        <v>2813</v>
      </c>
      <c r="E54" s="330" t="s">
        <v>2117</v>
      </c>
      <c r="F54" s="2339"/>
      <c r="I54" s="2731" t="s">
        <v>2816</v>
      </c>
      <c r="J54" s="1351">
        <f>IF(M48="住宅",IF(E1="——",MAX(J52,L49),IF(E1="在建（套用方法）",MAX(J52,L49-'数据-取费表'!B25),MAX(J52,L49-'数据-取费表'!B21))),IF(E1="——",MIN(J52,L49),IF(E1="在建（套用方法）",MIN(J52,L49-'数据-取费表'!B25),IF(E1="土地（套用方法）",MIN(J52,L49-'数据-取费表'!B21)))))</f>
        <v>31.42</v>
      </c>
      <c r="K54" s="2982" t="s">
        <v>2803</v>
      </c>
      <c r="L54" s="2983"/>
      <c r="O54" s="1367" t="s">
        <v>957</v>
      </c>
      <c r="P54" s="1368" t="s">
        <v>2234</v>
      </c>
      <c r="Q54" s="1369">
        <f ca="1">C40+J29</f>
        <v>168135</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50663</v>
      </c>
      <c r="D57" s="1294"/>
      <c r="E57" s="1295"/>
      <c r="F57" s="1302"/>
      <c r="I57" s="2363" t="s">
        <v>2271</v>
      </c>
      <c r="J57" s="1355" t="s">
        <v>2873</v>
      </c>
      <c r="K57" s="2349" t="s">
        <v>2272</v>
      </c>
      <c r="L57" s="1128" t="str">
        <f>IF(L49&lt;J52,"——",L49-J52)</f>
        <v>——</v>
      </c>
      <c r="O57" s="1371" t="s">
        <v>960</v>
      </c>
      <c r="P57" s="1368" t="s">
        <v>2273</v>
      </c>
      <c r="Q57" s="1372">
        <f>L53</f>
        <v>0</v>
      </c>
      <c r="R57" s="1370"/>
    </row>
    <row r="58" spans="1:18" s="791" customFormat="1" ht="29.25" thickBot="1">
      <c r="A58" s="1301"/>
      <c r="B58" s="319" t="s">
        <v>2203</v>
      </c>
      <c r="C58" s="188">
        <f ca="1">C29</f>
        <v>59603</v>
      </c>
      <c r="D58" s="1294"/>
      <c r="E58" s="1295"/>
      <c r="F58" s="1302"/>
      <c r="I58" s="2364" t="s">
        <v>2274</v>
      </c>
      <c r="J58" s="1354" t="str">
        <f>IF(OR(M48="住宅",J52&lt;L49,J57="是"),"——",J52-L49)</f>
        <v>——</v>
      </c>
      <c r="K58" s="2349" t="s">
        <v>2275</v>
      </c>
      <c r="L58" s="1128" t="str">
        <f>IF(L49&lt;J52,"——",IF(L56="比较法",L50,IF(L56="基准地价",L51,L52)))</f>
        <v>——</v>
      </c>
      <c r="O58" s="1371" t="s">
        <v>961</v>
      </c>
      <c r="P58" s="1368" t="s">
        <v>2276</v>
      </c>
      <c r="Q58" s="1369" t="e">
        <f>L59</f>
        <v>#DIV/0!</v>
      </c>
      <c r="R58" s="1370" t="s">
        <v>2277</v>
      </c>
    </row>
    <row r="59" spans="1:18" s="791" customFormat="1" ht="29.25" thickBot="1">
      <c r="A59" s="332" t="s">
        <v>14</v>
      </c>
      <c r="B59" s="333" t="s">
        <v>2206</v>
      </c>
      <c r="C59" s="334">
        <f ca="1">ROUND(C60+C65+C66+C67,0)</f>
        <v>1148</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500.7</v>
      </c>
      <c r="D60" s="1888" t="s">
        <v>2208</v>
      </c>
      <c r="E60" s="1893" t="s">
        <v>2209</v>
      </c>
      <c r="F60" s="343" t="str">
        <f>IF(项目基本情况!B7="企业","",IF('数据-取费表'!B10="住宅",5%,IF(F50*F51*F52/12/(1+'数据-取费表'!F30)&gt;20000,12%,7%)))</f>
        <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168135</v>
      </c>
      <c r="R60" s="1370" t="s">
        <v>964</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5.5000000000000007E-2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f ca="1">IF(项目基本情况!B7="自然人","——",IF(D62="按租金收入计税",ROUND(C49*F62,1),IF(D62="按房产原值计税",ROUND(C58*F62*0.7,1),'数据-取费表'!B43)))</f>
        <v>500.7</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2286</v>
      </c>
      <c r="C63" s="15">
        <f>IF(项目基本情况!B7="自然人","——",ROUND(F63*F64,0))</f>
        <v>0</v>
      </c>
      <c r="D63" s="346" t="s">
        <v>2287</v>
      </c>
      <c r="E63" s="319" t="s">
        <v>2288</v>
      </c>
      <c r="F63" s="347">
        <f t="shared" si="0"/>
        <v>10</v>
      </c>
      <c r="I63" s="2367" t="s">
        <v>2289</v>
      </c>
      <c r="J63" s="1874" t="s">
        <v>2290</v>
      </c>
      <c r="K63" s="1874" t="s">
        <v>2291</v>
      </c>
      <c r="L63" s="1874" t="s">
        <v>2292</v>
      </c>
      <c r="M63" s="1873" t="s">
        <v>2293</v>
      </c>
      <c r="O63" s="1367" t="s">
        <v>957</v>
      </c>
      <c r="P63" s="1368" t="s">
        <v>2234</v>
      </c>
      <c r="Q63" s="1369">
        <f ca="1">C40+J29</f>
        <v>168135</v>
      </c>
      <c r="R63" s="1370" t="s">
        <v>2235</v>
      </c>
    </row>
    <row r="64" spans="1:18" s="791" customFormat="1" ht="20.25" thickBot="1">
      <c r="A64" s="348"/>
      <c r="B64" s="328"/>
      <c r="C64" s="19"/>
      <c r="D64" s="349"/>
      <c r="E64" s="319" t="s">
        <v>2294</v>
      </c>
      <c r="F64" s="320">
        <f t="shared" si="0"/>
        <v>0</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596</v>
      </c>
      <c r="D65" s="1893" t="s">
        <v>2216</v>
      </c>
      <c r="E65" s="319" t="s">
        <v>2160</v>
      </c>
      <c r="F65" s="350">
        <f t="shared" si="0"/>
        <v>0.01</v>
      </c>
      <c r="I65" s="2367" t="s">
        <v>2296</v>
      </c>
      <c r="J65" s="1874">
        <v>50</v>
      </c>
      <c r="K65" s="1874">
        <v>35</v>
      </c>
      <c r="L65" s="1874">
        <v>60</v>
      </c>
      <c r="M65" s="1873">
        <v>0</v>
      </c>
      <c r="O65" s="1371" t="s">
        <v>959</v>
      </c>
      <c r="P65" s="1368" t="s">
        <v>2270</v>
      </c>
      <c r="Q65" s="1373">
        <f ca="1">L52</f>
        <v>3329133</v>
      </c>
      <c r="R65" s="1374" t="s">
        <v>2297</v>
      </c>
    </row>
    <row r="66" spans="1:18" s="791" customFormat="1" ht="20.25" thickBot="1">
      <c r="A66" s="337" t="s">
        <v>20</v>
      </c>
      <c r="B66" s="319" t="s">
        <v>2175</v>
      </c>
      <c r="C66" s="14">
        <f ca="1">ROUND(C57*F66,0)</f>
        <v>51</v>
      </c>
      <c r="D66" s="1893" t="s">
        <v>2176</v>
      </c>
      <c r="E66" s="319" t="s">
        <v>2177</v>
      </c>
      <c r="F66" s="351">
        <f t="shared" si="0"/>
        <v>1E-3</v>
      </c>
      <c r="I66" s="2367" t="s">
        <v>2298</v>
      </c>
      <c r="J66" s="1874">
        <v>40</v>
      </c>
      <c r="K66" s="1874">
        <v>30</v>
      </c>
      <c r="L66" s="1874">
        <v>50</v>
      </c>
      <c r="M66" s="1872">
        <v>0.02</v>
      </c>
      <c r="O66" s="1371" t="s">
        <v>960</v>
      </c>
      <c r="P66" s="1375" t="s">
        <v>2299</v>
      </c>
      <c r="Q66" s="1369">
        <f ca="1">ROUND(Q67-Q68*Q69,0)</f>
        <v>4825</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7865</v>
      </c>
      <c r="R67" s="1370" t="s">
        <v>2235</v>
      </c>
    </row>
    <row r="68" spans="1:18" ht="15.75" thickBot="1">
      <c r="A68" s="332" t="s">
        <v>22</v>
      </c>
      <c r="B68" s="89" t="s">
        <v>2185</v>
      </c>
      <c r="C68" s="334">
        <f ca="1">C49-C59</f>
        <v>-1148</v>
      </c>
      <c r="D68" s="1888" t="s">
        <v>2186</v>
      </c>
      <c r="E68" s="1892"/>
      <c r="F68" s="353"/>
      <c r="H68" s="791"/>
      <c r="I68" s="791"/>
      <c r="J68" s="791"/>
      <c r="K68" s="791"/>
      <c r="L68" s="791"/>
      <c r="M68" s="791"/>
      <c r="O68" s="1371" t="s">
        <v>966</v>
      </c>
      <c r="P68" s="1375" t="s">
        <v>2301</v>
      </c>
      <c r="Q68" s="1369">
        <f ca="1">C13</f>
        <v>50663</v>
      </c>
      <c r="R68" s="1370" t="s">
        <v>2235</v>
      </c>
    </row>
    <row r="69" spans="1:18" ht="15.75" thickBot="1">
      <c r="A69" s="316" t="s">
        <v>23</v>
      </c>
      <c r="B69" s="317" t="s">
        <v>2223</v>
      </c>
      <c r="C69" s="318">
        <f ca="1">ROUND(C68*(1-((1+F71)/(1+F69))^F70)/(F69-F71),0)</f>
        <v>-20331</v>
      </c>
      <c r="D69" s="346" t="s">
        <v>2191</v>
      </c>
      <c r="E69" s="319" t="s">
        <v>2192</v>
      </c>
      <c r="F69" s="329">
        <f>F40</f>
        <v>0.04</v>
      </c>
      <c r="H69" s="791"/>
      <c r="I69" s="791"/>
      <c r="J69" s="791"/>
      <c r="K69" s="791"/>
      <c r="L69" s="791"/>
      <c r="M69" s="791"/>
      <c r="O69" s="1371" t="s">
        <v>967</v>
      </c>
      <c r="P69" s="1375" t="s">
        <v>2302</v>
      </c>
      <c r="Q69" s="1372">
        <f>J35</f>
        <v>0.06</v>
      </c>
      <c r="R69" s="1370"/>
    </row>
    <row r="70" spans="1:18" ht="15.75" thickBot="1">
      <c r="A70" s="321"/>
      <c r="B70" s="322"/>
      <c r="C70" s="323"/>
      <c r="D70" s="354" t="s">
        <v>2225</v>
      </c>
      <c r="E70" s="319" t="s">
        <v>2197</v>
      </c>
      <c r="F70" s="355">
        <f>F41</f>
        <v>31.42</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-826</v>
      </c>
      <c r="D72" s="359" t="s">
        <v>2227</v>
      </c>
      <c r="E72" s="360" t="s">
        <v>2228</v>
      </c>
      <c r="F72" s="361">
        <f>F43</f>
        <v>24.62</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168135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9" t="s">
        <v>975</v>
      </c>
      <c r="E2" s="1389" t="s">
        <v>976</v>
      </c>
      <c r="F2" s="1389" t="s">
        <v>977</v>
      </c>
      <c r="G2" s="1389" t="s">
        <v>978</v>
      </c>
      <c r="H2" s="1389" t="s">
        <v>979</v>
      </c>
      <c r="I2" s="1390" t="s">
        <v>980</v>
      </c>
    </row>
    <row r="3" spans="1:9">
      <c r="A3" s="2989"/>
      <c r="B3" s="2990" t="s">
        <v>981</v>
      </c>
      <c r="C3" s="2990"/>
      <c r="D3" s="1391"/>
      <c r="E3" s="1389"/>
      <c r="F3" s="1392"/>
      <c r="G3" s="1392"/>
      <c r="H3" s="1393"/>
      <c r="I3" s="1394">
        <f>ROUND(D3*E3*F3*G3*H3/10000,0)</f>
        <v>0</v>
      </c>
    </row>
    <row r="4" spans="1:9">
      <c r="A4" s="2989"/>
      <c r="B4" s="2990" t="s">
        <v>982</v>
      </c>
      <c r="C4" s="2990"/>
      <c r="D4" s="1391"/>
      <c r="E4" s="1389"/>
      <c r="F4" s="1392"/>
      <c r="G4" s="1392"/>
      <c r="H4" s="1393"/>
      <c r="I4" s="1394">
        <f t="shared" ref="I4:I9" si="0">ROUND(D4*E4*F4*G4*H4/10000,0)</f>
        <v>0</v>
      </c>
    </row>
    <row r="5" spans="1:9">
      <c r="A5" s="2989"/>
      <c r="B5" s="2990" t="s">
        <v>983</v>
      </c>
      <c r="C5" s="2990"/>
      <c r="D5" s="1391"/>
      <c r="E5" s="1389"/>
      <c r="F5" s="1392"/>
      <c r="G5" s="1392"/>
      <c r="H5" s="1393"/>
      <c r="I5" s="1394">
        <f t="shared" si="0"/>
        <v>0</v>
      </c>
    </row>
    <row r="6" spans="1:9">
      <c r="A6" s="2989"/>
      <c r="B6" s="2990" t="s">
        <v>984</v>
      </c>
      <c r="C6" s="2990"/>
      <c r="D6" s="1391"/>
      <c r="E6" s="1389"/>
      <c r="F6" s="1392"/>
      <c r="G6" s="1392"/>
      <c r="H6" s="1393"/>
      <c r="I6" s="1394">
        <f t="shared" si="0"/>
        <v>0</v>
      </c>
    </row>
    <row r="7" spans="1:9">
      <c r="A7" s="2989"/>
      <c r="B7" s="2990" t="s">
        <v>985</v>
      </c>
      <c r="C7" s="2990"/>
      <c r="D7" s="1391"/>
      <c r="E7" s="1389"/>
      <c r="F7" s="1392"/>
      <c r="G7" s="1392"/>
      <c r="H7" s="1393"/>
      <c r="I7" s="1394">
        <f t="shared" si="0"/>
        <v>0</v>
      </c>
    </row>
    <row r="8" spans="1:9">
      <c r="A8" s="2989"/>
      <c r="B8" s="2990" t="s">
        <v>986</v>
      </c>
      <c r="C8" s="2990"/>
      <c r="D8" s="1391"/>
      <c r="E8" s="1389"/>
      <c r="F8" s="1392"/>
      <c r="G8" s="1392"/>
      <c r="H8" s="1393"/>
      <c r="I8" s="1394">
        <f t="shared" si="0"/>
        <v>0</v>
      </c>
    </row>
    <row r="9" spans="1:9">
      <c r="A9" s="2989"/>
      <c r="B9" s="2990" t="s">
        <v>987</v>
      </c>
      <c r="C9" s="2990"/>
      <c r="D9" s="1391"/>
      <c r="E9" s="1389"/>
      <c r="F9" s="1392"/>
      <c r="G9" s="1392"/>
      <c r="H9" s="1393"/>
      <c r="I9" s="1394">
        <f t="shared" si="0"/>
        <v>0</v>
      </c>
    </row>
    <row r="10" spans="1:9">
      <c r="A10" s="2989"/>
      <c r="B10" s="2991" t="s">
        <v>988</v>
      </c>
      <c r="C10" s="2991"/>
      <c r="D10" s="1395">
        <v>527</v>
      </c>
      <c r="E10" s="1395" t="e">
        <f>ROUND(D1*10000/D10/H9,0)</f>
        <v>#DIV/0!</v>
      </c>
      <c r="F10" s="1396"/>
      <c r="G10" s="1396"/>
      <c r="H10" s="1397"/>
      <c r="I10" s="1398">
        <f>SUM(I3:I9)</f>
        <v>0</v>
      </c>
    </row>
    <row r="11" spans="1:9" ht="14.25">
      <c r="A11" s="2989" t="s">
        <v>1026</v>
      </c>
      <c r="B11" s="2990" t="s">
        <v>989</v>
      </c>
      <c r="C11" s="2990"/>
      <c r="D11" s="1391" t="s">
        <v>990</v>
      </c>
      <c r="E11" s="1391" t="s">
        <v>991</v>
      </c>
      <c r="F11" s="1392" t="s">
        <v>992</v>
      </c>
      <c r="G11" s="1392" t="s">
        <v>979</v>
      </c>
      <c r="H11" s="1399" t="s">
        <v>993</v>
      </c>
      <c r="I11" s="1390" t="s">
        <v>980</v>
      </c>
    </row>
    <row r="12" spans="1:9">
      <c r="A12" s="2989"/>
      <c r="B12" s="2990" t="s">
        <v>994</v>
      </c>
      <c r="C12" s="2990"/>
      <c r="D12" s="1391"/>
      <c r="E12" s="1391"/>
      <c r="F12" s="1392"/>
      <c r="G12" s="1393"/>
      <c r="H12" s="1400"/>
      <c r="I12" s="1390">
        <f>ROUND(D12*E12*F12*G12/10000,0)</f>
        <v>0</v>
      </c>
    </row>
    <row r="13" spans="1:9">
      <c r="A13" s="2989"/>
      <c r="B13" s="2990" t="s">
        <v>995</v>
      </c>
      <c r="C13" s="2990"/>
      <c r="D13" s="1391"/>
      <c r="E13" s="1391"/>
      <c r="F13" s="1392"/>
      <c r="G13" s="1393"/>
      <c r="H13" s="1400"/>
      <c r="I13" s="1390">
        <f>ROUND(D13*E13*F13*G13/10000,0)</f>
        <v>0</v>
      </c>
    </row>
    <row r="14" spans="1:9">
      <c r="A14" s="2989"/>
      <c r="B14" s="2990" t="s">
        <v>996</v>
      </c>
      <c r="C14" s="2990"/>
      <c r="D14" s="1391"/>
      <c r="E14" s="1391"/>
      <c r="F14" s="1392"/>
      <c r="G14" s="1393"/>
      <c r="H14" s="1400"/>
      <c r="I14" s="1390">
        <f>ROUND(D14*E14*F14*G14/10000,0)</f>
        <v>0</v>
      </c>
    </row>
    <row r="15" spans="1:9">
      <c r="A15" s="2989"/>
      <c r="B15" s="2991" t="s">
        <v>988</v>
      </c>
      <c r="C15" s="2991"/>
      <c r="D15" s="1395"/>
      <c r="E15" s="1395">
        <f>SUM(E12:E14)</f>
        <v>0</v>
      </c>
      <c r="F15" s="1396"/>
      <c r="G15" s="1393"/>
      <c r="H15" s="1400"/>
      <c r="I15" s="1401">
        <f>SUM(I12:I14)</f>
        <v>0</v>
      </c>
    </row>
    <row r="16" spans="1:9" ht="24">
      <c r="A16" s="2989" t="s">
        <v>1027</v>
      </c>
      <c r="B16" s="2990" t="s">
        <v>997</v>
      </c>
      <c r="C16" s="2990"/>
      <c r="D16" s="1391" t="s">
        <v>975</v>
      </c>
      <c r="E16" s="1402" t="s">
        <v>998</v>
      </c>
      <c r="F16" s="1392" t="s">
        <v>999</v>
      </c>
      <c r="G16" s="1393" t="s">
        <v>979</v>
      </c>
      <c r="H16" s="1399" t="s">
        <v>993</v>
      </c>
      <c r="I16" s="1390" t="s">
        <v>980</v>
      </c>
    </row>
    <row r="17" spans="1:9" ht="14.25">
      <c r="A17" s="2989"/>
      <c r="B17" s="2990" t="s">
        <v>1000</v>
      </c>
      <c r="C17" s="2990"/>
      <c r="D17" s="1391"/>
      <c r="E17" s="1391"/>
      <c r="F17" s="1392"/>
      <c r="G17" s="1393"/>
      <c r="H17" s="1403"/>
      <c r="I17" s="1404">
        <f>ROUND(D17*E17*F17*G17/10000,0)</f>
        <v>0</v>
      </c>
    </row>
    <row r="18" spans="1:9" ht="14.25">
      <c r="A18" s="2989"/>
      <c r="B18" s="2990" t="s">
        <v>1001</v>
      </c>
      <c r="C18" s="2990"/>
      <c r="D18" s="1391"/>
      <c r="E18" s="1391"/>
      <c r="F18" s="1392"/>
      <c r="G18" s="1393"/>
      <c r="H18" s="1403"/>
      <c r="I18" s="1404">
        <f>ROUND(D18*E18*F18*G18/10000,0)</f>
        <v>0</v>
      </c>
    </row>
    <row r="19" spans="1:9" ht="14.25">
      <c r="A19" s="2989"/>
      <c r="B19" s="2990" t="s">
        <v>1002</v>
      </c>
      <c r="C19" s="2990"/>
      <c r="D19" s="1391"/>
      <c r="E19" s="1391"/>
      <c r="F19" s="1392"/>
      <c r="G19" s="1393"/>
      <c r="H19" s="1403"/>
      <c r="I19" s="1404">
        <f>ROUND(D19*E19*F19*G19/10000,0)</f>
        <v>0</v>
      </c>
    </row>
    <row r="20" spans="1:9">
      <c r="A20" s="2989"/>
      <c r="B20" s="2991" t="s">
        <v>988</v>
      </c>
      <c r="C20" s="2991"/>
      <c r="D20" s="1395">
        <f>SUM(D17:D19)</f>
        <v>0</v>
      </c>
      <c r="E20" s="1395"/>
      <c r="F20" s="1396"/>
      <c r="G20" s="1393"/>
      <c r="H20" s="1400"/>
      <c r="I20" s="1401">
        <f>SUM(I17:I19)</f>
        <v>0</v>
      </c>
    </row>
    <row r="21" spans="1:9">
      <c r="A21" s="2989" t="s">
        <v>1028</v>
      </c>
      <c r="B21" s="2993"/>
      <c r="C21" s="2993"/>
      <c r="D21" s="2993"/>
      <c r="E21" s="2993"/>
      <c r="F21" s="2993"/>
      <c r="G21" s="2993"/>
      <c r="H21" s="1405">
        <v>0.1</v>
      </c>
      <c r="I21" s="1398">
        <f>ROUND(I10*H21,0)</f>
        <v>0</v>
      </c>
    </row>
    <row r="22" spans="1:9" ht="14.25">
      <c r="A22" s="2994" t="s">
        <v>1029</v>
      </c>
      <c r="B22" s="2995"/>
      <c r="C22" s="2996"/>
      <c r="D22" s="1406" t="s">
        <v>1003</v>
      </c>
      <c r="E22" s="1406" t="s">
        <v>1004</v>
      </c>
      <c r="F22" s="1407" t="s">
        <v>979</v>
      </c>
      <c r="G22" s="1407" t="s">
        <v>1005</v>
      </c>
      <c r="H22" s="1399" t="s">
        <v>993</v>
      </c>
      <c r="I22" s="1390" t="s">
        <v>980</v>
      </c>
    </row>
    <row r="23" spans="1:9" ht="14.25" thickBot="1">
      <c r="A23" s="2997"/>
      <c r="B23" s="2998"/>
      <c r="C23" s="2999"/>
      <c r="D23" s="1408"/>
      <c r="E23" s="1408"/>
      <c r="F23" s="1408"/>
      <c r="G23" s="1409"/>
      <c r="H23" s="1410"/>
      <c r="I23" s="1411">
        <f>ROUND(E23*D23*F23*(1-G23)/10000,0)</f>
        <v>0</v>
      </c>
    </row>
    <row r="26" spans="1:9">
      <c r="A26" s="1412" t="s">
        <v>1006</v>
      </c>
      <c r="B26" s="1412"/>
      <c r="C26" s="1412"/>
      <c r="D26" s="1412"/>
      <c r="E26" s="3000">
        <f>C27-C30-C31-C32</f>
        <v>0</v>
      </c>
      <c r="F26" s="3000"/>
      <c r="G26" s="3000"/>
      <c r="H26" s="1829" t="s">
        <v>1219</v>
      </c>
    </row>
    <row r="27" spans="1:9">
      <c r="A27" s="1413">
        <v>1</v>
      </c>
      <c r="B27" s="1414" t="s">
        <v>1007</v>
      </c>
      <c r="C27" s="1414">
        <f>C28+C29</f>
        <v>0</v>
      </c>
      <c r="D27" s="1414"/>
      <c r="E27" s="3001"/>
      <c r="F27" s="3001"/>
      <c r="G27" s="3001"/>
    </row>
    <row r="28" spans="1:9">
      <c r="A28" s="1415" t="s">
        <v>1008</v>
      </c>
      <c r="B28" s="1414" t="s">
        <v>1009</v>
      </c>
      <c r="C28" s="1414"/>
      <c r="D28" s="1414"/>
      <c r="E28" s="3001"/>
      <c r="F28" s="3001"/>
      <c r="G28" s="300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2"/>
      <c r="F32" s="2992"/>
      <c r="G32" s="2992"/>
    </row>
    <row r="33" spans="1:7" hidden="1">
      <c r="A33" s="3002" t="s">
        <v>1018</v>
      </c>
      <c r="B33" s="3003"/>
      <c r="C33" s="3003"/>
      <c r="D33" s="3004"/>
      <c r="E33" s="3000"/>
      <c r="F33" s="3000"/>
      <c r="G33" s="3000"/>
    </row>
    <row r="34" spans="1:7" hidden="1">
      <c r="A34" s="1417">
        <v>1</v>
      </c>
      <c r="B34" s="1414" t="s">
        <v>1019</v>
      </c>
      <c r="C34" s="1414"/>
      <c r="D34" s="1414"/>
      <c r="E34" s="3001"/>
      <c r="F34" s="3001"/>
      <c r="G34" s="3001"/>
    </row>
    <row r="35" spans="1:7" hidden="1">
      <c r="A35" s="1417">
        <v>2</v>
      </c>
      <c r="B35" s="1414" t="s">
        <v>1020</v>
      </c>
      <c r="C35" s="1414"/>
      <c r="D35" s="1414"/>
      <c r="E35" s="3001"/>
      <c r="F35" s="3001"/>
      <c r="G35" s="3001"/>
    </row>
    <row r="36" spans="1:7" hidden="1">
      <c r="A36" s="1417">
        <v>3</v>
      </c>
      <c r="B36" s="1414" t="s">
        <v>1021</v>
      </c>
      <c r="C36" s="1414"/>
      <c r="D36" s="1414"/>
      <c r="E36" s="3001"/>
      <c r="F36" s="3001"/>
      <c r="G36" s="3001"/>
    </row>
    <row r="37" spans="1:7" hidden="1">
      <c r="A37" s="1417">
        <v>4</v>
      </c>
      <c r="B37" s="1414" t="s">
        <v>1022</v>
      </c>
      <c r="C37" s="1414"/>
      <c r="D37" s="1414"/>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80"/>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t="e">
        <f ca="1">ROUND(IF(D2="——",C49,IF(C2="万元",B2*10000/D3,B2/D3)),0)</f>
        <v>#DIV/0!</v>
      </c>
      <c r="C3" s="379" t="s">
        <v>2340</v>
      </c>
      <c r="D3" s="378">
        <f>IF(C1="仅计算典型户型",'数据-取费表'!E5,'数据-取费表'!B5)</f>
        <v>24.62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14" t="s">
        <v>2342</v>
      </c>
      <c r="D4" s="3015"/>
      <c r="E4" s="3016" t="s">
        <v>2343</v>
      </c>
      <c r="F4" s="3017"/>
      <c r="G4" s="3014" t="s">
        <v>2344</v>
      </c>
      <c r="H4" s="3015"/>
      <c r="I4" s="3014" t="s">
        <v>2345</v>
      </c>
      <c r="J4" s="3015"/>
      <c r="K4" s="23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1" t="s">
        <v>2344</v>
      </c>
      <c r="AC4" s="3011" t="s">
        <v>2345</v>
      </c>
    </row>
    <row r="5" spans="1:29" ht="15">
      <c r="A5" s="383"/>
      <c r="B5" s="384"/>
      <c r="C5" s="3033" t="s">
        <v>2348</v>
      </c>
      <c r="D5" s="3034"/>
      <c r="E5" s="3031" t="s">
        <v>2349</v>
      </c>
      <c r="F5" s="3032"/>
      <c r="G5" s="3033" t="s">
        <v>2350</v>
      </c>
      <c r="H5" s="3034"/>
      <c r="I5" s="3033" t="s">
        <v>2351</v>
      </c>
      <c r="J5" s="3034"/>
      <c r="K5" s="2395"/>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2395"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6" t="s">
        <v>2355</v>
      </c>
      <c r="Q7" s="3048"/>
      <c r="R7" s="749" t="s">
        <v>34</v>
      </c>
      <c r="S7" s="750">
        <f t="shared" ref="S7:S15" si="0">F7</f>
        <v>0</v>
      </c>
      <c r="T7" s="749" t="s">
        <v>34</v>
      </c>
      <c r="U7" s="750">
        <f t="shared" ref="U7:U15" si="1">H7</f>
        <v>0</v>
      </c>
      <c r="V7" s="749" t="s">
        <v>34</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6" t="s">
        <v>2358</v>
      </c>
      <c r="Q8" s="3047"/>
      <c r="R8" s="749" t="s">
        <v>34</v>
      </c>
      <c r="S8" s="750">
        <f t="shared" si="0"/>
        <v>0</v>
      </c>
      <c r="T8" s="749" t="s">
        <v>34</v>
      </c>
      <c r="U8" s="750">
        <f t="shared" si="1"/>
        <v>0</v>
      </c>
      <c r="V8" s="749" t="s">
        <v>34</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9"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9"/>
      <c r="Q11" s="1887" t="str">
        <f t="shared" si="6"/>
        <v>容积率</v>
      </c>
      <c r="R11" s="749" t="s">
        <v>28</v>
      </c>
      <c r="S11" s="750" t="e">
        <f t="shared" si="0"/>
        <v>#N/A</v>
      </c>
      <c r="T11" s="749" t="s">
        <v>28</v>
      </c>
      <c r="U11" s="750" t="e">
        <f t="shared" si="1"/>
        <v>#N/A</v>
      </c>
      <c r="V11" s="749" t="s">
        <v>28</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9"/>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9"/>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9"/>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99.75">
      <c r="A15" s="419" t="s">
        <v>2365</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2" t="s">
        <v>2366</v>
      </c>
      <c r="Q15" s="1899" t="str">
        <f t="shared" si="6"/>
        <v>居住社区成熟度</v>
      </c>
      <c r="R15" s="753" t="s">
        <v>28</v>
      </c>
      <c r="S15" s="754">
        <f t="shared" si="0"/>
        <v>100</v>
      </c>
      <c r="T15" s="753" t="s">
        <v>28</v>
      </c>
      <c r="U15" s="754">
        <f t="shared" si="1"/>
        <v>100</v>
      </c>
      <c r="V15" s="753" t="s">
        <v>28</v>
      </c>
      <c r="W15" s="754">
        <f t="shared" si="2"/>
        <v>100</v>
      </c>
      <c r="X15" s="1900"/>
      <c r="Y15" s="3039"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3"/>
      <c r="Q16" s="1899"/>
      <c r="R16" s="753"/>
      <c r="S16" s="754"/>
      <c r="T16" s="753"/>
      <c r="U16" s="754"/>
      <c r="V16" s="753"/>
      <c r="W16" s="754"/>
      <c r="X16" s="1900"/>
      <c r="Y16" s="3040"/>
      <c r="Z16" s="1902"/>
      <c r="AA16" s="1903">
        <v>1</v>
      </c>
      <c r="AB16" s="1903">
        <v>1</v>
      </c>
      <c r="AC16" s="1903">
        <v>1</v>
      </c>
    </row>
    <row r="17" spans="1:29" ht="99.75">
      <c r="A17" s="408"/>
      <c r="B17" s="431" t="s">
        <v>1751</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3"/>
      <c r="Q17" s="1899" t="str">
        <f>B17</f>
        <v>交通便捷度</v>
      </c>
      <c r="R17" s="753" t="s">
        <v>28</v>
      </c>
      <c r="S17" s="754">
        <f>F17</f>
        <v>100</v>
      </c>
      <c r="T17" s="753" t="s">
        <v>28</v>
      </c>
      <c r="U17" s="754">
        <f>H17</f>
        <v>100</v>
      </c>
      <c r="V17" s="753" t="s">
        <v>28</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1749</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3"/>
      <c r="Q19" s="1899" t="str">
        <f>B19</f>
        <v>公共配套设施</v>
      </c>
      <c r="R19" s="753" t="s">
        <v>28</v>
      </c>
      <c r="S19" s="754">
        <f>F19</f>
        <v>100</v>
      </c>
      <c r="T19" s="753" t="s">
        <v>28</v>
      </c>
      <c r="U19" s="754">
        <f>H19</f>
        <v>100</v>
      </c>
      <c r="V19" s="753" t="s">
        <v>28</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3"/>
      <c r="Q20" s="1899"/>
      <c r="R20" s="753"/>
      <c r="S20" s="754"/>
      <c r="T20" s="753"/>
      <c r="U20" s="754"/>
      <c r="V20" s="753"/>
      <c r="W20" s="754"/>
      <c r="X20" s="1900"/>
      <c r="Y20" s="3040"/>
      <c r="Z20" s="1902"/>
      <c r="AA20" s="1903">
        <v>1</v>
      </c>
      <c r="AB20" s="1903">
        <v>1</v>
      </c>
      <c r="AC20" s="1903">
        <v>1</v>
      </c>
    </row>
    <row r="21" spans="1:29" ht="15">
      <c r="A21" s="408"/>
      <c r="B21" s="2407" t="s">
        <v>1752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3"/>
      <c r="Q21" s="1899" t="str">
        <f>B21</f>
        <v>基础设施水平</v>
      </c>
      <c r="R21" s="753" t="s">
        <v>28</v>
      </c>
      <c r="S21" s="754">
        <f>F21</f>
        <v>100</v>
      </c>
      <c r="T21" s="753" t="s">
        <v>28</v>
      </c>
      <c r="U21" s="754">
        <f>H21</f>
        <v>100</v>
      </c>
      <c r="V21" s="753" t="s">
        <v>28</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3"/>
      <c r="Q22" s="1899"/>
      <c r="R22" s="753"/>
      <c r="S22" s="754"/>
      <c r="T22" s="753"/>
      <c r="U22" s="754"/>
      <c r="V22" s="753"/>
      <c r="W22" s="754"/>
      <c r="X22" s="1900"/>
      <c r="Y22" s="3040"/>
      <c r="Z22" s="1902"/>
      <c r="AA22" s="1903">
        <v>1</v>
      </c>
      <c r="AB22" s="1903">
        <v>1</v>
      </c>
      <c r="AC22" s="1903">
        <v>1</v>
      </c>
    </row>
    <row r="23" spans="1:29" ht="114">
      <c r="A23" s="408"/>
      <c r="B23" s="431" t="s">
        <v>1756</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3"/>
      <c r="Q23" s="1899" t="str">
        <f>B23</f>
        <v>自然及人文环境</v>
      </c>
      <c r="R23" s="753" t="s">
        <v>28</v>
      </c>
      <c r="S23" s="754">
        <f>F23</f>
        <v>100</v>
      </c>
      <c r="T23" s="753" t="s">
        <v>28</v>
      </c>
      <c r="U23" s="754">
        <f>H23</f>
        <v>100</v>
      </c>
      <c r="V23" s="753" t="s">
        <v>28</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3"/>
      <c r="Q25" s="1899" t="str">
        <f t="shared" ref="Q25:Q46" si="11">B25</f>
        <v>楼层-1</v>
      </c>
      <c r="R25" s="753" t="s">
        <v>28</v>
      </c>
      <c r="S25" s="754">
        <f>F25</f>
        <v>100</v>
      </c>
      <c r="T25" s="753" t="s">
        <v>28</v>
      </c>
      <c r="U25" s="754">
        <f>H25</f>
        <v>100</v>
      </c>
      <c r="V25" s="753" t="s">
        <v>28</v>
      </c>
      <c r="W25" s="754">
        <f>J25</f>
        <v>100</v>
      </c>
      <c r="X25" s="1900"/>
      <c r="Y25" s="3040"/>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3"/>
      <c r="Q26" s="1899" t="str">
        <f t="shared" si="11"/>
        <v>朝向</v>
      </c>
      <c r="R26" s="753" t="s">
        <v>28</v>
      </c>
      <c r="S26" s="754">
        <f>F26</f>
        <v>100</v>
      </c>
      <c r="T26" s="753" t="s">
        <v>28</v>
      </c>
      <c r="U26" s="754">
        <f>H26</f>
        <v>100</v>
      </c>
      <c r="V26" s="753" t="s">
        <v>28</v>
      </c>
      <c r="W26" s="754">
        <f>J26</f>
        <v>100</v>
      </c>
      <c r="X26" s="1900"/>
      <c r="Y26" s="3040"/>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3"/>
      <c r="Q27" s="1887" t="str">
        <f t="shared" si="11"/>
        <v>道路级别</v>
      </c>
      <c r="R27" s="749" t="s">
        <v>28</v>
      </c>
      <c r="S27" s="750">
        <f>F27</f>
        <v>100</v>
      </c>
      <c r="T27" s="749" t="s">
        <v>28</v>
      </c>
      <c r="U27" s="750">
        <f>H27</f>
        <v>100</v>
      </c>
      <c r="V27" s="749" t="s">
        <v>28</v>
      </c>
      <c r="W27" s="750">
        <f>J27</f>
        <v>100</v>
      </c>
      <c r="X27" s="751"/>
      <c r="Y27" s="3040"/>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3"/>
      <c r="Q28" s="1899">
        <f t="shared" si="11"/>
        <v>111</v>
      </c>
      <c r="R28" s="753" t="s">
        <v>28</v>
      </c>
      <c r="S28" s="754">
        <f t="shared" ref="S28:S46" si="12">F28</f>
        <v>100</v>
      </c>
      <c r="T28" s="753" t="s">
        <v>28</v>
      </c>
      <c r="U28" s="754">
        <f t="shared" ref="U28:U46" si="13">H28</f>
        <v>100</v>
      </c>
      <c r="V28" s="753" t="s">
        <v>28</v>
      </c>
      <c r="W28" s="754">
        <f t="shared" ref="W28:W46" si="14">J28</f>
        <v>100</v>
      </c>
      <c r="X28" s="1900"/>
      <c r="Y28" s="3040"/>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3"/>
      <c r="Q29" s="1899">
        <f t="shared" si="11"/>
        <v>111</v>
      </c>
      <c r="R29" s="753" t="s">
        <v>28</v>
      </c>
      <c r="S29" s="754">
        <f t="shared" si="12"/>
        <v>100</v>
      </c>
      <c r="T29" s="753" t="s">
        <v>28</v>
      </c>
      <c r="U29" s="754">
        <f t="shared" si="13"/>
        <v>100</v>
      </c>
      <c r="V29" s="753" t="s">
        <v>28</v>
      </c>
      <c r="W29" s="754">
        <f t="shared" si="14"/>
        <v>100</v>
      </c>
      <c r="X29" s="1900"/>
      <c r="Y29" s="304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3"/>
      <c r="Q30" s="1899">
        <f t="shared" si="11"/>
        <v>111</v>
      </c>
      <c r="R30" s="753" t="s">
        <v>28</v>
      </c>
      <c r="S30" s="754">
        <f t="shared" si="12"/>
        <v>100</v>
      </c>
      <c r="T30" s="753" t="s">
        <v>28</v>
      </c>
      <c r="U30" s="754">
        <f t="shared" si="13"/>
        <v>100</v>
      </c>
      <c r="V30" s="753" t="s">
        <v>28</v>
      </c>
      <c r="W30" s="754">
        <f t="shared" si="14"/>
        <v>100</v>
      </c>
      <c r="X30" s="1900"/>
      <c r="Y30" s="3040"/>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3"/>
      <c r="Q31" s="1899">
        <f t="shared" si="11"/>
        <v>111</v>
      </c>
      <c r="R31" s="753" t="s">
        <v>28</v>
      </c>
      <c r="S31" s="754">
        <f t="shared" si="12"/>
        <v>100</v>
      </c>
      <c r="T31" s="753" t="s">
        <v>28</v>
      </c>
      <c r="U31" s="754">
        <f t="shared" si="13"/>
        <v>100</v>
      </c>
      <c r="V31" s="753" t="s">
        <v>28</v>
      </c>
      <c r="W31" s="754">
        <f t="shared" si="14"/>
        <v>100</v>
      </c>
      <c r="X31" s="1900"/>
      <c r="Y31" s="3040"/>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1" t="s">
        <v>2372</v>
      </c>
      <c r="Q32" s="1899" t="str">
        <f t="shared" si="11"/>
        <v>建筑类型</v>
      </c>
      <c r="R32" s="753" t="s">
        <v>28</v>
      </c>
      <c r="S32" s="754">
        <f t="shared" si="12"/>
        <v>100</v>
      </c>
      <c r="T32" s="753" t="s">
        <v>28</v>
      </c>
      <c r="U32" s="754">
        <f t="shared" si="13"/>
        <v>100</v>
      </c>
      <c r="V32" s="753" t="s">
        <v>28</v>
      </c>
      <c r="W32" s="754">
        <f t="shared" si="14"/>
        <v>100</v>
      </c>
      <c r="X32" s="1900"/>
      <c r="Y32" s="3044"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2"/>
      <c r="Q33" s="755" t="str">
        <f t="shared" si="11"/>
        <v>项目建筑规模</v>
      </c>
      <c r="R33" s="756" t="s">
        <v>28</v>
      </c>
      <c r="S33" s="757" t="e">
        <f t="shared" si="12"/>
        <v>#N/A</v>
      </c>
      <c r="T33" s="756" t="s">
        <v>28</v>
      </c>
      <c r="U33" s="757" t="e">
        <f t="shared" si="13"/>
        <v>#N/A</v>
      </c>
      <c r="V33" s="756" t="s">
        <v>28</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2"/>
      <c r="Q34" s="1899" t="str">
        <f t="shared" si="11"/>
        <v>建筑结构</v>
      </c>
      <c r="R34" s="753" t="s">
        <v>28</v>
      </c>
      <c r="S34" s="754">
        <f t="shared" si="12"/>
        <v>100</v>
      </c>
      <c r="T34" s="753" t="s">
        <v>28</v>
      </c>
      <c r="U34" s="754">
        <f t="shared" si="13"/>
        <v>100</v>
      </c>
      <c r="V34" s="753" t="s">
        <v>28</v>
      </c>
      <c r="W34" s="754">
        <f t="shared" si="14"/>
        <v>100</v>
      </c>
      <c r="X34" s="1900"/>
      <c r="Y34" s="3044"/>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2"/>
      <c r="Q35" s="1899" t="str">
        <f t="shared" si="11"/>
        <v>建筑品质</v>
      </c>
      <c r="R35" s="753" t="s">
        <v>28</v>
      </c>
      <c r="S35" s="754">
        <f t="shared" si="12"/>
        <v>100</v>
      </c>
      <c r="T35" s="753" t="s">
        <v>28</v>
      </c>
      <c r="U35" s="754">
        <f t="shared" si="13"/>
        <v>100</v>
      </c>
      <c r="V35" s="753" t="s">
        <v>28</v>
      </c>
      <c r="W35" s="754">
        <f t="shared" si="14"/>
        <v>100</v>
      </c>
      <c r="X35" s="1900"/>
      <c r="Y35" s="3044"/>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2"/>
      <c r="Q36" s="1899" t="str">
        <f t="shared" si="11"/>
        <v>公共部分装修</v>
      </c>
      <c r="R36" s="753" t="s">
        <v>28</v>
      </c>
      <c r="S36" s="754">
        <f t="shared" si="12"/>
        <v>100</v>
      </c>
      <c r="T36" s="753" t="s">
        <v>28</v>
      </c>
      <c r="U36" s="754">
        <f t="shared" si="13"/>
        <v>100</v>
      </c>
      <c r="V36" s="753" t="s">
        <v>28</v>
      </c>
      <c r="W36" s="754">
        <f t="shared" si="14"/>
        <v>100</v>
      </c>
      <c r="X36" s="1900"/>
      <c r="Y36" s="3044"/>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2"/>
      <c r="Q37" s="1887" t="str">
        <f t="shared" si="11"/>
        <v>成新度</v>
      </c>
      <c r="R37" s="749" t="s">
        <v>28</v>
      </c>
      <c r="S37" s="750" t="e">
        <f t="shared" si="12"/>
        <v>#N/A</v>
      </c>
      <c r="T37" s="749" t="s">
        <v>28</v>
      </c>
      <c r="U37" s="750" t="e">
        <f t="shared" si="13"/>
        <v>#N/A</v>
      </c>
      <c r="V37" s="749" t="s">
        <v>28</v>
      </c>
      <c r="W37" s="750" t="e">
        <f t="shared" si="14"/>
        <v>#N/A</v>
      </c>
      <c r="X37" s="751"/>
      <c r="Y37" s="3044"/>
      <c r="Z37" s="23" t="str">
        <f t="shared" si="15"/>
        <v>成新度</v>
      </c>
      <c r="AA37" s="752" t="e">
        <f t="shared" si="3"/>
        <v>#N/A</v>
      </c>
      <c r="AB37" s="752" t="e">
        <f t="shared" si="4"/>
        <v>#N/A</v>
      </c>
      <c r="AC37" s="752"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2" t="s">
        <v>2372</v>
      </c>
      <c r="Q38" s="1899" t="str">
        <f t="shared" si="11"/>
        <v>物业管理</v>
      </c>
      <c r="R38" s="753" t="s">
        <v>28</v>
      </c>
      <c r="S38" s="754">
        <f t="shared" si="12"/>
        <v>100</v>
      </c>
      <c r="T38" s="753" t="s">
        <v>28</v>
      </c>
      <c r="U38" s="754">
        <f t="shared" si="13"/>
        <v>100</v>
      </c>
      <c r="V38" s="753" t="s">
        <v>28</v>
      </c>
      <c r="W38" s="754">
        <f t="shared" si="14"/>
        <v>100</v>
      </c>
      <c r="X38" s="1900"/>
      <c r="Y38" s="3044"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2"/>
      <c r="Q39" s="1899" t="str">
        <f t="shared" si="11"/>
        <v>市政基础设施</v>
      </c>
      <c r="R39" s="753" t="s">
        <v>28</v>
      </c>
      <c r="S39" s="754">
        <f t="shared" si="12"/>
        <v>100</v>
      </c>
      <c r="T39" s="753" t="s">
        <v>28</v>
      </c>
      <c r="U39" s="754">
        <f t="shared" si="13"/>
        <v>100</v>
      </c>
      <c r="V39" s="753" t="s">
        <v>28</v>
      </c>
      <c r="W39" s="754">
        <f t="shared" si="14"/>
        <v>100</v>
      </c>
      <c r="X39" s="1900"/>
      <c r="Y39" s="3044"/>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2"/>
      <c r="Q40" s="1899" t="str">
        <f t="shared" si="11"/>
        <v>房型</v>
      </c>
      <c r="R40" s="753" t="s">
        <v>28</v>
      </c>
      <c r="S40" s="754">
        <f t="shared" si="12"/>
        <v>100</v>
      </c>
      <c r="T40" s="753" t="s">
        <v>28</v>
      </c>
      <c r="U40" s="754">
        <f t="shared" si="13"/>
        <v>100</v>
      </c>
      <c r="V40" s="753" t="s">
        <v>28</v>
      </c>
      <c r="W40" s="754">
        <f t="shared" si="14"/>
        <v>100</v>
      </c>
      <c r="X40" s="1900"/>
      <c r="Y40" s="3044"/>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2"/>
      <c r="Q42" s="1899" t="str">
        <f t="shared" si="11"/>
        <v>内部装修</v>
      </c>
      <c r="R42" s="753" t="s">
        <v>28</v>
      </c>
      <c r="S42" s="754">
        <f t="shared" si="12"/>
        <v>100</v>
      </c>
      <c r="T42" s="753" t="s">
        <v>28</v>
      </c>
      <c r="U42" s="754">
        <f t="shared" si="13"/>
        <v>100</v>
      </c>
      <c r="V42" s="753" t="s">
        <v>28</v>
      </c>
      <c r="W42" s="754">
        <f t="shared" si="14"/>
        <v>100</v>
      </c>
      <c r="X42" s="1900"/>
      <c r="Y42" s="3044"/>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2"/>
      <c r="Q43" s="1899" t="str">
        <f t="shared" si="11"/>
        <v>内部装修维护情况</v>
      </c>
      <c r="R43" s="753" t="s">
        <v>28</v>
      </c>
      <c r="S43" s="754">
        <f t="shared" si="12"/>
        <v>100</v>
      </c>
      <c r="T43" s="753" t="s">
        <v>28</v>
      </c>
      <c r="U43" s="754">
        <f t="shared" si="13"/>
        <v>100</v>
      </c>
      <c r="V43" s="753" t="s">
        <v>28</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2"/>
      <c r="Q44" s="1887">
        <f t="shared" si="11"/>
        <v>111</v>
      </c>
      <c r="R44" s="749" t="s">
        <v>28</v>
      </c>
      <c r="S44" s="750">
        <f t="shared" si="12"/>
        <v>100</v>
      </c>
      <c r="T44" s="749" t="s">
        <v>28</v>
      </c>
      <c r="U44" s="750">
        <f t="shared" si="13"/>
        <v>100</v>
      </c>
      <c r="V44" s="749" t="s">
        <v>28</v>
      </c>
      <c r="W44" s="750">
        <f t="shared" si="14"/>
        <v>100</v>
      </c>
      <c r="X44" s="751"/>
      <c r="Y44" s="304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2"/>
      <c r="Q45" s="1899">
        <f t="shared" si="11"/>
        <v>111</v>
      </c>
      <c r="R45" s="753" t="s">
        <v>28</v>
      </c>
      <c r="S45" s="754">
        <f t="shared" si="12"/>
        <v>100</v>
      </c>
      <c r="T45" s="753" t="s">
        <v>28</v>
      </c>
      <c r="U45" s="754">
        <f t="shared" si="13"/>
        <v>100</v>
      </c>
      <c r="V45" s="753" t="s">
        <v>28</v>
      </c>
      <c r="W45" s="754">
        <f t="shared" si="14"/>
        <v>100</v>
      </c>
      <c r="X45" s="1900"/>
      <c r="Y45" s="3044"/>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3"/>
      <c r="Q46" s="1899">
        <f t="shared" si="11"/>
        <v>111</v>
      </c>
      <c r="R46" s="753" t="s">
        <v>27</v>
      </c>
      <c r="S46" s="754">
        <f t="shared" si="12"/>
        <v>100</v>
      </c>
      <c r="T46" s="753" t="s">
        <v>27</v>
      </c>
      <c r="U46" s="754">
        <f t="shared" si="13"/>
        <v>100</v>
      </c>
      <c r="V46" s="753" t="s">
        <v>27</v>
      </c>
      <c r="W46" s="754">
        <f t="shared" si="14"/>
        <v>100</v>
      </c>
      <c r="X46" s="1900"/>
      <c r="Y46" s="3045"/>
      <c r="Z46" s="1902">
        <f t="shared" si="15"/>
        <v>111</v>
      </c>
      <c r="AA46" s="1903">
        <f t="shared" si="3"/>
        <v>1</v>
      </c>
      <c r="AB46" s="1903">
        <f t="shared" si="4"/>
        <v>1</v>
      </c>
      <c r="AC46" s="1903">
        <f t="shared" si="5"/>
        <v>1</v>
      </c>
    </row>
    <row r="47" spans="1:29" ht="15">
      <c r="A47" s="460" t="s">
        <v>2384</v>
      </c>
      <c r="B47" s="461"/>
      <c r="C47" s="1502" t="s">
        <v>26</v>
      </c>
      <c r="D47" s="1503"/>
      <c r="E47" s="1504"/>
      <c r="F47" s="1505"/>
      <c r="G47" s="1506"/>
      <c r="H47" s="1507"/>
      <c r="I47" s="1504"/>
      <c r="J47" s="1507"/>
      <c r="K47" s="2416"/>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2385</v>
      </c>
      <c r="B48" s="468"/>
      <c r="C48" s="1508" t="e">
        <f>R49</f>
        <v>#DIV/0!</v>
      </c>
      <c r="D48" s="1509"/>
      <c r="E48" s="1510" t="e">
        <f>R48</f>
        <v>#DIV/0!</v>
      </c>
      <c r="F48" s="1510"/>
      <c r="G48" s="1508" t="e">
        <f>T48</f>
        <v>#DIV/0!</v>
      </c>
      <c r="H48" s="1509"/>
      <c r="I48" s="1510" t="e">
        <f>V48</f>
        <v>#DIV/0!</v>
      </c>
      <c r="J48" s="1509"/>
      <c r="K48" s="2417"/>
      <c r="L48" s="1256"/>
      <c r="M48" s="1257"/>
      <c r="N48" s="1257"/>
      <c r="O48" s="1257"/>
      <c r="P48" s="3050" t="str">
        <f>A48</f>
        <v>比较价值（元/平方米）</v>
      </c>
      <c r="Q48" s="3050"/>
      <c r="R48" s="3051" t="e">
        <f>IF(E1="售价",ROUND(PRODUCT(R47,AA7:AA46),0),ROUND(PRODUCT(R47,AA7:AA46),1))</f>
        <v>#DIV/0!</v>
      </c>
      <c r="S48" s="3051"/>
      <c r="T48" s="3054" t="e">
        <f>IF(E1="售价",ROUND(PRODUCT(T47,AB7:AB46),0),ROUND(PRODUCT(T47,AB7:AB46),1))</f>
        <v>#DIV/0!</v>
      </c>
      <c r="U48" s="3055"/>
      <c r="V48" s="3051" t="e">
        <f>IF(E1="售价",ROUND(PRODUCT(V47,AC7:AC46),0),ROUND(PRODUCT(V47,AC7:AC46),1))</f>
        <v>#DIV/0!</v>
      </c>
      <c r="W48" s="3051"/>
      <c r="X48" s="738"/>
      <c r="Y48" s="738"/>
      <c r="Z48" s="738"/>
      <c r="AA48" s="738"/>
      <c r="AB48" s="738"/>
      <c r="AC48" s="738"/>
    </row>
    <row r="49" spans="1:29" ht="15.75" thickBot="1">
      <c r="A49" s="473" t="s">
        <v>2386</v>
      </c>
      <c r="B49" s="474"/>
      <c r="C49" s="1511" t="e">
        <f>R49</f>
        <v>#DIV/0!</v>
      </c>
      <c r="D49" s="1512"/>
      <c r="E49" s="1512"/>
      <c r="F49" s="1512"/>
      <c r="G49" s="1512"/>
      <c r="H49" s="1512"/>
      <c r="I49" s="1512"/>
      <c r="J49" s="1512"/>
      <c r="K49" s="2418"/>
      <c r="L49" s="1256"/>
      <c r="M49" s="1257"/>
      <c r="N49" s="1257"/>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24.62</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30" t="s">
        <v>2344</v>
      </c>
      <c r="AC4" s="3011" t="s">
        <v>2345</v>
      </c>
    </row>
    <row r="5" spans="1:29" ht="15">
      <c r="A5" s="383"/>
      <c r="B5" s="384"/>
      <c r="C5" s="3033" t="s">
        <v>2348</v>
      </c>
      <c r="D5" s="3034"/>
      <c r="E5" s="3031" t="s">
        <v>2349</v>
      </c>
      <c r="F5" s="3032"/>
      <c r="G5" s="3033" t="s">
        <v>2350</v>
      </c>
      <c r="H5" s="3034"/>
      <c r="I5" s="3033" t="s">
        <v>2351</v>
      </c>
      <c r="J5" s="3034"/>
      <c r="K5" s="594"/>
      <c r="L5" s="1243"/>
      <c r="M5" s="1244"/>
      <c r="N5" s="1244"/>
      <c r="O5" s="1244"/>
      <c r="P5" s="3020"/>
      <c r="Q5" s="3021"/>
      <c r="R5" s="3026"/>
      <c r="S5" s="3027"/>
      <c r="T5" s="3026"/>
      <c r="U5" s="3027"/>
      <c r="V5" s="3030"/>
      <c r="W5" s="3030"/>
      <c r="X5" s="1900"/>
      <c r="Y5" s="3026"/>
      <c r="Z5" s="3027"/>
      <c r="AA5" s="3012"/>
      <c r="AB5" s="3030"/>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30"/>
      <c r="AC6" s="3013"/>
    </row>
    <row r="7" spans="1:29" s="35" customFormat="1" ht="15.75" thickBot="1">
      <c r="A7" s="387" t="s">
        <v>2354</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99.75">
      <c r="A15" s="419" t="s">
        <v>2365</v>
      </c>
      <c r="B15" s="26" t="s">
        <v>2451</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2" t="s">
        <v>2366</v>
      </c>
      <c r="Q15" s="1899" t="str">
        <f t="shared" si="6"/>
        <v>商业繁华度</v>
      </c>
      <c r="R15" s="753" t="s">
        <v>25</v>
      </c>
      <c r="S15" s="754">
        <f t="shared" si="0"/>
        <v>100</v>
      </c>
      <c r="T15" s="753" t="s">
        <v>25</v>
      </c>
      <c r="U15" s="754">
        <f t="shared" si="1"/>
        <v>100</v>
      </c>
      <c r="V15" s="753" t="s">
        <v>25</v>
      </c>
      <c r="W15" s="754">
        <f t="shared" si="2"/>
        <v>100</v>
      </c>
      <c r="X15" s="1900"/>
      <c r="Y15" s="303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3"/>
      <c r="Q16" s="1899"/>
      <c r="R16" s="753"/>
      <c r="S16" s="754"/>
      <c r="T16" s="753"/>
      <c r="U16" s="754"/>
      <c r="V16" s="753"/>
      <c r="W16" s="754"/>
      <c r="X16" s="1900"/>
      <c r="Y16" s="3040"/>
      <c r="Z16" s="1902"/>
      <c r="AA16" s="1903">
        <v>1</v>
      </c>
      <c r="AB16" s="1903">
        <v>1</v>
      </c>
      <c r="AC16" s="1903">
        <v>1</v>
      </c>
    </row>
    <row r="17" spans="1:29" ht="99.75">
      <c r="A17" s="408"/>
      <c r="B17" s="431" t="s">
        <v>1751</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2452</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3"/>
      <c r="Q20" s="1899"/>
      <c r="R20" s="753"/>
      <c r="S20" s="754"/>
      <c r="T20" s="753"/>
      <c r="U20" s="754"/>
      <c r="V20" s="753"/>
      <c r="W20" s="754"/>
      <c r="X20" s="1900"/>
      <c r="Y20" s="3040"/>
      <c r="Z20" s="1902"/>
      <c r="AA20" s="1903">
        <v>1</v>
      </c>
      <c r="AB20" s="1903">
        <v>1</v>
      </c>
      <c r="AC20" s="1903">
        <v>1</v>
      </c>
    </row>
    <row r="21" spans="1:29" ht="15">
      <c r="A21" s="408"/>
      <c r="B21" s="2407" t="s">
        <v>2453</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3"/>
      <c r="Q22" s="1899"/>
      <c r="R22" s="753"/>
      <c r="S22" s="754"/>
      <c r="T22" s="753"/>
      <c r="U22" s="754"/>
      <c r="V22" s="753"/>
      <c r="W22" s="754"/>
      <c r="X22" s="1900"/>
      <c r="Y22" s="3040"/>
      <c r="Z22" s="1902"/>
      <c r="AA22" s="1903">
        <v>1</v>
      </c>
      <c r="AB22" s="1903">
        <v>1</v>
      </c>
      <c r="AC22" s="1903">
        <v>1</v>
      </c>
    </row>
    <row r="23" spans="1:29" ht="114">
      <c r="A23" s="408"/>
      <c r="B23" s="431" t="s">
        <v>1756</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3"/>
      <c r="Q23" s="1899" t="str">
        <f>B23</f>
        <v>自然及人文环境</v>
      </c>
      <c r="R23" s="753" t="s">
        <v>25</v>
      </c>
      <c r="S23" s="754">
        <f>F23</f>
        <v>100</v>
      </c>
      <c r="T23" s="753" t="s">
        <v>25</v>
      </c>
      <c r="U23" s="754">
        <f>H23</f>
        <v>100</v>
      </c>
      <c r="V23" s="753" t="s">
        <v>25</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3"/>
      <c r="Q25" s="1899" t="str">
        <f t="shared" ref="Q25:Q46" si="11">B25</f>
        <v>临街状况</v>
      </c>
      <c r="R25" s="753" t="s">
        <v>25</v>
      </c>
      <c r="S25" s="754">
        <f>F25</f>
        <v>100</v>
      </c>
      <c r="T25" s="753" t="s">
        <v>25</v>
      </c>
      <c r="U25" s="754">
        <f>H25</f>
        <v>100</v>
      </c>
      <c r="V25" s="753" t="s">
        <v>25</v>
      </c>
      <c r="W25" s="754">
        <f>J25</f>
        <v>100</v>
      </c>
      <c r="X25" s="1900"/>
      <c r="Y25" s="3040"/>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3"/>
      <c r="Q26" s="1899" t="str">
        <f t="shared" si="11"/>
        <v>平面位置/可视性</v>
      </c>
      <c r="R26" s="753" t="s">
        <v>25</v>
      </c>
      <c r="S26" s="754">
        <f>F26</f>
        <v>100</v>
      </c>
      <c r="T26" s="753" t="s">
        <v>25</v>
      </c>
      <c r="U26" s="754">
        <f>H26</f>
        <v>100</v>
      </c>
      <c r="V26" s="753" t="s">
        <v>25</v>
      </c>
      <c r="W26" s="754">
        <f>J26</f>
        <v>100</v>
      </c>
      <c r="X26" s="1900"/>
      <c r="Y26" s="3040"/>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3"/>
      <c r="Q27" s="1887" t="str">
        <f t="shared" si="11"/>
        <v>人流量</v>
      </c>
      <c r="R27" s="749" t="s">
        <v>25</v>
      </c>
      <c r="S27" s="750">
        <f>F27</f>
        <v>100</v>
      </c>
      <c r="T27" s="749" t="s">
        <v>25</v>
      </c>
      <c r="U27" s="750">
        <f>H27</f>
        <v>100</v>
      </c>
      <c r="V27" s="749" t="s">
        <v>25</v>
      </c>
      <c r="W27" s="750">
        <f>J27</f>
        <v>100</v>
      </c>
      <c r="X27" s="751"/>
      <c r="Y27" s="304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0"/>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3"/>
      <c r="Q29" s="1899">
        <f t="shared" si="11"/>
        <v>111</v>
      </c>
      <c r="R29" s="753" t="s">
        <v>25</v>
      </c>
      <c r="S29" s="754">
        <f t="shared" si="12"/>
        <v>100</v>
      </c>
      <c r="T29" s="753" t="s">
        <v>25</v>
      </c>
      <c r="U29" s="754">
        <f t="shared" si="13"/>
        <v>100</v>
      </c>
      <c r="V29" s="753" t="s">
        <v>25</v>
      </c>
      <c r="W29" s="754">
        <f t="shared" si="14"/>
        <v>100</v>
      </c>
      <c r="X29" s="1900"/>
      <c r="Y29" s="304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1" t="s">
        <v>2372</v>
      </c>
      <c r="Q32" s="1899" t="str">
        <f t="shared" si="11"/>
        <v>商业类型</v>
      </c>
      <c r="R32" s="753" t="s">
        <v>25</v>
      </c>
      <c r="S32" s="754">
        <f t="shared" si="12"/>
        <v>100</v>
      </c>
      <c r="T32" s="753" t="s">
        <v>25</v>
      </c>
      <c r="U32" s="754">
        <f t="shared" si="13"/>
        <v>100</v>
      </c>
      <c r="V32" s="753" t="s">
        <v>25</v>
      </c>
      <c r="W32" s="754">
        <f t="shared" si="14"/>
        <v>100</v>
      </c>
      <c r="X32" s="1900"/>
      <c r="Y32" s="304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2"/>
      <c r="Q34" s="1899" t="str">
        <f t="shared" si="11"/>
        <v>建筑结构</v>
      </c>
      <c r="R34" s="753" t="s">
        <v>25</v>
      </c>
      <c r="S34" s="754">
        <f t="shared" si="12"/>
        <v>100</v>
      </c>
      <c r="T34" s="753" t="s">
        <v>25</v>
      </c>
      <c r="U34" s="754">
        <f t="shared" si="13"/>
        <v>100</v>
      </c>
      <c r="V34" s="753" t="s">
        <v>25</v>
      </c>
      <c r="W34" s="754">
        <f t="shared" si="14"/>
        <v>100</v>
      </c>
      <c r="X34" s="1900"/>
      <c r="Y34" s="3044"/>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2"/>
      <c r="Q35" s="1899" t="str">
        <f t="shared" si="11"/>
        <v>公共部分装修</v>
      </c>
      <c r="R35" s="753" t="s">
        <v>25</v>
      </c>
      <c r="S35" s="754">
        <f t="shared" si="12"/>
        <v>100</v>
      </c>
      <c r="T35" s="753" t="s">
        <v>25</v>
      </c>
      <c r="U35" s="754">
        <f t="shared" si="13"/>
        <v>100</v>
      </c>
      <c r="V35" s="753" t="s">
        <v>25</v>
      </c>
      <c r="W35" s="754">
        <f t="shared" si="14"/>
        <v>100</v>
      </c>
      <c r="X35" s="1900"/>
      <c r="Y35" s="304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2"/>
      <c r="Q36" s="1899" t="str">
        <f t="shared" si="11"/>
        <v>成新度</v>
      </c>
      <c r="R36" s="753" t="s">
        <v>25</v>
      </c>
      <c r="S36" s="754" t="e">
        <f t="shared" si="12"/>
        <v>#N/A</v>
      </c>
      <c r="T36" s="753" t="s">
        <v>25</v>
      </c>
      <c r="U36" s="754" t="e">
        <f t="shared" si="13"/>
        <v>#N/A</v>
      </c>
      <c r="V36" s="753" t="s">
        <v>25</v>
      </c>
      <c r="W36" s="754" t="e">
        <f t="shared" si="14"/>
        <v>#N/A</v>
      </c>
      <c r="X36" s="1900"/>
      <c r="Y36" s="3044"/>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2"/>
      <c r="Q37" s="1887"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2" t="s">
        <v>2372</v>
      </c>
      <c r="Q38" s="1899" t="str">
        <f t="shared" si="11"/>
        <v>业态</v>
      </c>
      <c r="R38" s="753" t="s">
        <v>25</v>
      </c>
      <c r="S38" s="754">
        <f t="shared" si="12"/>
        <v>100</v>
      </c>
      <c r="T38" s="753" t="s">
        <v>25</v>
      </c>
      <c r="U38" s="754">
        <f t="shared" si="13"/>
        <v>100</v>
      </c>
      <c r="V38" s="753" t="s">
        <v>25</v>
      </c>
      <c r="W38" s="754">
        <f t="shared" si="14"/>
        <v>100</v>
      </c>
      <c r="X38" s="1900"/>
      <c r="Y38" s="3044"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2"/>
      <c r="Q39" s="1899" t="str">
        <f t="shared" si="11"/>
        <v>层高</v>
      </c>
      <c r="R39" s="753" t="s">
        <v>25</v>
      </c>
      <c r="S39" s="754">
        <f t="shared" si="12"/>
        <v>100</v>
      </c>
      <c r="T39" s="753" t="s">
        <v>25</v>
      </c>
      <c r="U39" s="754">
        <f t="shared" si="13"/>
        <v>100</v>
      </c>
      <c r="V39" s="753" t="s">
        <v>25</v>
      </c>
      <c r="W39" s="754">
        <f t="shared" si="14"/>
        <v>100</v>
      </c>
      <c r="X39" s="1900"/>
      <c r="Y39" s="304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2"/>
      <c r="Q40" s="1899" t="str">
        <f t="shared" si="11"/>
        <v>单套建筑面积</v>
      </c>
      <c r="R40" s="753" t="s">
        <v>25</v>
      </c>
      <c r="S40" s="754">
        <f t="shared" si="12"/>
        <v>100</v>
      </c>
      <c r="T40" s="753" t="s">
        <v>25</v>
      </c>
      <c r="U40" s="754">
        <f t="shared" si="13"/>
        <v>100</v>
      </c>
      <c r="V40" s="753" t="s">
        <v>25</v>
      </c>
      <c r="W40" s="754">
        <f t="shared" si="14"/>
        <v>100</v>
      </c>
      <c r="X40" s="1900"/>
      <c r="Y40" s="304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2"/>
      <c r="Q42" s="1899" t="str">
        <f t="shared" si="11"/>
        <v>内部装修</v>
      </c>
      <c r="R42" s="753" t="s">
        <v>25</v>
      </c>
      <c r="S42" s="754">
        <f t="shared" si="12"/>
        <v>100</v>
      </c>
      <c r="T42" s="753" t="s">
        <v>25</v>
      </c>
      <c r="U42" s="754">
        <f t="shared" si="13"/>
        <v>100</v>
      </c>
      <c r="V42" s="753" t="s">
        <v>25</v>
      </c>
      <c r="W42" s="754">
        <f t="shared" si="14"/>
        <v>100</v>
      </c>
      <c r="X42" s="1900"/>
      <c r="Y42" s="3044"/>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2"/>
      <c r="Q43" s="1899" t="str">
        <f t="shared" si="11"/>
        <v>内部装修维护情况</v>
      </c>
      <c r="R43" s="753" t="s">
        <v>25</v>
      </c>
      <c r="S43" s="754">
        <f t="shared" si="12"/>
        <v>100</v>
      </c>
      <c r="T43" s="753" t="s">
        <v>25</v>
      </c>
      <c r="U43" s="754">
        <f t="shared" si="13"/>
        <v>100</v>
      </c>
      <c r="V43" s="753" t="s">
        <v>25</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2"/>
      <c r="Q44" s="1887">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2"/>
      <c r="Q45" s="1899">
        <f t="shared" si="11"/>
        <v>111</v>
      </c>
      <c r="R45" s="753" t="s">
        <v>25</v>
      </c>
      <c r="S45" s="754">
        <f t="shared" si="12"/>
        <v>100</v>
      </c>
      <c r="T45" s="753" t="s">
        <v>25</v>
      </c>
      <c r="U45" s="754">
        <f t="shared" si="13"/>
        <v>100</v>
      </c>
      <c r="V45" s="753" t="s">
        <v>25</v>
      </c>
      <c r="W45" s="754">
        <f t="shared" si="14"/>
        <v>100</v>
      </c>
      <c r="X45" s="1900"/>
      <c r="Y45" s="3044"/>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24.62</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59" t="s">
        <v>2347</v>
      </c>
      <c r="Q4" s="3019"/>
      <c r="R4" s="3024" t="s">
        <v>2343</v>
      </c>
      <c r="S4" s="3025"/>
      <c r="T4" s="3024" t="s">
        <v>2344</v>
      </c>
      <c r="U4" s="3025"/>
      <c r="V4" s="3030" t="s">
        <v>2345</v>
      </c>
      <c r="W4" s="3030"/>
      <c r="X4" s="1900"/>
      <c r="Y4" s="3024" t="s">
        <v>2347</v>
      </c>
      <c r="Z4" s="3025"/>
      <c r="AA4" s="3011" t="s">
        <v>2343</v>
      </c>
      <c r="AB4" s="3011" t="s">
        <v>2344</v>
      </c>
      <c r="AC4" s="3011" t="s">
        <v>2345</v>
      </c>
    </row>
    <row r="5" spans="1:29" ht="15">
      <c r="A5" s="383"/>
      <c r="B5" s="384"/>
      <c r="C5" s="3033" t="s">
        <v>2348</v>
      </c>
      <c r="D5" s="3034"/>
      <c r="E5" s="3031" t="s">
        <v>2349</v>
      </c>
      <c r="F5" s="3032"/>
      <c r="G5" s="3033" t="s">
        <v>2350</v>
      </c>
      <c r="H5" s="3034"/>
      <c r="I5" s="3033" t="s">
        <v>2351</v>
      </c>
      <c r="J5" s="3034"/>
      <c r="K5" s="594"/>
      <c r="L5" s="1243"/>
      <c r="M5" s="1244"/>
      <c r="N5" s="1244"/>
      <c r="O5" s="1244"/>
      <c r="P5" s="306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61"/>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8"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2358</v>
      </c>
      <c r="Q8" s="3047"/>
      <c r="R8" s="749" t="s">
        <v>25</v>
      </c>
      <c r="S8" s="750">
        <f t="shared" si="0"/>
        <v>0</v>
      </c>
      <c r="T8" s="749" t="s">
        <v>25</v>
      </c>
      <c r="U8" s="750">
        <f t="shared" si="1"/>
        <v>0</v>
      </c>
      <c r="V8" s="749" t="s">
        <v>25</v>
      </c>
      <c r="W8" s="750">
        <f t="shared" si="2"/>
        <v>0</v>
      </c>
      <c r="X8" s="751"/>
      <c r="Y8" s="3046" t="s">
        <v>2358</v>
      </c>
      <c r="Z8" s="304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7"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7"/>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7"/>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7"/>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7"/>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7"/>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2366</v>
      </c>
      <c r="Q15" s="1899" t="str">
        <f t="shared" si="6"/>
        <v>办公集聚程度</v>
      </c>
      <c r="R15" s="753" t="s">
        <v>25</v>
      </c>
      <c r="S15" s="754">
        <f t="shared" si="0"/>
        <v>100</v>
      </c>
      <c r="T15" s="753" t="s">
        <v>25</v>
      </c>
      <c r="U15" s="754">
        <f t="shared" si="1"/>
        <v>100</v>
      </c>
      <c r="V15" s="753" t="s">
        <v>25</v>
      </c>
      <c r="W15" s="754">
        <f t="shared" si="2"/>
        <v>100</v>
      </c>
      <c r="X15" s="1900"/>
      <c r="Y15" s="303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1"/>
      <c r="Q16" s="1899"/>
      <c r="R16" s="753"/>
      <c r="S16" s="754"/>
      <c r="T16" s="753"/>
      <c r="U16" s="754"/>
      <c r="V16" s="753"/>
      <c r="W16" s="754"/>
      <c r="X16" s="1900"/>
      <c r="Y16" s="3040"/>
      <c r="Z16" s="1902"/>
      <c r="AA16" s="1903">
        <v>1</v>
      </c>
      <c r="AB16" s="1903">
        <v>1</v>
      </c>
      <c r="AC16" s="1903">
        <v>1</v>
      </c>
    </row>
    <row r="17" spans="1:29" ht="99.75">
      <c r="A17" s="408"/>
      <c r="B17" s="615" t="s">
        <v>1751</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1"/>
      <c r="Q18" s="1899"/>
      <c r="R18" s="753"/>
      <c r="S18" s="754"/>
      <c r="T18" s="753"/>
      <c r="U18" s="754"/>
      <c r="V18" s="753"/>
      <c r="W18" s="754"/>
      <c r="X18" s="1900"/>
      <c r="Y18" s="3040"/>
      <c r="Z18" s="1902"/>
      <c r="AA18" s="1903">
        <v>1</v>
      </c>
      <c r="AB18" s="1903">
        <v>1</v>
      </c>
      <c r="AC18" s="1903">
        <v>1</v>
      </c>
    </row>
    <row r="19" spans="1:29" ht="42.75">
      <c r="A19" s="408"/>
      <c r="B19" s="615" t="s">
        <v>2481</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1"/>
      <c r="Q20" s="1899"/>
      <c r="R20" s="753"/>
      <c r="S20" s="754"/>
      <c r="T20" s="753"/>
      <c r="U20" s="754"/>
      <c r="V20" s="753"/>
      <c r="W20" s="754"/>
      <c r="X20" s="1900"/>
      <c r="Y20" s="3040"/>
      <c r="Z20" s="1902"/>
      <c r="AA20" s="1903">
        <v>1</v>
      </c>
      <c r="AB20" s="1903">
        <v>1</v>
      </c>
      <c r="AC20" s="1903">
        <v>1</v>
      </c>
    </row>
    <row r="21" spans="1:29" ht="15">
      <c r="A21" s="408"/>
      <c r="B21" s="617" t="s">
        <v>2482</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1"/>
      <c r="Q22" s="1899"/>
      <c r="R22" s="753"/>
      <c r="S22" s="754"/>
      <c r="T22" s="753"/>
      <c r="U22" s="754"/>
      <c r="V22" s="753"/>
      <c r="W22" s="754"/>
      <c r="X22" s="1900"/>
      <c r="Y22" s="3040"/>
      <c r="Z22" s="1902"/>
      <c r="AA22" s="1903">
        <v>1</v>
      </c>
      <c r="AB22" s="1903">
        <v>1</v>
      </c>
      <c r="AC22" s="1903">
        <v>1</v>
      </c>
    </row>
    <row r="23" spans="1:29" ht="114">
      <c r="A23" s="408"/>
      <c r="B23" s="615" t="s">
        <v>2483</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1"/>
      <c r="Q24" s="1899"/>
      <c r="R24" s="753"/>
      <c r="S24" s="754"/>
      <c r="T24" s="753"/>
      <c r="U24" s="754"/>
      <c r="V24" s="753"/>
      <c r="W24" s="754"/>
      <c r="X24" s="1900"/>
      <c r="Y24" s="3040"/>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304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304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3040"/>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3040"/>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3040"/>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3040"/>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2" t="s">
        <v>2372</v>
      </c>
      <c r="Q33" s="1899" t="str">
        <f t="shared" si="11"/>
        <v>建筑类型</v>
      </c>
      <c r="R33" s="753" t="s">
        <v>25</v>
      </c>
      <c r="S33" s="754">
        <f t="shared" si="12"/>
        <v>100</v>
      </c>
      <c r="T33" s="753" t="s">
        <v>25</v>
      </c>
      <c r="U33" s="754">
        <f t="shared" si="13"/>
        <v>100</v>
      </c>
      <c r="V33" s="753" t="s">
        <v>25</v>
      </c>
      <c r="W33" s="754">
        <f t="shared" si="14"/>
        <v>100</v>
      </c>
      <c r="X33" s="1900"/>
      <c r="Y33" s="304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2372</v>
      </c>
      <c r="Q39" s="1899" t="str">
        <f t="shared" si="11"/>
        <v>物业管理</v>
      </c>
      <c r="R39" s="753" t="s">
        <v>25</v>
      </c>
      <c r="S39" s="754">
        <f t="shared" si="12"/>
        <v>100</v>
      </c>
      <c r="T39" s="753" t="s">
        <v>25</v>
      </c>
      <c r="U39" s="754">
        <f t="shared" si="13"/>
        <v>100</v>
      </c>
      <c r="V39" s="753" t="s">
        <v>25</v>
      </c>
      <c r="W39" s="754">
        <f t="shared" si="14"/>
        <v>100</v>
      </c>
      <c r="X39" s="1900"/>
      <c r="Y39" s="304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4"/>
      <c r="Z43" s="1902" t="str">
        <f t="shared" si="15"/>
        <v>内部装修</v>
      </c>
      <c r="AA43" s="1903">
        <f t="shared" si="3"/>
        <v>1</v>
      </c>
      <c r="AB43" s="1903">
        <f t="shared" si="4"/>
        <v>1</v>
      </c>
      <c r="AC43" s="1903">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4"/>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33" t="s">
        <v>2348</v>
      </c>
      <c r="D5" s="3034"/>
      <c r="E5" s="3031" t="s">
        <v>2349</v>
      </c>
      <c r="F5" s="3032"/>
      <c r="G5" s="3033" t="s">
        <v>2350</v>
      </c>
      <c r="H5" s="3034"/>
      <c r="I5" s="3033" t="s">
        <v>2351</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2358</v>
      </c>
      <c r="Q8" s="3047"/>
      <c r="R8" s="749" t="s">
        <v>25</v>
      </c>
      <c r="S8" s="750">
        <f t="shared" si="0"/>
        <v>100</v>
      </c>
      <c r="T8" s="749" t="s">
        <v>25</v>
      </c>
      <c r="U8" s="750">
        <f t="shared" si="1"/>
        <v>100</v>
      </c>
      <c r="V8" s="749" t="s">
        <v>25</v>
      </c>
      <c r="W8" s="750">
        <f t="shared" si="2"/>
        <v>100</v>
      </c>
      <c r="X8" s="751"/>
      <c r="Y8" s="3046" t="s">
        <v>2358</v>
      </c>
      <c r="Z8" s="304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9" t="s">
        <v>2366</v>
      </c>
      <c r="Q15" s="1899" t="str">
        <f t="shared" si="6"/>
        <v>产业集聚程度</v>
      </c>
      <c r="R15" s="753" t="s">
        <v>25</v>
      </c>
      <c r="S15" s="754">
        <f t="shared" si="0"/>
        <v>100</v>
      </c>
      <c r="T15" s="753" t="s">
        <v>25</v>
      </c>
      <c r="U15" s="754">
        <f t="shared" si="1"/>
        <v>100</v>
      </c>
      <c r="V15" s="753" t="s">
        <v>25</v>
      </c>
      <c r="W15" s="754">
        <f t="shared" si="2"/>
        <v>100</v>
      </c>
      <c r="X15" s="1900"/>
      <c r="Y15" s="303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0"/>
      <c r="Q18" s="1899"/>
      <c r="R18" s="753"/>
      <c r="S18" s="754"/>
      <c r="T18" s="753"/>
      <c r="U18" s="754"/>
      <c r="V18" s="753"/>
      <c r="W18" s="754"/>
      <c r="X18" s="1900"/>
      <c r="Y18" s="3040"/>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0"/>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0"/>
      <c r="Q20" s="1899"/>
      <c r="R20" s="753"/>
      <c r="S20" s="754"/>
      <c r="T20" s="753"/>
      <c r="U20" s="754"/>
      <c r="V20" s="753"/>
      <c r="W20" s="754"/>
      <c r="X20" s="1900"/>
      <c r="Y20" s="3040"/>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0"/>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0"/>
      <c r="Q22" s="1899"/>
      <c r="R22" s="753"/>
      <c r="S22" s="754"/>
      <c r="T22" s="753"/>
      <c r="U22" s="754"/>
      <c r="V22" s="753"/>
      <c r="W22" s="754"/>
      <c r="X22" s="1900"/>
      <c r="Y22" s="3040"/>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0"/>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0"/>
      <c r="Q24" s="1899"/>
      <c r="R24" s="753"/>
      <c r="S24" s="754"/>
      <c r="T24" s="753"/>
      <c r="U24" s="754"/>
      <c r="V24" s="753"/>
      <c r="W24" s="754"/>
      <c r="X24" s="1900"/>
      <c r="Y24" s="3040"/>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0"/>
      <c r="Q25" s="1899">
        <f>B25</f>
        <v>111</v>
      </c>
      <c r="R25" s="753" t="s">
        <v>25</v>
      </c>
      <c r="S25" s="754">
        <f>F25</f>
        <v>100</v>
      </c>
      <c r="T25" s="753" t="s">
        <v>25</v>
      </c>
      <c r="U25" s="754">
        <f>H25</f>
        <v>100</v>
      </c>
      <c r="V25" s="753" t="s">
        <v>25</v>
      </c>
      <c r="W25" s="754">
        <f>J25</f>
        <v>100</v>
      </c>
      <c r="X25" s="1900"/>
      <c r="Y25" s="3040"/>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0"/>
      <c r="Q26" s="1899">
        <f t="shared" ref="Q26:Q40" si="11">B26</f>
        <v>111</v>
      </c>
      <c r="R26" s="753" t="s">
        <v>25</v>
      </c>
      <c r="S26" s="754">
        <f>F26</f>
        <v>100</v>
      </c>
      <c r="T26" s="753" t="s">
        <v>25</v>
      </c>
      <c r="U26" s="754">
        <f>H26</f>
        <v>100</v>
      </c>
      <c r="V26" s="753" t="s">
        <v>25</v>
      </c>
      <c r="W26" s="754">
        <f>J26</f>
        <v>100</v>
      </c>
      <c r="X26" s="1900"/>
      <c r="Y26" s="3040"/>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0"/>
      <c r="Q27" s="1887">
        <f t="shared" si="11"/>
        <v>111</v>
      </c>
      <c r="R27" s="749" t="s">
        <v>25</v>
      </c>
      <c r="S27" s="750">
        <f>F27</f>
        <v>100</v>
      </c>
      <c r="T27" s="749" t="s">
        <v>25</v>
      </c>
      <c r="U27" s="750">
        <f>H27</f>
        <v>100</v>
      </c>
      <c r="V27" s="749" t="s">
        <v>25</v>
      </c>
      <c r="W27" s="750">
        <f>J27</f>
        <v>100</v>
      </c>
      <c r="X27" s="751"/>
      <c r="Y27" s="3040"/>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0"/>
      <c r="Q28" s="1899">
        <f t="shared" si="11"/>
        <v>111</v>
      </c>
      <c r="R28" s="753" t="s">
        <v>25</v>
      </c>
      <c r="S28" s="754">
        <f t="shared" ref="S28:S40" si="12">F28</f>
        <v>100</v>
      </c>
      <c r="T28" s="753" t="s">
        <v>25</v>
      </c>
      <c r="U28" s="754">
        <f t="shared" ref="U28:U40" si="13">H28</f>
        <v>100</v>
      </c>
      <c r="V28" s="753" t="s">
        <v>25</v>
      </c>
      <c r="W28" s="754">
        <f t="shared" ref="W28:W40" si="14">J28</f>
        <v>100</v>
      </c>
      <c r="X28" s="1900"/>
      <c r="Y28" s="3040"/>
      <c r="Z28" s="1902">
        <f t="shared" ref="Z28:Z40" si="15">Q28</f>
        <v>111</v>
      </c>
      <c r="AA28" s="1903">
        <f t="shared" si="3"/>
        <v>1</v>
      </c>
      <c r="AB28" s="1903">
        <f t="shared" si="4"/>
        <v>1</v>
      </c>
      <c r="AC28" s="1903">
        <f t="shared" si="5"/>
        <v>1</v>
      </c>
    </row>
    <row r="29" spans="1:29" ht="28.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4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4"/>
      <c r="Q31" s="1899" t="str">
        <f t="shared" si="11"/>
        <v>建筑结构</v>
      </c>
      <c r="R31" s="753" t="s">
        <v>25</v>
      </c>
      <c r="S31" s="754">
        <f t="shared" si="12"/>
        <v>100</v>
      </c>
      <c r="T31" s="753" t="s">
        <v>25</v>
      </c>
      <c r="U31" s="754">
        <f t="shared" si="13"/>
        <v>100</v>
      </c>
      <c r="V31" s="753" t="s">
        <v>25</v>
      </c>
      <c r="W31" s="754">
        <f t="shared" si="14"/>
        <v>100</v>
      </c>
      <c r="X31" s="1900"/>
      <c r="Y31" s="304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4"/>
      <c r="Q32" s="1899" t="str">
        <f t="shared" si="11"/>
        <v>公共部分装修</v>
      </c>
      <c r="R32" s="753" t="s">
        <v>25</v>
      </c>
      <c r="S32" s="754">
        <f t="shared" si="12"/>
        <v>100</v>
      </c>
      <c r="T32" s="753" t="s">
        <v>25</v>
      </c>
      <c r="U32" s="754">
        <f t="shared" si="13"/>
        <v>100</v>
      </c>
      <c r="V32" s="753" t="s">
        <v>25</v>
      </c>
      <c r="W32" s="754">
        <f t="shared" si="14"/>
        <v>100</v>
      </c>
      <c r="X32" s="1900"/>
      <c r="Y32" s="304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4"/>
      <c r="Q33" s="1899" t="str">
        <f t="shared" si="11"/>
        <v>成新度</v>
      </c>
      <c r="R33" s="753" t="s">
        <v>25</v>
      </c>
      <c r="S33" s="754" t="e">
        <f t="shared" si="12"/>
        <v>#N/A</v>
      </c>
      <c r="T33" s="753" t="s">
        <v>25</v>
      </c>
      <c r="U33" s="754" t="e">
        <f t="shared" si="13"/>
        <v>#N/A</v>
      </c>
      <c r="V33" s="753" t="s">
        <v>25</v>
      </c>
      <c r="W33" s="754" t="e">
        <f t="shared" si="14"/>
        <v>#N/A</v>
      </c>
      <c r="X33" s="1900"/>
      <c r="Y33" s="304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4"/>
      <c r="Q34" s="1887"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4" t="s">
        <v>2372</v>
      </c>
      <c r="Q35" s="1899" t="str">
        <f t="shared" si="11"/>
        <v>市政基础设施</v>
      </c>
      <c r="R35" s="753" t="s">
        <v>25</v>
      </c>
      <c r="S35" s="754">
        <f t="shared" si="12"/>
        <v>100</v>
      </c>
      <c r="T35" s="753" t="s">
        <v>25</v>
      </c>
      <c r="U35" s="754">
        <f t="shared" si="13"/>
        <v>100</v>
      </c>
      <c r="V35" s="753" t="s">
        <v>25</v>
      </c>
      <c r="W35" s="754">
        <f t="shared" si="14"/>
        <v>100</v>
      </c>
      <c r="X35" s="1900"/>
      <c r="Y35" s="304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4"/>
      <c r="Q36" s="1899" t="str">
        <f t="shared" si="11"/>
        <v>内部装修</v>
      </c>
      <c r="R36" s="753" t="s">
        <v>25</v>
      </c>
      <c r="S36" s="754">
        <f t="shared" si="12"/>
        <v>100</v>
      </c>
      <c r="T36" s="753" t="s">
        <v>25</v>
      </c>
      <c r="U36" s="754">
        <f t="shared" si="13"/>
        <v>100</v>
      </c>
      <c r="V36" s="753" t="s">
        <v>25</v>
      </c>
      <c r="W36" s="754">
        <f t="shared" si="14"/>
        <v>100</v>
      </c>
      <c r="X36" s="1900"/>
      <c r="Y36" s="304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4"/>
      <c r="Q37" s="1899" t="str">
        <f t="shared" si="11"/>
        <v>内部装修状况</v>
      </c>
      <c r="R37" s="753" t="s">
        <v>25</v>
      </c>
      <c r="S37" s="754">
        <f t="shared" si="12"/>
        <v>0</v>
      </c>
      <c r="T37" s="753" t="s">
        <v>25</v>
      </c>
      <c r="U37" s="754">
        <f t="shared" si="13"/>
        <v>0</v>
      </c>
      <c r="V37" s="753" t="s">
        <v>25</v>
      </c>
      <c r="W37" s="754">
        <f t="shared" si="14"/>
        <v>0</v>
      </c>
      <c r="X37" s="1900"/>
      <c r="Y37" s="3044"/>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4"/>
      <c r="Q39" s="1899">
        <f t="shared" si="11"/>
        <v>111</v>
      </c>
      <c r="R39" s="753" t="s">
        <v>25</v>
      </c>
      <c r="S39" s="754">
        <f t="shared" si="12"/>
        <v>100</v>
      </c>
      <c r="T39" s="753" t="s">
        <v>25</v>
      </c>
      <c r="U39" s="754">
        <f t="shared" si="13"/>
        <v>100</v>
      </c>
      <c r="V39" s="753" t="s">
        <v>25</v>
      </c>
      <c r="W39" s="754">
        <f t="shared" si="14"/>
        <v>100</v>
      </c>
      <c r="X39" s="1900"/>
      <c r="Y39" s="3044"/>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5"/>
      <c r="Q40" s="1899">
        <f t="shared" si="11"/>
        <v>111</v>
      </c>
      <c r="R40" s="753" t="s">
        <v>25</v>
      </c>
      <c r="S40" s="754">
        <f t="shared" si="12"/>
        <v>100</v>
      </c>
      <c r="T40" s="753" t="s">
        <v>25</v>
      </c>
      <c r="U40" s="754">
        <f t="shared" si="13"/>
        <v>100</v>
      </c>
      <c r="V40" s="753" t="s">
        <v>25</v>
      </c>
      <c r="W40" s="754">
        <f t="shared" si="14"/>
        <v>100</v>
      </c>
      <c r="X40" s="1900"/>
      <c r="Y40" s="304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24.62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4"/>
      <c r="M4" s="425"/>
      <c r="N4" s="425"/>
      <c r="O4" s="425"/>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33" t="s">
        <v>2348</v>
      </c>
      <c r="D5" s="3034"/>
      <c r="E5" s="3031" t="s">
        <v>2349</v>
      </c>
      <c r="F5" s="3032"/>
      <c r="G5" s="3033" t="s">
        <v>2350</v>
      </c>
      <c r="H5" s="3034"/>
      <c r="I5" s="3033" t="s">
        <v>2351</v>
      </c>
      <c r="J5" s="3034"/>
      <c r="K5" s="594"/>
      <c r="L5" s="1514"/>
      <c r="M5" s="425"/>
      <c r="N5" s="425"/>
      <c r="O5" s="425"/>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514"/>
      <c r="M6" s="425"/>
      <c r="N6" s="425"/>
      <c r="O6" s="425"/>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6" t="s">
        <v>2358</v>
      </c>
      <c r="Q8" s="3047"/>
      <c r="R8" s="749" t="s">
        <v>25</v>
      </c>
      <c r="S8" s="750">
        <f t="shared" si="0"/>
        <v>0</v>
      </c>
      <c r="T8" s="749" t="s">
        <v>25</v>
      </c>
      <c r="U8" s="750">
        <f t="shared" si="1"/>
        <v>0</v>
      </c>
      <c r="V8" s="749" t="s">
        <v>25</v>
      </c>
      <c r="W8" s="750">
        <f t="shared" si="2"/>
        <v>0</v>
      </c>
      <c r="X8" s="751"/>
      <c r="Y8" s="3046" t="s">
        <v>2358</v>
      </c>
      <c r="Z8" s="304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0" t="s">
        <v>2361</v>
      </c>
      <c r="Q9" s="1887" t="str">
        <f t="shared" ref="Q9:Q14" si="6">B9</f>
        <v>用途</v>
      </c>
      <c r="R9" s="749" t="s">
        <v>25</v>
      </c>
      <c r="S9" s="750">
        <f t="shared" si="0"/>
        <v>100</v>
      </c>
      <c r="T9" s="749" t="s">
        <v>25</v>
      </c>
      <c r="U9" s="750">
        <f t="shared" si="1"/>
        <v>100</v>
      </c>
      <c r="V9" s="749" t="s">
        <v>25</v>
      </c>
      <c r="W9" s="750">
        <f t="shared" si="2"/>
        <v>100</v>
      </c>
      <c r="X9" s="751"/>
      <c r="Y9" s="286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0"/>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99.75">
      <c r="A14" s="380" t="s">
        <v>2365</v>
      </c>
      <c r="B14" s="613" t="s">
        <v>2509</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9" t="s">
        <v>2366</v>
      </c>
      <c r="Q14" s="1899" t="str">
        <f t="shared" si="6"/>
        <v>交通便捷度</v>
      </c>
      <c r="R14" s="753" t="s">
        <v>25</v>
      </c>
      <c r="S14" s="754">
        <f t="shared" si="0"/>
        <v>100</v>
      </c>
      <c r="T14" s="753" t="s">
        <v>25</v>
      </c>
      <c r="U14" s="754">
        <f t="shared" si="1"/>
        <v>100</v>
      </c>
      <c r="V14" s="753" t="s">
        <v>25</v>
      </c>
      <c r="W14" s="754">
        <f t="shared" si="2"/>
        <v>100</v>
      </c>
      <c r="X14" s="1900"/>
      <c r="Y14" s="303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0"/>
      <c r="Q15" s="1899"/>
      <c r="R15" s="753"/>
      <c r="S15" s="754"/>
      <c r="T15" s="753"/>
      <c r="U15" s="754"/>
      <c r="V15" s="753"/>
      <c r="W15" s="754"/>
      <c r="X15" s="1900"/>
      <c r="Y15" s="304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0"/>
      <c r="Q17" s="1899"/>
      <c r="R17" s="753"/>
      <c r="S17" s="754"/>
      <c r="T17" s="753"/>
      <c r="U17" s="754"/>
      <c r="V17" s="753"/>
      <c r="W17" s="754"/>
      <c r="X17" s="1900"/>
      <c r="Y17" s="3040"/>
      <c r="Z17" s="1902"/>
      <c r="AA17" s="1903">
        <v>1</v>
      </c>
      <c r="AB17" s="1903">
        <v>1</v>
      </c>
      <c r="AC17" s="1903">
        <v>1</v>
      </c>
    </row>
    <row r="18" spans="1:29" ht="15">
      <c r="A18" s="383"/>
      <c r="B18" s="617" t="s">
        <v>2482</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0"/>
      <c r="Q19" s="1899"/>
      <c r="R19" s="753"/>
      <c r="S19" s="754"/>
      <c r="T19" s="753"/>
      <c r="U19" s="754"/>
      <c r="V19" s="753"/>
      <c r="W19" s="754"/>
      <c r="X19" s="1900"/>
      <c r="Y19" s="3040"/>
      <c r="Z19" s="1902"/>
      <c r="AA19" s="1903">
        <v>1</v>
      </c>
      <c r="AB19" s="1903">
        <v>1</v>
      </c>
      <c r="AC19" s="1903">
        <v>1</v>
      </c>
    </row>
    <row r="20" spans="1:29" ht="114">
      <c r="A20" s="383"/>
      <c r="B20" s="615" t="s">
        <v>2510</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0"/>
      <c r="Q21" s="1899"/>
      <c r="R21" s="753"/>
      <c r="S21" s="754"/>
      <c r="T21" s="753"/>
      <c r="U21" s="754"/>
      <c r="V21" s="753"/>
      <c r="W21" s="754"/>
      <c r="X21" s="1900"/>
      <c r="Y21" s="304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0"/>
      <c r="Q24" s="1899">
        <f t="shared" ref="Q24:Q36"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28.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4"/>
      <c r="Q28" s="1899" t="str">
        <f t="shared" si="11"/>
        <v>公共部分装修</v>
      </c>
      <c r="R28" s="753" t="s">
        <v>25</v>
      </c>
      <c r="S28" s="754">
        <f t="shared" si="12"/>
        <v>100</v>
      </c>
      <c r="T28" s="753" t="s">
        <v>25</v>
      </c>
      <c r="U28" s="754">
        <f t="shared" si="13"/>
        <v>100</v>
      </c>
      <c r="V28" s="753" t="s">
        <v>25</v>
      </c>
      <c r="W28" s="754">
        <f t="shared" si="14"/>
        <v>100</v>
      </c>
      <c r="X28" s="1900"/>
      <c r="Y28" s="304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4"/>
      <c r="Q29" s="1899" t="str">
        <f t="shared" si="11"/>
        <v>成新率</v>
      </c>
      <c r="R29" s="753" t="s">
        <v>25</v>
      </c>
      <c r="S29" s="754" t="e">
        <f t="shared" si="12"/>
        <v>#N/A</v>
      </c>
      <c r="T29" s="753" t="s">
        <v>25</v>
      </c>
      <c r="U29" s="754" t="e">
        <f t="shared" si="13"/>
        <v>#N/A</v>
      </c>
      <c r="V29" s="753" t="s">
        <v>25</v>
      </c>
      <c r="W29" s="754" t="e">
        <f t="shared" si="14"/>
        <v>#N/A</v>
      </c>
      <c r="X29" s="1900"/>
      <c r="Y29" s="304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4"/>
      <c r="Q30" s="1899" t="str">
        <f t="shared" si="11"/>
        <v>物业等级</v>
      </c>
      <c r="R30" s="753" t="s">
        <v>25</v>
      </c>
      <c r="S30" s="754">
        <f t="shared" si="12"/>
        <v>100</v>
      </c>
      <c r="T30" s="753" t="s">
        <v>25</v>
      </c>
      <c r="U30" s="754">
        <f t="shared" si="13"/>
        <v>100</v>
      </c>
      <c r="V30" s="753" t="s">
        <v>25</v>
      </c>
      <c r="W30" s="754">
        <f t="shared" si="14"/>
        <v>100</v>
      </c>
      <c r="X30" s="1900"/>
      <c r="Y30" s="304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4"/>
      <c r="Q31" s="1887"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4" t="s">
        <v>2372</v>
      </c>
      <c r="Q32" s="1899" t="str">
        <f t="shared" si="11"/>
        <v>车位类型</v>
      </c>
      <c r="R32" s="753" t="s">
        <v>25</v>
      </c>
      <c r="S32" s="754">
        <f t="shared" si="12"/>
        <v>100</v>
      </c>
      <c r="T32" s="753" t="s">
        <v>25</v>
      </c>
      <c r="U32" s="754">
        <f t="shared" si="13"/>
        <v>100</v>
      </c>
      <c r="V32" s="753" t="s">
        <v>25</v>
      </c>
      <c r="W32" s="754">
        <f t="shared" si="14"/>
        <v>100</v>
      </c>
      <c r="X32" s="1900"/>
      <c r="Y32" s="304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4"/>
      <c r="Q33" s="1899" t="str">
        <f t="shared" si="11"/>
        <v>是否直接入户</v>
      </c>
      <c r="R33" s="753" t="s">
        <v>25</v>
      </c>
      <c r="S33" s="754">
        <f t="shared" si="12"/>
        <v>100</v>
      </c>
      <c r="T33" s="753" t="s">
        <v>25</v>
      </c>
      <c r="U33" s="754">
        <f t="shared" si="13"/>
        <v>100</v>
      </c>
      <c r="V33" s="753" t="s">
        <v>25</v>
      </c>
      <c r="W33" s="754">
        <f t="shared" si="14"/>
        <v>100</v>
      </c>
      <c r="X33" s="1900"/>
      <c r="Y33" s="304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4"/>
      <c r="Q36" s="1899">
        <f t="shared" si="11"/>
        <v>111</v>
      </c>
      <c r="R36" s="753" t="s">
        <v>25</v>
      </c>
      <c r="S36" s="754">
        <f t="shared" si="12"/>
        <v>100</v>
      </c>
      <c r="T36" s="753" t="s">
        <v>25</v>
      </c>
      <c r="U36" s="754">
        <f t="shared" si="13"/>
        <v>100</v>
      </c>
      <c r="V36" s="753" t="s">
        <v>25</v>
      </c>
      <c r="W36" s="754">
        <f t="shared" si="14"/>
        <v>100</v>
      </c>
      <c r="X36" s="1900"/>
      <c r="Y36" s="304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33" t="s">
        <v>2348</v>
      </c>
      <c r="D5" s="3034"/>
      <c r="E5" s="3031" t="s">
        <v>2349</v>
      </c>
      <c r="F5" s="3032"/>
      <c r="G5" s="3033" t="s">
        <v>2350</v>
      </c>
      <c r="H5" s="3034"/>
      <c r="I5" s="3033" t="s">
        <v>2351</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2361</v>
      </c>
      <c r="Q9" s="1887" t="str">
        <f t="shared" ref="Q9:Q14" si="6">B9</f>
        <v>用途</v>
      </c>
      <c r="R9" s="749" t="s">
        <v>25</v>
      </c>
      <c r="S9" s="750">
        <f t="shared" si="0"/>
        <v>100</v>
      </c>
      <c r="T9" s="749" t="s">
        <v>25</v>
      </c>
      <c r="U9" s="750">
        <f t="shared" si="1"/>
        <v>100</v>
      </c>
      <c r="V9" s="749" t="s">
        <v>25</v>
      </c>
      <c r="W9" s="750">
        <f t="shared" si="2"/>
        <v>100</v>
      </c>
      <c r="X9" s="751"/>
      <c r="Y9" s="286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99.75">
      <c r="A14" s="419" t="s">
        <v>2365</v>
      </c>
      <c r="B14" s="26" t="s">
        <v>2509</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9" t="s">
        <v>2366</v>
      </c>
      <c r="Q14" s="1899" t="str">
        <f t="shared" si="6"/>
        <v>交通便捷度</v>
      </c>
      <c r="R14" s="753" t="s">
        <v>25</v>
      </c>
      <c r="S14" s="754">
        <f t="shared" si="0"/>
        <v>100</v>
      </c>
      <c r="T14" s="753" t="s">
        <v>25</v>
      </c>
      <c r="U14" s="754">
        <f t="shared" si="1"/>
        <v>100</v>
      </c>
      <c r="V14" s="753" t="s">
        <v>25</v>
      </c>
      <c r="W14" s="754">
        <f t="shared" si="2"/>
        <v>100</v>
      </c>
      <c r="X14" s="1900"/>
      <c r="Y14" s="303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0"/>
      <c r="Q15" s="1899"/>
      <c r="R15" s="753"/>
      <c r="S15" s="754"/>
      <c r="T15" s="753"/>
      <c r="U15" s="754"/>
      <c r="V15" s="753"/>
      <c r="W15" s="754"/>
      <c r="X15" s="1900"/>
      <c r="Y15" s="3040"/>
      <c r="Z15" s="1902"/>
      <c r="AA15" s="1903">
        <v>1</v>
      </c>
      <c r="AB15" s="1903">
        <v>1</v>
      </c>
      <c r="AC15" s="1903">
        <v>1</v>
      </c>
    </row>
    <row r="16" spans="1:29" ht="42.75">
      <c r="A16" s="408"/>
      <c r="B16" s="615" t="s">
        <v>2481</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0"/>
      <c r="Q17" s="1899"/>
      <c r="R17" s="753"/>
      <c r="S17" s="754"/>
      <c r="T17" s="753"/>
      <c r="U17" s="754"/>
      <c r="V17" s="753"/>
      <c r="W17" s="754"/>
      <c r="X17" s="1900"/>
      <c r="Y17" s="3040"/>
      <c r="Z17" s="1902"/>
      <c r="AA17" s="1903">
        <v>1</v>
      </c>
      <c r="AB17" s="1903">
        <v>1</v>
      </c>
      <c r="AC17" s="1903">
        <v>1</v>
      </c>
    </row>
    <row r="18" spans="1:29" ht="15">
      <c r="A18" s="408"/>
      <c r="B18" s="617" t="s">
        <v>2482</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0"/>
      <c r="Q19" s="1899"/>
      <c r="R19" s="753"/>
      <c r="S19" s="754"/>
      <c r="T19" s="753"/>
      <c r="U19" s="754"/>
      <c r="V19" s="753"/>
      <c r="W19" s="754"/>
      <c r="X19" s="1900"/>
      <c r="Y19" s="3040"/>
      <c r="Z19" s="1902"/>
      <c r="AA19" s="1903">
        <v>1</v>
      </c>
      <c r="AB19" s="1903">
        <v>1</v>
      </c>
      <c r="AC19" s="1903">
        <v>1</v>
      </c>
    </row>
    <row r="20" spans="1:29" ht="114">
      <c r="A20" s="408"/>
      <c r="B20" s="431" t="s">
        <v>2510</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0"/>
      <c r="Q21" s="1899"/>
      <c r="R21" s="753"/>
      <c r="S21" s="754"/>
      <c r="T21" s="753"/>
      <c r="U21" s="754"/>
      <c r="V21" s="753"/>
      <c r="W21" s="754"/>
      <c r="X21" s="1900"/>
      <c r="Y21" s="304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0"/>
      <c r="Q24" s="1899">
        <f t="shared" ref="Q24:Q34"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28.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4"/>
      <c r="Q28" s="1899" t="str">
        <f t="shared" si="11"/>
        <v>物业等级</v>
      </c>
      <c r="R28" s="753" t="s">
        <v>25</v>
      </c>
      <c r="S28" s="754">
        <f t="shared" si="12"/>
        <v>100</v>
      </c>
      <c r="T28" s="753" t="s">
        <v>25</v>
      </c>
      <c r="U28" s="754">
        <f t="shared" si="13"/>
        <v>100</v>
      </c>
      <c r="V28" s="753" t="s">
        <v>25</v>
      </c>
      <c r="W28" s="754">
        <f t="shared" si="14"/>
        <v>100</v>
      </c>
      <c r="X28" s="1900"/>
      <c r="Y28" s="304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4"/>
      <c r="Q29" s="1899" t="str">
        <f t="shared" si="11"/>
        <v>有无电梯</v>
      </c>
      <c r="R29" s="753" t="s">
        <v>25</v>
      </c>
      <c r="S29" s="754">
        <f t="shared" si="12"/>
        <v>100</v>
      </c>
      <c r="T29" s="753" t="s">
        <v>25</v>
      </c>
      <c r="U29" s="754">
        <f t="shared" si="13"/>
        <v>100</v>
      </c>
      <c r="V29" s="753" t="s">
        <v>25</v>
      </c>
      <c r="W29" s="754">
        <f t="shared" si="14"/>
        <v>100</v>
      </c>
      <c r="X29" s="1900"/>
      <c r="Y29" s="304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4"/>
      <c r="Q30" s="1899" t="str">
        <f t="shared" si="11"/>
        <v>建筑面积</v>
      </c>
      <c r="R30" s="753" t="s">
        <v>25</v>
      </c>
      <c r="S30" s="754" t="e">
        <f t="shared" si="12"/>
        <v>#N/A</v>
      </c>
      <c r="T30" s="753" t="s">
        <v>25</v>
      </c>
      <c r="U30" s="754" t="e">
        <f t="shared" si="13"/>
        <v>#N/A</v>
      </c>
      <c r="V30" s="753" t="s">
        <v>25</v>
      </c>
      <c r="W30" s="754" t="e">
        <f t="shared" si="14"/>
        <v>#N/A</v>
      </c>
      <c r="X30" s="1900"/>
      <c r="Y30" s="304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4"/>
      <c r="Q31" s="1887"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4" t="s">
        <v>2372</v>
      </c>
      <c r="Q32" s="1899">
        <f t="shared" si="11"/>
        <v>111</v>
      </c>
      <c r="R32" s="753" t="s">
        <v>25</v>
      </c>
      <c r="S32" s="754">
        <f t="shared" si="12"/>
        <v>100</v>
      </c>
      <c r="T32" s="753" t="s">
        <v>25</v>
      </c>
      <c r="U32" s="754">
        <f t="shared" si="13"/>
        <v>100</v>
      </c>
      <c r="V32" s="753" t="s">
        <v>25</v>
      </c>
      <c r="W32" s="754">
        <f t="shared" si="14"/>
        <v>100</v>
      </c>
      <c r="X32" s="1900"/>
      <c r="Y32" s="3044"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4"/>
      <c r="Q33" s="1899">
        <f t="shared" si="11"/>
        <v>111</v>
      </c>
      <c r="R33" s="753" t="s">
        <v>25</v>
      </c>
      <c r="S33" s="754">
        <f t="shared" si="12"/>
        <v>100</v>
      </c>
      <c r="T33" s="753" t="s">
        <v>25</v>
      </c>
      <c r="U33" s="754">
        <f t="shared" si="13"/>
        <v>100</v>
      </c>
      <c r="V33" s="753" t="s">
        <v>25</v>
      </c>
      <c r="W33" s="754">
        <f t="shared" si="14"/>
        <v>100</v>
      </c>
      <c r="X33" s="1900"/>
      <c r="Y33" s="3044"/>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t="s">
        <v>2842</v>
      </c>
      <c r="C1" s="162"/>
      <c r="D1" s="162"/>
      <c r="E1" s="162"/>
      <c r="F1" s="162"/>
      <c r="G1" s="163"/>
    </row>
    <row r="2" spans="1:7" s="164" customFormat="1" ht="18" customHeight="1">
      <c r="A2" s="165" t="s">
        <v>2008</v>
      </c>
      <c r="B2" s="166">
        <f ca="1">IF(D2="——",IF(C2="元",C52,ROUND(C52/10000,0)),IF(C2="元",C52,ROUND(C52/10000,0))-E2)</f>
        <v>115774</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4702</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49448</v>
      </c>
      <c r="D5" s="195" t="s">
        <v>2014</v>
      </c>
      <c r="E5" s="1532" t="s">
        <v>2015</v>
      </c>
      <c r="F5" s="1532" t="s">
        <v>2016</v>
      </c>
      <c r="G5" s="174"/>
    </row>
    <row r="6" spans="1:7" s="175" customFormat="1" ht="13.5" customHeight="1">
      <c r="A6" s="176" t="s">
        <v>2017</v>
      </c>
      <c r="B6" s="177" t="s">
        <v>2018</v>
      </c>
      <c r="C6" s="1531">
        <f>'土地比较法-住宅、综合'!B2</f>
        <v>47984</v>
      </c>
      <c r="D6" s="1533"/>
      <c r="E6" s="1534"/>
      <c r="F6" s="1534"/>
      <c r="G6" s="179"/>
    </row>
    <row r="7" spans="1:7" s="175" customFormat="1" ht="13.5" customHeight="1">
      <c r="A7" s="176" t="s">
        <v>2019</v>
      </c>
      <c r="B7" s="177" t="s">
        <v>2020</v>
      </c>
      <c r="C7" s="199">
        <f>ROUND(C6*F7,0)</f>
        <v>1464</v>
      </c>
      <c r="D7" s="199"/>
      <c r="E7" s="1534"/>
      <c r="F7" s="1535">
        <f>'数据-取费表'!E36+'数据-取费表'!E37</f>
        <v>3.0499999999999999E-2</v>
      </c>
      <c r="G7" s="179"/>
    </row>
    <row r="8" spans="1:7" s="180" customFormat="1">
      <c r="A8" s="176" t="s">
        <v>2021</v>
      </c>
      <c r="B8" s="177" t="s">
        <v>2022</v>
      </c>
      <c r="C8" s="199" t="str">
        <f>IF(G8="已包含在土地购买价格中","0",'数据-取费表'!E13)</f>
        <v>0</v>
      </c>
      <c r="D8" s="1536"/>
      <c r="E8" s="199"/>
      <c r="F8" s="1535"/>
      <c r="G8" s="2334" t="s">
        <v>2867</v>
      </c>
    </row>
    <row r="9" spans="1:7" s="175" customFormat="1" ht="13.5" customHeight="1">
      <c r="A9" s="1304" t="s">
        <v>953</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2024</v>
      </c>
      <c r="C10" s="1537">
        <f>ROUND(D10*E10,0)</f>
        <v>0</v>
      </c>
      <c r="D10" s="1538">
        <f>IF('数据-取费表'!B10&lt;&gt;"住宅",IF(B1="仅计算典型户型",'数据-取费表'!E5,'数据-取费表'!B5),0)</f>
        <v>24.62</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t="str">
        <f>IF(G19="已包含在土地取得成本中","0",ROUND(D19*E19,0))</f>
        <v>0</v>
      </c>
      <c r="D19" s="1541">
        <f>IF(B1="仅计算典型户型",'数据-取费表'!E5,'数据-取费表'!B5)</f>
        <v>24.62</v>
      </c>
      <c r="E19" s="195">
        <f>'数据-取费表'!E15</f>
        <v>0</v>
      </c>
      <c r="F19" s="196"/>
      <c r="G19" s="2334" t="s">
        <v>2868</v>
      </c>
    </row>
    <row r="20" spans="1:7" s="175" customFormat="1" ht="13.5" customHeight="1">
      <c r="A20" s="204" t="s">
        <v>2036</v>
      </c>
      <c r="B20" s="173" t="s">
        <v>2037</v>
      </c>
      <c r="C20" s="183">
        <f>ROUND((C5+C19)*F20,0)</f>
        <v>989</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2173</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5">
        <f ca="1">ROUND(IF('数据-取费表'!B23&lt;=1,C5*F22*'数据-取费表'!B24,C5*(POWER((1+F22),'数据-取费表'!B24)-1)),0)</f>
        <v>2151</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5">
        <f ca="1">ROUND(IF('数据-取费表'!B23&lt;=1,C20*F22*'数据-取费表'!B24/2,C20*(POWER((1+F22),'数据-取费表'!B24/2)-1)),0)</f>
        <v>22</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7566</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7566</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5.2400000000000002E-2</v>
      </c>
      <c r="D30" s="186" t="s">
        <v>2041</v>
      </c>
      <c r="E30" s="191"/>
      <c r="F30" s="187">
        <f>'数据-取费表'!E29</f>
        <v>5.5000000000000007E-2</v>
      </c>
      <c r="G30" s="184" t="s">
        <v>2061</v>
      </c>
    </row>
    <row r="31" spans="1:7" ht="16.5" customHeight="1">
      <c r="A31" s="204">
        <v>1</v>
      </c>
      <c r="B31" s="173" t="s">
        <v>2062</v>
      </c>
      <c r="C31" s="195">
        <f ca="1">ROUND((C5+C19+C20+C22+C27)/(1-C21-D22-D27-C30),0)</f>
        <v>65111</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46089</v>
      </c>
      <c r="D33" s="183"/>
      <c r="E33" s="1532"/>
      <c r="F33" s="191"/>
      <c r="G33" s="184"/>
    </row>
    <row r="34" spans="1:7" s="206" customFormat="1" ht="13.5" customHeight="1">
      <c r="A34" s="176" t="s">
        <v>2045</v>
      </c>
      <c r="B34" s="177" t="s">
        <v>2067</v>
      </c>
      <c r="C34" s="199">
        <f>IF(B1="仅计算典型户型",'数据-取费表'!F18,'数据-取费表'!E18)</f>
        <v>39392</v>
      </c>
      <c r="D34" s="1533"/>
      <c r="E34" s="199"/>
      <c r="F34" s="1544" t="str">
        <f>IF('数据-取费表'!B25=0,"",'数据-取费表'!E20)</f>
        <v/>
      </c>
      <c r="G34" s="179"/>
    </row>
    <row r="35" spans="1:7" ht="13.5" customHeight="1">
      <c r="A35" s="176" t="s">
        <v>2019</v>
      </c>
      <c r="B35" s="177" t="s">
        <v>2068</v>
      </c>
      <c r="C35" s="199">
        <f>ROUND(C34*F35,0)</f>
        <v>1182</v>
      </c>
      <c r="D35" s="199"/>
      <c r="E35" s="199"/>
      <c r="F35" s="1545">
        <f>'数据-取费表'!E21</f>
        <v>0.03</v>
      </c>
      <c r="G35" s="179" t="s">
        <v>2069</v>
      </c>
    </row>
    <row r="36" spans="1:7" ht="24">
      <c r="A36" s="176" t="s">
        <v>2021</v>
      </c>
      <c r="B36" s="177" t="s">
        <v>2070</v>
      </c>
      <c r="C36" s="199">
        <f>ROUND(IF('数据-取费表'!B10="住宅",C34*F36,0),0)</f>
        <v>0</v>
      </c>
      <c r="D36" s="199"/>
      <c r="E36" s="199"/>
      <c r="F36" s="1545">
        <f>'数据-取费表'!E22</f>
        <v>0.05</v>
      </c>
      <c r="G36" s="207" t="s">
        <v>2071</v>
      </c>
    </row>
    <row r="37" spans="1:7" s="206" customFormat="1" ht="13.5" customHeight="1">
      <c r="A37" s="176" t="s">
        <v>2052</v>
      </c>
      <c r="B37" s="177" t="s">
        <v>2072</v>
      </c>
      <c r="C37" s="199">
        <f>ROUND(E37*D37,0)</f>
        <v>4924</v>
      </c>
      <c r="D37" s="1533">
        <f>IF(B1="仅计算典型户型",'数据-取费表'!E5,'数据-取费表'!B5)</f>
        <v>24.62</v>
      </c>
      <c r="E37" s="199">
        <f>'数据-取费表'!E23</f>
        <v>200</v>
      </c>
      <c r="F37" s="1545"/>
      <c r="G37" s="208" t="s">
        <v>2073</v>
      </c>
    </row>
    <row r="38" spans="1:7" ht="13.5" customHeight="1">
      <c r="A38" s="176" t="s">
        <v>2074</v>
      </c>
      <c r="B38" s="177" t="s">
        <v>2075</v>
      </c>
      <c r="C38" s="199">
        <f>ROUND(C34*F38,0)</f>
        <v>591</v>
      </c>
      <c r="D38" s="199"/>
      <c r="E38" s="199"/>
      <c r="F38" s="1545">
        <f>'数据-取费表'!E24</f>
        <v>1.4999999999999999E-2</v>
      </c>
      <c r="G38" s="179" t="s">
        <v>2069</v>
      </c>
    </row>
    <row r="39" spans="1:7" s="175" customFormat="1" ht="13.5" customHeight="1">
      <c r="A39" s="204" t="s">
        <v>2034</v>
      </c>
      <c r="B39" s="173" t="s">
        <v>2037</v>
      </c>
      <c r="C39" s="183">
        <f>ROUND(C33*F20,0)</f>
        <v>922</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1022</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1002</v>
      </c>
      <c r="D42" s="188"/>
      <c r="E42" s="188"/>
      <c r="F42" s="189"/>
      <c r="G42" s="3067" t="s">
        <v>2079</v>
      </c>
    </row>
    <row r="43" spans="1:7" ht="13.5" customHeight="1">
      <c r="A43" s="176" t="s">
        <v>2019</v>
      </c>
      <c r="B43" s="177" t="s">
        <v>2048</v>
      </c>
      <c r="C43" s="188">
        <f ca="1">ROUND(IF('数据-取费表'!B23&lt;=1,C39*F22*'数据-取费表'!B22/2,C39*(POWER((1+F22),'数据-取费表'!B22/2)-1)),0)</f>
        <v>20</v>
      </c>
      <c r="D43" s="188"/>
      <c r="E43" s="188"/>
      <c r="F43" s="189"/>
      <c r="G43" s="3068"/>
    </row>
    <row r="44" spans="1:7" ht="13.5" customHeight="1">
      <c r="A44" s="176" t="s">
        <v>2021</v>
      </c>
      <c r="B44" s="177" t="s">
        <v>2050</v>
      </c>
      <c r="C44" s="188">
        <f ca="1">ROUND(IF('数据-取费表'!B23&lt;=1,C40*F22*'数据-取费表'!B22/2,C40*(POWER((1+F22),'数据-取费表'!B22/2)-1)),4)</f>
        <v>4.0000000000000002E-4</v>
      </c>
      <c r="D44" s="188"/>
      <c r="E44" s="188"/>
      <c r="F44" s="189"/>
      <c r="G44" s="3069"/>
    </row>
    <row r="45" spans="1:7" s="175" customFormat="1" ht="13.5" customHeight="1">
      <c r="A45" s="204" t="s">
        <v>2043</v>
      </c>
      <c r="B45" s="194" t="s">
        <v>2055</v>
      </c>
      <c r="C45" s="195">
        <f>C46</f>
        <v>7052</v>
      </c>
      <c r="D45" s="185">
        <f>C47</f>
        <v>3.0000000000000001E-3</v>
      </c>
      <c r="E45" s="186" t="s">
        <v>2077</v>
      </c>
      <c r="F45" s="196"/>
      <c r="G45" s="197" t="s">
        <v>2080</v>
      </c>
    </row>
    <row r="46" spans="1:7" s="175" customFormat="1" ht="13.5" customHeight="1">
      <c r="A46" s="176" t="s">
        <v>2045</v>
      </c>
      <c r="B46" s="198" t="s">
        <v>2081</v>
      </c>
      <c r="C46" s="199">
        <f>ROUND((C33+C39)*F27,0)</f>
        <v>7052</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5.2400000000000002E-2</v>
      </c>
      <c r="D48" s="186" t="s">
        <v>2077</v>
      </c>
      <c r="E48" s="183"/>
      <c r="F48" s="187"/>
      <c r="G48" s="184" t="s">
        <v>2084</v>
      </c>
    </row>
    <row r="49" spans="1:7" ht="16.5" customHeight="1">
      <c r="A49" s="1305" t="s">
        <v>2085</v>
      </c>
      <c r="B49" s="173" t="s">
        <v>2086</v>
      </c>
      <c r="C49" s="183">
        <f ca="1">ROUND((C33+C39+C41+C45)/(1-C40-D41-D45-C48),0)</f>
        <v>59603</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50663</v>
      </c>
      <c r="D51" s="183"/>
      <c r="E51" s="183"/>
      <c r="F51" s="210"/>
      <c r="G51" s="184" t="s">
        <v>2093</v>
      </c>
    </row>
    <row r="52" spans="1:7" s="172" customFormat="1" ht="16.5" thickBot="1">
      <c r="A52" s="211" t="s">
        <v>2094</v>
      </c>
      <c r="B52" s="212"/>
      <c r="C52" s="213">
        <f ca="1">C31+C51</f>
        <v>115774</v>
      </c>
      <c r="D52" s="212"/>
      <c r="E52" s="212"/>
      <c r="F52" s="212"/>
      <c r="G52" s="214"/>
    </row>
    <row r="55" spans="1:7" ht="15">
      <c r="B55" s="216" t="s">
        <v>2095</v>
      </c>
      <c r="C55" s="217"/>
    </row>
    <row r="56" spans="1:7">
      <c r="B56" s="219" t="s">
        <v>2096</v>
      </c>
      <c r="C56" s="220">
        <f ca="1">ROUND(C51/C52,3)</f>
        <v>0.438</v>
      </c>
    </row>
    <row r="57" spans="1:7">
      <c r="B57" s="219" t="s">
        <v>2097</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2"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f>F66</f>
        <v>47984</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f>ROUND(B2/'数据-取费表'!B5,0)</f>
        <v>1949</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30" ht="15">
      <c r="A5" s="383"/>
      <c r="B5" s="384"/>
      <c r="C5" s="3070" t="s">
        <v>2832</v>
      </c>
      <c r="D5" s="3034"/>
      <c r="E5" s="3031" t="s">
        <v>2349</v>
      </c>
      <c r="F5" s="3032"/>
      <c r="G5" s="3033" t="s">
        <v>2350</v>
      </c>
      <c r="H5" s="3034"/>
      <c r="I5" s="3033" t="s">
        <v>2351</v>
      </c>
      <c r="J5" s="3034"/>
      <c r="K5" s="594"/>
      <c r="L5" s="1243"/>
      <c r="M5" s="1244"/>
      <c r="N5" s="1244"/>
      <c r="O5" s="1244"/>
      <c r="P5" s="3020"/>
      <c r="Q5" s="3021"/>
      <c r="R5" s="3026"/>
      <c r="S5" s="3027"/>
      <c r="T5" s="3026"/>
      <c r="U5" s="3027"/>
      <c r="V5" s="3030"/>
      <c r="W5" s="3030"/>
      <c r="X5" s="1900"/>
      <c r="Y5" s="3026"/>
      <c r="Z5" s="3027"/>
      <c r="AA5" s="3012"/>
      <c r="AB5" s="3012"/>
      <c r="AC5" s="3012"/>
    </row>
    <row r="6" spans="1:30" ht="41.25" customHeight="1" thickBot="1">
      <c r="A6" s="385"/>
      <c r="B6" s="386"/>
      <c r="C6" s="3071" t="s">
        <v>2831</v>
      </c>
      <c r="D6" s="3036"/>
      <c r="E6" s="3037" t="str">
        <f>Sheet1!B6</f>
        <v>赣州经开区铜铝产业园XC0102-15-01地块</v>
      </c>
      <c r="F6" s="3038"/>
      <c r="G6" s="3035" t="str">
        <f>Sheet1!B8</f>
        <v>赣州经开区迎宾大道北侧、工业路西侧</v>
      </c>
      <c r="H6" s="3036"/>
      <c r="I6" s="3035" t="str">
        <f>Sheet1!B18</f>
        <v>赣州经开区金英路西侧，金坪东路北侧</v>
      </c>
      <c r="J6" s="3036"/>
      <c r="K6" s="594" t="s">
        <v>2353</v>
      </c>
      <c r="L6" s="1243"/>
      <c r="M6" s="1244"/>
      <c r="N6" s="1244"/>
      <c r="O6" s="1244"/>
      <c r="P6" s="3022"/>
      <c r="Q6" s="3023"/>
      <c r="R6" s="3026"/>
      <c r="S6" s="3027"/>
      <c r="T6" s="3028"/>
      <c r="U6" s="3029"/>
      <c r="V6" s="3030"/>
      <c r="W6" s="3030"/>
      <c r="X6" s="1900"/>
      <c r="Y6" s="3028"/>
      <c r="Z6" s="3029"/>
      <c r="AA6" s="3013"/>
      <c r="AB6" s="3013"/>
      <c r="AC6" s="3013"/>
    </row>
    <row r="7" spans="1:30" s="35" customFormat="1" ht="15.75" thickBot="1">
      <c r="A7" s="387" t="s">
        <v>2354</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6" t="s">
        <v>2355</v>
      </c>
      <c r="Q7" s="3048"/>
      <c r="R7" s="749" t="s">
        <v>25</v>
      </c>
      <c r="S7" s="750">
        <f t="shared" ref="S7:S15" si="0">F7</f>
        <v>100</v>
      </c>
      <c r="T7" s="749" t="s">
        <v>25</v>
      </c>
      <c r="U7" s="750">
        <f t="shared" ref="U7:U15" si="1">H7</f>
        <v>100</v>
      </c>
      <c r="V7" s="749" t="s">
        <v>25</v>
      </c>
      <c r="W7" s="750">
        <f t="shared" ref="W7:W15" si="2">J7</f>
        <v>100</v>
      </c>
      <c r="X7" s="751"/>
      <c r="Y7" s="3046" t="s">
        <v>2355</v>
      </c>
      <c r="Z7" s="3047"/>
      <c r="AA7" s="752">
        <f>D7/F7</f>
        <v>1</v>
      </c>
      <c r="AB7" s="752">
        <f>D7/H7</f>
        <v>1</v>
      </c>
      <c r="AC7" s="752">
        <f>D7/J7</f>
        <v>1</v>
      </c>
    </row>
    <row r="8" spans="1:30" s="35" customFormat="1" ht="15.75" thickBot="1">
      <c r="A8" s="387" t="s">
        <v>2356</v>
      </c>
      <c r="B8" s="388"/>
      <c r="C8" s="394" t="s">
        <v>2547</v>
      </c>
      <c r="D8" s="390">
        <v>100</v>
      </c>
      <c r="E8" s="394" t="s">
        <v>2844</v>
      </c>
      <c r="F8" s="392">
        <f>SUMIF(73:73,E8,74:74)-SUMIF(73:73,C8,74:74)+100</f>
        <v>100</v>
      </c>
      <c r="G8" s="394" t="s">
        <v>2844</v>
      </c>
      <c r="H8" s="390">
        <f>SUMIF(73:73,G8,74:74)-SUMIF(73:73,C8,74:74)+100</f>
        <v>100</v>
      </c>
      <c r="I8" s="394" t="s">
        <v>2844</v>
      </c>
      <c r="J8" s="390">
        <f>SUMIF(73:73,I8,74:74)-SUMIF(73:73,C8,74:74)+100</f>
        <v>100</v>
      </c>
      <c r="K8" s="595"/>
      <c r="L8" s="1245"/>
      <c r="M8" s="1246"/>
      <c r="N8" s="1246"/>
      <c r="O8" s="1246"/>
      <c r="P8" s="3046" t="s">
        <v>2358</v>
      </c>
      <c r="Q8" s="3047"/>
      <c r="R8" s="749" t="s">
        <v>25</v>
      </c>
      <c r="S8" s="750">
        <f t="shared" si="0"/>
        <v>100</v>
      </c>
      <c r="T8" s="749" t="s">
        <v>25</v>
      </c>
      <c r="U8" s="750">
        <f t="shared" si="1"/>
        <v>100</v>
      </c>
      <c r="V8" s="749" t="s">
        <v>25</v>
      </c>
      <c r="W8" s="750">
        <f t="shared" si="2"/>
        <v>100</v>
      </c>
      <c r="X8" s="751"/>
      <c r="Y8" s="3046" t="s">
        <v>2358</v>
      </c>
      <c r="Z8" s="3047"/>
      <c r="AA8" s="752">
        <f t="shared" ref="AA8:AA45" si="3">D8/F8</f>
        <v>1</v>
      </c>
      <c r="AB8" s="752">
        <f t="shared" ref="AB8:AB45" si="4">D8/H8</f>
        <v>1</v>
      </c>
      <c r="AC8" s="752">
        <f t="shared" ref="AC8:AC45" si="5">D8/J8</f>
        <v>1</v>
      </c>
    </row>
    <row r="9" spans="1:30" s="35" customFormat="1">
      <c r="A9" s="395" t="s">
        <v>2359</v>
      </c>
      <c r="B9" s="28" t="s">
        <v>2360</v>
      </c>
      <c r="C9" s="2483" t="s">
        <v>2833</v>
      </c>
      <c r="D9" s="51">
        <v>100</v>
      </c>
      <c r="E9" s="2483" t="s">
        <v>2830</v>
      </c>
      <c r="F9" s="51">
        <f>SUMIF(75:75,E9,76:76)-SUMIF(75:75,C9,76:76)+100</f>
        <v>100</v>
      </c>
      <c r="G9" s="2483" t="s">
        <v>2830</v>
      </c>
      <c r="H9" s="51">
        <f>SUMIF(75:75,G9,76:76)-SUMIF(75:75,C9,76:76)+100</f>
        <v>100</v>
      </c>
      <c r="I9" s="2483" t="s">
        <v>2830</v>
      </c>
      <c r="J9" s="51">
        <f>SUMIF(75:75,I9,76:76)-SUMIF(75:75,C9,76:76)+100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30" s="407" customFormat="1" ht="27">
      <c r="A10" s="401"/>
      <c r="B10" s="402" t="s">
        <v>2363</v>
      </c>
      <c r="C10" s="412">
        <f>'数据-取费表'!B13</f>
        <v>31.42</v>
      </c>
      <c r="D10" s="52">
        <v>100</v>
      </c>
      <c r="E10" s="446" t="s">
        <v>2864</v>
      </c>
      <c r="F10" s="52">
        <f>ROUND(100/'数据-取费表'!B14,0)</f>
        <v>115</v>
      </c>
      <c r="G10" s="444" t="s">
        <v>2864</v>
      </c>
      <c r="H10" s="52">
        <f>ROUND(100/'数据-取费表'!B14,0)</f>
        <v>115</v>
      </c>
      <c r="I10" s="444" t="s">
        <v>2864</v>
      </c>
      <c r="J10" s="52">
        <f>ROUND(100/'数据-取费表'!B14,0)</f>
        <v>115</v>
      </c>
      <c r="K10" s="655"/>
      <c r="L10" s="1248"/>
      <c r="M10" s="1249"/>
      <c r="N10" s="1249"/>
      <c r="O10" s="1250"/>
      <c r="P10" s="3050"/>
      <c r="Q10" s="1887" t="str">
        <f t="shared" si="6"/>
        <v>土地使用年限（年）</v>
      </c>
      <c r="R10" s="749" t="s">
        <v>25</v>
      </c>
      <c r="S10" s="750">
        <f t="shared" si="0"/>
        <v>115</v>
      </c>
      <c r="T10" s="749" t="s">
        <v>25</v>
      </c>
      <c r="U10" s="750">
        <f t="shared" si="1"/>
        <v>115</v>
      </c>
      <c r="V10" s="749" t="s">
        <v>25</v>
      </c>
      <c r="W10" s="750">
        <f t="shared" si="2"/>
        <v>115</v>
      </c>
      <c r="X10" s="751"/>
      <c r="Y10" s="2865"/>
      <c r="Z10" s="23" t="str">
        <f t="shared" si="7"/>
        <v>土地使用年限（年）</v>
      </c>
      <c r="AA10" s="752">
        <f t="shared" si="3"/>
        <v>0.86956521739130432</v>
      </c>
      <c r="AB10" s="752">
        <f t="shared" si="4"/>
        <v>0.86956521739130432</v>
      </c>
      <c r="AC10" s="752">
        <f t="shared" si="5"/>
        <v>0.86956521739130432</v>
      </c>
    </row>
    <row r="11" spans="1:30" ht="15">
      <c r="A11" s="408"/>
      <c r="B11" s="402" t="s">
        <v>2364</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0"/>
      <c r="Q11" s="1887" t="str">
        <f t="shared" si="6"/>
        <v>容积率</v>
      </c>
      <c r="R11" s="749" t="s">
        <v>25</v>
      </c>
      <c r="S11" s="750">
        <f t="shared" si="0"/>
        <v>99.5</v>
      </c>
      <c r="T11" s="749" t="s">
        <v>25</v>
      </c>
      <c r="U11" s="750">
        <f t="shared" si="1"/>
        <v>100</v>
      </c>
      <c r="V11" s="749" t="s">
        <v>25</v>
      </c>
      <c r="W11" s="750">
        <f t="shared" si="2"/>
        <v>100</v>
      </c>
      <c r="X11" s="751"/>
      <c r="Y11" s="2865"/>
      <c r="Z11" s="23" t="str">
        <f t="shared" si="7"/>
        <v>容积率</v>
      </c>
      <c r="AA11" s="752">
        <f t="shared" si="3"/>
        <v>1.0050251256281406</v>
      </c>
      <c r="AB11" s="752">
        <f t="shared" si="4"/>
        <v>1</v>
      </c>
      <c r="AC11" s="752">
        <f t="shared" si="5"/>
        <v>1</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99.75" hidden="1">
      <c r="A15" s="380" t="s">
        <v>2365</v>
      </c>
      <c r="B15" s="1487"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9" t="s">
        <v>2366</v>
      </c>
      <c r="Q15" s="1899" t="str">
        <f t="shared" si="6"/>
        <v>居住社区成熟度</v>
      </c>
      <c r="R15" s="753" t="s">
        <v>25</v>
      </c>
      <c r="S15" s="754">
        <f t="shared" si="0"/>
        <v>100</v>
      </c>
      <c r="T15" s="753" t="s">
        <v>25</v>
      </c>
      <c r="U15" s="754">
        <f t="shared" si="1"/>
        <v>100</v>
      </c>
      <c r="V15" s="753" t="s">
        <v>25</v>
      </c>
      <c r="W15" s="754">
        <f t="shared" si="2"/>
        <v>100</v>
      </c>
      <c r="X15" s="1900"/>
      <c r="Y15" s="3039" t="s">
        <v>2366</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96.75" customHeight="1">
      <c r="A17" s="383"/>
      <c r="B17" s="1489" t="s">
        <v>2451</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0"/>
      <c r="Q17" s="1899" t="str">
        <f>B17</f>
        <v>商业繁华度</v>
      </c>
      <c r="R17" s="753" t="s">
        <v>25</v>
      </c>
      <c r="S17" s="754">
        <f>F17</f>
        <v>100</v>
      </c>
      <c r="T17" s="753" t="s">
        <v>25</v>
      </c>
      <c r="U17" s="754">
        <f>H17</f>
        <v>100</v>
      </c>
      <c r="V17" s="753" t="s">
        <v>25</v>
      </c>
      <c r="W17" s="754">
        <f>J17</f>
        <v>100</v>
      </c>
      <c r="X17" s="1900"/>
      <c r="Y17" s="3040"/>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71.25" hidden="1">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0"/>
      <c r="Q19" s="1899" t="str">
        <f>B19</f>
        <v>办公集聚程度</v>
      </c>
      <c r="R19" s="753" t="s">
        <v>25</v>
      </c>
      <c r="S19" s="754">
        <f>F19</f>
        <v>100</v>
      </c>
      <c r="T19" s="753" t="s">
        <v>25</v>
      </c>
      <c r="U19" s="754">
        <f>H19</f>
        <v>100</v>
      </c>
      <c r="V19" s="753" t="s">
        <v>25</v>
      </c>
      <c r="W19" s="754">
        <f>J19</f>
        <v>100</v>
      </c>
      <c r="X19" s="1900"/>
      <c r="Y19" s="3040"/>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0"/>
      <c r="Q20" s="1899"/>
      <c r="R20" s="753"/>
      <c r="S20" s="754"/>
      <c r="T20" s="753"/>
      <c r="U20" s="754"/>
      <c r="V20" s="753"/>
      <c r="W20" s="754"/>
      <c r="X20" s="1900"/>
      <c r="Y20" s="3040"/>
      <c r="Z20" s="1902"/>
      <c r="AA20" s="1903">
        <v>1</v>
      </c>
      <c r="AB20" s="1903">
        <v>1</v>
      </c>
      <c r="AC20" s="1903">
        <v>1</v>
      </c>
    </row>
    <row r="21" spans="1:29" ht="99.75">
      <c r="A21" s="383"/>
      <c r="B21" s="1489" t="s">
        <v>2509</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0"/>
      <c r="Q21" s="1899" t="str">
        <f>B21</f>
        <v>交通便捷度</v>
      </c>
      <c r="R21" s="753" t="s">
        <v>25</v>
      </c>
      <c r="S21" s="754">
        <f>F21</f>
        <v>100</v>
      </c>
      <c r="T21" s="753" t="s">
        <v>25</v>
      </c>
      <c r="U21" s="754">
        <f>H21</f>
        <v>100</v>
      </c>
      <c r="V21" s="753" t="s">
        <v>25</v>
      </c>
      <c r="W21" s="754">
        <f>J21</f>
        <v>100</v>
      </c>
      <c r="X21" s="1900"/>
      <c r="Y21" s="3040"/>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0"/>
      <c r="Q23" s="1899" t="str">
        <f t="shared" ref="Q23:Q37" si="8">B23</f>
        <v>区域土地利用方向</v>
      </c>
      <c r="R23" s="753" t="s">
        <v>25</v>
      </c>
      <c r="S23" s="754">
        <f>F23</f>
        <v>100</v>
      </c>
      <c r="T23" s="753" t="s">
        <v>25</v>
      </c>
      <c r="U23" s="754">
        <f>H23</f>
        <v>100</v>
      </c>
      <c r="V23" s="753" t="s">
        <v>25</v>
      </c>
      <c r="W23" s="754">
        <f>J23</f>
        <v>100</v>
      </c>
      <c r="X23" s="1900"/>
      <c r="Y23" s="3040"/>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0"/>
      <c r="Q24" s="1899"/>
      <c r="R24" s="753"/>
      <c r="S24" s="754"/>
      <c r="T24" s="753"/>
      <c r="U24" s="754"/>
      <c r="V24" s="753"/>
      <c r="W24" s="754"/>
      <c r="X24" s="1900"/>
      <c r="Y24" s="3040"/>
      <c r="Z24" s="1902"/>
      <c r="AA24" s="1903"/>
      <c r="AB24" s="1903"/>
      <c r="AC24" s="1903"/>
    </row>
    <row r="25" spans="1:29" ht="114">
      <c r="A25" s="383"/>
      <c r="B25" s="1491" t="s">
        <v>2550</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0"/>
      <c r="Q25" s="1899" t="str">
        <f t="shared" si="8"/>
        <v>自然及人文环境状况</v>
      </c>
      <c r="R25" s="753" t="s">
        <v>25</v>
      </c>
      <c r="S25" s="754">
        <f>F25</f>
        <v>100</v>
      </c>
      <c r="T25" s="753" t="s">
        <v>25</v>
      </c>
      <c r="U25" s="754">
        <f>H25</f>
        <v>100</v>
      </c>
      <c r="V25" s="753" t="s">
        <v>25</v>
      </c>
      <c r="W25" s="754">
        <f>J25</f>
        <v>98</v>
      </c>
      <c r="X25" s="1900"/>
      <c r="Y25" s="3040"/>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0"/>
      <c r="Q26" s="1899"/>
      <c r="R26" s="753"/>
      <c r="S26" s="754"/>
      <c r="T26" s="753"/>
      <c r="U26" s="754"/>
      <c r="V26" s="753"/>
      <c r="W26" s="754"/>
      <c r="X26" s="1900"/>
      <c r="Y26" s="3040"/>
      <c r="Z26" s="1902"/>
      <c r="AA26" s="1903">
        <v>1</v>
      </c>
      <c r="AB26" s="1903">
        <v>1</v>
      </c>
      <c r="AC26" s="1903">
        <v>1</v>
      </c>
    </row>
    <row r="27" spans="1:29" ht="42.75">
      <c r="A27" s="383"/>
      <c r="B27" s="1491" t="s">
        <v>2452</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0"/>
      <c r="Q27" s="1887" t="str">
        <f t="shared" ref="Q27" si="9">B27</f>
        <v>公共配套设施</v>
      </c>
      <c r="R27" s="749" t="s">
        <v>25</v>
      </c>
      <c r="S27" s="750">
        <f>F27</f>
        <v>100</v>
      </c>
      <c r="T27" s="749" t="s">
        <v>25</v>
      </c>
      <c r="U27" s="750">
        <f>H27</f>
        <v>100</v>
      </c>
      <c r="V27" s="749" t="s">
        <v>25</v>
      </c>
      <c r="W27" s="750">
        <f>J27</f>
        <v>100</v>
      </c>
      <c r="X27" s="1900"/>
      <c r="Y27" s="3040"/>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0"/>
      <c r="Q28" s="1899"/>
      <c r="R28" s="753"/>
      <c r="S28" s="754"/>
      <c r="T28" s="753"/>
      <c r="U28" s="754"/>
      <c r="V28" s="753"/>
      <c r="W28" s="754"/>
      <c r="X28" s="1900"/>
      <c r="Y28" s="3040"/>
      <c r="Z28" s="23"/>
      <c r="AA28" s="1903">
        <v>1</v>
      </c>
      <c r="AB28" s="1903">
        <v>1</v>
      </c>
      <c r="AC28" s="1903">
        <v>1</v>
      </c>
    </row>
    <row r="29" spans="1:29" s="35" customFormat="1" ht="15">
      <c r="A29" s="633"/>
      <c r="B29" s="1491" t="s">
        <v>2453</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0"/>
      <c r="Q29" s="1887" t="str">
        <f t="shared" si="8"/>
        <v>基础设施水平</v>
      </c>
      <c r="R29" s="749" t="s">
        <v>25</v>
      </c>
      <c r="S29" s="750">
        <f>F29</f>
        <v>100</v>
      </c>
      <c r="T29" s="749" t="s">
        <v>25</v>
      </c>
      <c r="U29" s="750">
        <f>H29</f>
        <v>100</v>
      </c>
      <c r="V29" s="749" t="s">
        <v>25</v>
      </c>
      <c r="W29" s="750">
        <f>J29</f>
        <v>100</v>
      </c>
      <c r="X29" s="751"/>
      <c r="Y29" s="3040"/>
      <c r="Z29" s="23" t="str">
        <f>Q29</f>
        <v>基础设施水平</v>
      </c>
      <c r="AA29" s="1903">
        <f>D29/F29</f>
        <v>1</v>
      </c>
      <c r="AB29" s="1903">
        <f>D29/H29</f>
        <v>1</v>
      </c>
      <c r="AC29" s="1903">
        <f>D29/J29</f>
        <v>1</v>
      </c>
    </row>
    <row r="30" spans="1:29" s="35" customFormat="1" ht="15">
      <c r="A30" s="633"/>
      <c r="B30" s="1490"/>
      <c r="C30" s="2486" t="s">
        <v>2838</v>
      </c>
      <c r="D30" s="427"/>
      <c r="E30" s="2486" t="s">
        <v>2838</v>
      </c>
      <c r="F30" s="427"/>
      <c r="G30" s="2486" t="s">
        <v>2838</v>
      </c>
      <c r="H30" s="427"/>
      <c r="I30" s="2486" t="s">
        <v>2838</v>
      </c>
      <c r="J30" s="427"/>
      <c r="K30" s="655"/>
      <c r="L30" s="1245"/>
      <c r="M30" s="1246"/>
      <c r="N30" s="1246"/>
      <c r="O30" s="1247"/>
      <c r="P30" s="3040"/>
      <c r="Q30" s="1887"/>
      <c r="R30" s="749"/>
      <c r="S30" s="750"/>
      <c r="T30" s="749"/>
      <c r="U30" s="750"/>
      <c r="V30" s="749"/>
      <c r="W30" s="750"/>
      <c r="X30" s="751"/>
      <c r="Y30" s="3040"/>
      <c r="Z30" s="23"/>
      <c r="AA30" s="1903">
        <v>1</v>
      </c>
      <c r="AB30" s="1903">
        <v>1</v>
      </c>
      <c r="AC30" s="1903">
        <v>1</v>
      </c>
    </row>
    <row r="31" spans="1:29" ht="15">
      <c r="A31" s="383"/>
      <c r="B31" s="1490" t="s">
        <v>2454</v>
      </c>
      <c r="C31" s="618" t="s">
        <v>2845</v>
      </c>
      <c r="D31" s="415">
        <v>100</v>
      </c>
      <c r="E31" s="618" t="s">
        <v>2845</v>
      </c>
      <c r="F31" s="415">
        <f>SUMIF(104:104,E31,105:105)-SUMIF(104:104,C31,105:105)+100</f>
        <v>100</v>
      </c>
      <c r="G31" s="618" t="s">
        <v>2845</v>
      </c>
      <c r="H31" s="415">
        <f>SUMIF(104:104,G31,105:105)-SUMIF(104:104,C31,105:105)+100</f>
        <v>100</v>
      </c>
      <c r="I31" s="618" t="s">
        <v>2845</v>
      </c>
      <c r="J31" s="415">
        <f>SUMIF(104:104,I31,105:105)-SUMIF(104:104,C31,105:105)+100</f>
        <v>100</v>
      </c>
      <c r="K31" s="656"/>
      <c r="L31" s="1253"/>
      <c r="M31" s="1244"/>
      <c r="N31" s="1244"/>
      <c r="O31" s="1252"/>
      <c r="P31" s="304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0"/>
      <c r="Z31" s="1902" t="str">
        <f t="shared" ref="Z31:Z45" si="13">Q31</f>
        <v>临街状况</v>
      </c>
      <c r="AA31" s="1903">
        <f t="shared" si="3"/>
        <v>1</v>
      </c>
      <c r="AB31" s="1903">
        <f t="shared" si="4"/>
        <v>1</v>
      </c>
      <c r="AC31" s="1903">
        <f t="shared" si="5"/>
        <v>1</v>
      </c>
    </row>
    <row r="32" spans="1:29" ht="28.5">
      <c r="A32" s="383"/>
      <c r="B32" s="1491" t="s">
        <v>2484</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0"/>
      <c r="Q32" s="1899" t="str">
        <f t="shared" si="8"/>
        <v>毗邻道路的类型与等级</v>
      </c>
      <c r="R32" s="753" t="s">
        <v>25</v>
      </c>
      <c r="S32" s="754">
        <f t="shared" si="10"/>
        <v>100</v>
      </c>
      <c r="T32" s="753" t="s">
        <v>25</v>
      </c>
      <c r="U32" s="754">
        <f t="shared" si="11"/>
        <v>102</v>
      </c>
      <c r="V32" s="753" t="s">
        <v>25</v>
      </c>
      <c r="W32" s="754">
        <f t="shared" si="12"/>
        <v>100</v>
      </c>
      <c r="X32" s="1900"/>
      <c r="Y32" s="3040"/>
      <c r="Z32" s="1902" t="str">
        <f t="shared" si="13"/>
        <v>毗邻道路的类型与等级</v>
      </c>
      <c r="AA32" s="1903">
        <f t="shared" si="3"/>
        <v>1</v>
      </c>
      <c r="AB32" s="1903">
        <f t="shared" si="4"/>
        <v>0.98039215686274506</v>
      </c>
      <c r="AC32" s="1903">
        <f t="shared" si="5"/>
        <v>1</v>
      </c>
    </row>
    <row r="33" spans="1:29" ht="15.75" thickBot="1">
      <c r="A33" s="383"/>
      <c r="B33" s="1490"/>
      <c r="C33" s="1472" t="s">
        <v>2849</v>
      </c>
      <c r="D33" s="427"/>
      <c r="E33" s="1472" t="s">
        <v>2849</v>
      </c>
      <c r="F33" s="427"/>
      <c r="G33" s="1472" t="s">
        <v>2846</v>
      </c>
      <c r="H33" s="427"/>
      <c r="I33" s="426" t="s">
        <v>2849</v>
      </c>
      <c r="J33" s="427"/>
      <c r="K33" s="597"/>
      <c r="L33" s="1253"/>
      <c r="M33" s="1244"/>
      <c r="N33" s="1244"/>
      <c r="O33" s="1252"/>
      <c r="P33" s="3040"/>
      <c r="Q33" s="1899"/>
      <c r="R33" s="753"/>
      <c r="S33" s="754"/>
      <c r="T33" s="753"/>
      <c r="U33" s="754"/>
      <c r="V33" s="753"/>
      <c r="W33" s="754"/>
      <c r="X33" s="1900"/>
      <c r="Y33" s="3040"/>
      <c r="Z33" s="1902"/>
      <c r="AA33" s="1903">
        <v>1</v>
      </c>
      <c r="AB33" s="1903">
        <v>1</v>
      </c>
      <c r="AC33" s="1903">
        <v>1</v>
      </c>
    </row>
    <row r="34" spans="1:29" ht="15" hidden="1">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0"/>
      <c r="Q34" s="1899" t="str">
        <f t="shared" si="8"/>
        <v>土地级别</v>
      </c>
      <c r="R34" s="753" t="s">
        <v>25</v>
      </c>
      <c r="S34" s="754">
        <f t="shared" si="10"/>
        <v>100</v>
      </c>
      <c r="T34" s="753" t="s">
        <v>25</v>
      </c>
      <c r="U34" s="754">
        <f t="shared" si="11"/>
        <v>100</v>
      </c>
      <c r="V34" s="753" t="s">
        <v>25</v>
      </c>
      <c r="W34" s="754">
        <f t="shared" si="12"/>
        <v>100</v>
      </c>
      <c r="X34" s="1900"/>
      <c r="Y34" s="3040"/>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0"/>
      <c r="Q35" s="1899">
        <f t="shared" si="8"/>
        <v>111</v>
      </c>
      <c r="R35" s="753" t="s">
        <v>25</v>
      </c>
      <c r="S35" s="754">
        <f t="shared" si="10"/>
        <v>100</v>
      </c>
      <c r="T35" s="753" t="s">
        <v>25</v>
      </c>
      <c r="U35" s="754">
        <f t="shared" si="11"/>
        <v>100</v>
      </c>
      <c r="V35" s="753" t="s">
        <v>25</v>
      </c>
      <c r="W35" s="754">
        <f t="shared" si="12"/>
        <v>100</v>
      </c>
      <c r="X35" s="1900"/>
      <c r="Y35" s="3040"/>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44" t="s">
        <v>2372</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4"/>
      <c r="Q37" s="1899">
        <f t="shared" si="8"/>
        <v>111</v>
      </c>
      <c r="R37" s="756" t="s">
        <v>25</v>
      </c>
      <c r="S37" s="757">
        <f t="shared" si="10"/>
        <v>100</v>
      </c>
      <c r="T37" s="756" t="s">
        <v>25</v>
      </c>
      <c r="U37" s="757">
        <f t="shared" si="11"/>
        <v>100</v>
      </c>
      <c r="V37" s="756" t="s">
        <v>25</v>
      </c>
      <c r="W37" s="757">
        <f t="shared" si="12"/>
        <v>100</v>
      </c>
      <c r="X37" s="758"/>
      <c r="Y37" s="3044"/>
      <c r="Z37" s="759">
        <f t="shared" si="13"/>
        <v>111</v>
      </c>
      <c r="AA37" s="1903">
        <f t="shared" si="3"/>
        <v>1</v>
      </c>
      <c r="AB37" s="1903">
        <f t="shared" si="4"/>
        <v>1</v>
      </c>
      <c r="AC37" s="1903">
        <f t="shared" si="5"/>
        <v>1</v>
      </c>
    </row>
    <row r="38" spans="1:29" ht="15">
      <c r="A38" s="380" t="s">
        <v>2370</v>
      </c>
      <c r="B38" s="436" t="s">
        <v>2552</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4"/>
      <c r="Q38" s="1899" t="str">
        <f>B38</f>
        <v>宗地面积</v>
      </c>
      <c r="R38" s="753" t="s">
        <v>25</v>
      </c>
      <c r="S38" s="754">
        <f t="shared" si="10"/>
        <v>100</v>
      </c>
      <c r="T38" s="753" t="s">
        <v>25</v>
      </c>
      <c r="U38" s="754">
        <f t="shared" si="11"/>
        <v>100</v>
      </c>
      <c r="V38" s="753" t="s">
        <v>25</v>
      </c>
      <c r="W38" s="754">
        <f t="shared" si="12"/>
        <v>100</v>
      </c>
      <c r="X38" s="1900"/>
      <c r="Y38" s="3044"/>
      <c r="Z38" s="1902" t="str">
        <f t="shared" si="13"/>
        <v>宗地面积</v>
      </c>
      <c r="AA38" s="1903">
        <f t="shared" si="3"/>
        <v>1</v>
      </c>
      <c r="AB38" s="1903">
        <f t="shared" si="4"/>
        <v>1</v>
      </c>
      <c r="AC38" s="1903">
        <f t="shared" si="5"/>
        <v>1</v>
      </c>
    </row>
    <row r="39" spans="1:29" ht="15">
      <c r="A39" s="453"/>
      <c r="B39" s="402" t="s">
        <v>2553</v>
      </c>
      <c r="C39" s="2410" t="s">
        <v>2852</v>
      </c>
      <c r="D39" s="415">
        <v>100</v>
      </c>
      <c r="E39" s="2410" t="s">
        <v>2852</v>
      </c>
      <c r="F39" s="415">
        <f>SUMIF(119:119,E39,120:120)-SUMIF(119:119,C39,120:120)+100</f>
        <v>100</v>
      </c>
      <c r="G39" s="2410" t="s">
        <v>2852</v>
      </c>
      <c r="H39" s="415">
        <f>SUMIF(119:119,G39,120:120)-SUMIF(119:119,C39,120:120)+100</f>
        <v>100</v>
      </c>
      <c r="I39" s="2410" t="s">
        <v>2852</v>
      </c>
      <c r="J39" s="415">
        <f>SUMIF(119:119,I39,120:120)-SUMIF(119:119,C39,120:120)+100</f>
        <v>100</v>
      </c>
      <c r="K39" s="596"/>
      <c r="L39" s="1253"/>
      <c r="M39" s="1244"/>
      <c r="N39" s="1244"/>
      <c r="O39" s="1252"/>
      <c r="P39" s="3044"/>
      <c r="Q39" s="1899" t="str">
        <f t="shared" ref="Q39:Q45" si="14">B39</f>
        <v>宗地形状</v>
      </c>
      <c r="R39" s="753" t="s">
        <v>25</v>
      </c>
      <c r="S39" s="754">
        <f t="shared" si="10"/>
        <v>100</v>
      </c>
      <c r="T39" s="753" t="s">
        <v>25</v>
      </c>
      <c r="U39" s="754">
        <f t="shared" si="11"/>
        <v>100</v>
      </c>
      <c r="V39" s="753" t="s">
        <v>25</v>
      </c>
      <c r="W39" s="754">
        <f t="shared" si="12"/>
        <v>100</v>
      </c>
      <c r="X39" s="1900"/>
      <c r="Y39" s="3044"/>
      <c r="Z39" s="1902" t="str">
        <f t="shared" si="13"/>
        <v>宗地形状</v>
      </c>
      <c r="AA39" s="1903">
        <f t="shared" si="3"/>
        <v>1</v>
      </c>
      <c r="AB39" s="1903">
        <f t="shared" si="4"/>
        <v>1</v>
      </c>
      <c r="AC39" s="1903">
        <f t="shared" si="5"/>
        <v>1</v>
      </c>
    </row>
    <row r="40" spans="1:29" ht="15" hidden="1">
      <c r="A40" s="453"/>
      <c r="B40" s="402" t="s">
        <v>2554</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4"/>
      <c r="Q40" s="1899" t="str">
        <f t="shared" si="14"/>
        <v>临街宽度及深度</v>
      </c>
      <c r="R40" s="753" t="s">
        <v>25</v>
      </c>
      <c r="S40" s="754">
        <f t="shared" si="10"/>
        <v>100</v>
      </c>
      <c r="T40" s="753" t="s">
        <v>25</v>
      </c>
      <c r="U40" s="754">
        <f t="shared" si="11"/>
        <v>100</v>
      </c>
      <c r="V40" s="753" t="s">
        <v>25</v>
      </c>
      <c r="W40" s="754">
        <f t="shared" si="12"/>
        <v>100</v>
      </c>
      <c r="X40" s="1900"/>
      <c r="Y40" s="3044"/>
      <c r="Z40" s="1902" t="str">
        <f t="shared" si="13"/>
        <v>临街宽度及深度</v>
      </c>
      <c r="AA40" s="1903">
        <f t="shared" si="3"/>
        <v>1</v>
      </c>
      <c r="AB40" s="1903">
        <f t="shared" si="4"/>
        <v>1</v>
      </c>
      <c r="AC40" s="1903">
        <f t="shared" si="5"/>
        <v>1</v>
      </c>
    </row>
    <row r="41" spans="1:29" s="35" customFormat="1" ht="15" hidden="1">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4"/>
      <c r="Q41" s="1899"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2556</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4" t="s">
        <v>2372</v>
      </c>
      <c r="Q42" s="1899" t="str">
        <f t="shared" si="14"/>
        <v>工程地质条件</v>
      </c>
      <c r="R42" s="753" t="s">
        <v>25</v>
      </c>
      <c r="S42" s="754">
        <f t="shared" si="10"/>
        <v>100</v>
      </c>
      <c r="T42" s="753" t="s">
        <v>25</v>
      </c>
      <c r="U42" s="754">
        <f t="shared" si="11"/>
        <v>100</v>
      </c>
      <c r="V42" s="753" t="s">
        <v>25</v>
      </c>
      <c r="W42" s="754">
        <f t="shared" si="12"/>
        <v>100</v>
      </c>
      <c r="X42" s="1900"/>
      <c r="Y42" s="3044" t="s">
        <v>2372</v>
      </c>
      <c r="Z42" s="1902" t="str">
        <f t="shared" si="13"/>
        <v>工程地质条件</v>
      </c>
      <c r="AA42" s="1903">
        <f t="shared" si="3"/>
        <v>1</v>
      </c>
      <c r="AB42" s="1903">
        <f t="shared" si="4"/>
        <v>1</v>
      </c>
      <c r="AC42" s="1903">
        <f t="shared" si="5"/>
        <v>1</v>
      </c>
    </row>
    <row r="43" spans="1:29" ht="15">
      <c r="A43" s="453"/>
      <c r="B43" s="2742" t="s">
        <v>2851</v>
      </c>
      <c r="C43" s="2744" t="s">
        <v>2860</v>
      </c>
      <c r="D43" s="415">
        <v>100</v>
      </c>
      <c r="E43" s="2744" t="s">
        <v>2857</v>
      </c>
      <c r="F43" s="415">
        <f>SUMIF(127:127,E43,128:128)-SUMIF(127:127,C43,128:128)+100</f>
        <v>108</v>
      </c>
      <c r="G43" s="2744" t="s">
        <v>2857</v>
      </c>
      <c r="H43" s="415">
        <f>SUMIF(127:127,G43,128:128)-SUMIF(127:127,C43,128:128)+100</f>
        <v>108</v>
      </c>
      <c r="I43" s="2745" t="s">
        <v>2857</v>
      </c>
      <c r="J43" s="415">
        <f>SUMIF(127:127,I43,128:128)-SUMIF(127:127,C43,128:128)+100</f>
        <v>108</v>
      </c>
      <c r="K43" s="597"/>
      <c r="L43" s="1253"/>
      <c r="M43" s="1244"/>
      <c r="N43" s="1244"/>
      <c r="O43" s="1252"/>
      <c r="P43" s="3044"/>
      <c r="Q43" s="1899" t="str">
        <f t="shared" si="14"/>
        <v>位置</v>
      </c>
      <c r="R43" s="753" t="s">
        <v>25</v>
      </c>
      <c r="S43" s="754">
        <f t="shared" si="10"/>
        <v>108</v>
      </c>
      <c r="T43" s="753" t="s">
        <v>25</v>
      </c>
      <c r="U43" s="754">
        <f t="shared" si="11"/>
        <v>108</v>
      </c>
      <c r="V43" s="753" t="s">
        <v>25</v>
      </c>
      <c r="W43" s="754">
        <f t="shared" si="12"/>
        <v>108</v>
      </c>
      <c r="X43" s="1900"/>
      <c r="Y43" s="3044"/>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4"/>
      <c r="Q44" s="1899">
        <f t="shared" si="14"/>
        <v>111</v>
      </c>
      <c r="R44" s="753" t="s">
        <v>25</v>
      </c>
      <c r="S44" s="754">
        <f t="shared" si="10"/>
        <v>100</v>
      </c>
      <c r="T44" s="753" t="s">
        <v>25</v>
      </c>
      <c r="U44" s="754">
        <f t="shared" si="11"/>
        <v>100</v>
      </c>
      <c r="V44" s="753" t="s">
        <v>25</v>
      </c>
      <c r="W44" s="754">
        <f t="shared" si="12"/>
        <v>100</v>
      </c>
      <c r="X44" s="1900"/>
      <c r="Y44" s="3044"/>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4"/>
      <c r="Q45" s="1899">
        <f t="shared" si="14"/>
        <v>111</v>
      </c>
      <c r="R45" s="756" t="s">
        <v>25</v>
      </c>
      <c r="S45" s="757">
        <f t="shared" si="10"/>
        <v>100</v>
      </c>
      <c r="T45" s="756" t="s">
        <v>25</v>
      </c>
      <c r="U45" s="757">
        <f t="shared" si="11"/>
        <v>100</v>
      </c>
      <c r="V45" s="756" t="s">
        <v>25</v>
      </c>
      <c r="W45" s="757">
        <f t="shared" si="12"/>
        <v>100</v>
      </c>
      <c r="X45" s="758"/>
      <c r="Y45" s="3044"/>
      <c r="Z45" s="759">
        <f t="shared" si="13"/>
        <v>111</v>
      </c>
      <c r="AA45" s="1903">
        <f t="shared" si="3"/>
        <v>1</v>
      </c>
      <c r="AB45" s="1903">
        <f t="shared" si="4"/>
        <v>1</v>
      </c>
      <c r="AC45" s="1903">
        <f t="shared" si="5"/>
        <v>1</v>
      </c>
    </row>
    <row r="46" spans="1:29" ht="15">
      <c r="A46" s="460" t="s">
        <v>2520</v>
      </c>
      <c r="B46" s="2491" t="s">
        <v>2843</v>
      </c>
      <c r="C46" s="665" t="s">
        <v>1</v>
      </c>
      <c r="D46" s="462"/>
      <c r="E46" s="463">
        <f>Sheet1!I6</f>
        <v>2633.49</v>
      </c>
      <c r="F46" s="464"/>
      <c r="G46" s="465">
        <f>Sheet1!I8</f>
        <v>2276</v>
      </c>
      <c r="H46" s="466"/>
      <c r="I46" s="463">
        <f>Sheet1!I18</f>
        <v>2336</v>
      </c>
      <c r="J46" s="466"/>
      <c r="K46" s="762"/>
      <c r="L46" s="1256"/>
      <c r="M46" s="1257"/>
      <c r="N46" s="1244"/>
      <c r="O46" s="1257"/>
      <c r="P46" s="3050" t="str">
        <f>A46</f>
        <v>成交单价</v>
      </c>
      <c r="Q46" s="3050"/>
      <c r="R46" s="3030">
        <f>E46</f>
        <v>2633.49</v>
      </c>
      <c r="S46" s="3030"/>
      <c r="T46" s="3030">
        <f>G46</f>
        <v>2276</v>
      </c>
      <c r="U46" s="3030"/>
      <c r="V46" s="3030">
        <f>I46</f>
        <v>2336</v>
      </c>
      <c r="W46" s="3030"/>
      <c r="X46" s="738"/>
      <c r="Y46" s="760"/>
      <c r="Z46" s="738"/>
      <c r="AA46" s="738"/>
      <c r="AB46" s="738"/>
      <c r="AC46" s="738"/>
    </row>
    <row r="47" spans="1:29" ht="15.75" thickBot="1">
      <c r="A47" s="467" t="s">
        <v>2467</v>
      </c>
      <c r="B47" s="666"/>
      <c r="C47" s="471">
        <f>R48</f>
        <v>1949</v>
      </c>
      <c r="D47" s="470"/>
      <c r="E47" s="471">
        <f>R47</f>
        <v>2131</v>
      </c>
      <c r="F47" s="472"/>
      <c r="G47" s="469">
        <f>T47</f>
        <v>1797</v>
      </c>
      <c r="H47" s="470"/>
      <c r="I47" s="471">
        <f>V47</f>
        <v>1919</v>
      </c>
      <c r="J47" s="470"/>
      <c r="K47" s="763"/>
      <c r="L47" s="1256"/>
      <c r="M47" s="1257"/>
      <c r="N47" s="1257"/>
      <c r="O47" s="1257"/>
      <c r="P47" s="3050" t="str">
        <f>A47</f>
        <v>比较价值（元/平方米）</v>
      </c>
      <c r="Q47" s="3050"/>
      <c r="R47" s="3072">
        <f>ROUND(PRODUCT(R46,AA7:AA45),0)</f>
        <v>2131</v>
      </c>
      <c r="S47" s="3072"/>
      <c r="T47" s="3072">
        <f>ROUND(PRODUCT(T46,AB7:AB45),0)</f>
        <v>1797</v>
      </c>
      <c r="U47" s="3072"/>
      <c r="V47" s="3072">
        <f>ROUND(PRODUCT(V46,AC7:AC45),0)</f>
        <v>1919</v>
      </c>
      <c r="W47" s="3072"/>
      <c r="X47" s="738"/>
      <c r="Y47" s="738"/>
      <c r="Z47" s="738"/>
      <c r="AA47" s="738"/>
      <c r="AB47" s="738"/>
      <c r="AC47" s="738"/>
    </row>
    <row r="48" spans="1:29" ht="15.75" thickBot="1">
      <c r="A48" s="473" t="s">
        <v>2865</v>
      </c>
      <c r="B48" s="474"/>
      <c r="C48" s="475">
        <f>R48</f>
        <v>1949</v>
      </c>
      <c r="D48" s="475"/>
      <c r="E48" s="475"/>
      <c r="F48" s="475"/>
      <c r="G48" s="475"/>
      <c r="H48" s="475"/>
      <c r="I48" s="475"/>
      <c r="J48" s="475"/>
      <c r="K48" s="764"/>
      <c r="L48" s="1256"/>
      <c r="M48" s="1257"/>
      <c r="N48" s="1257"/>
      <c r="O48" s="1257"/>
      <c r="P48" s="3056" t="str">
        <f>A48</f>
        <v>估价对象商业用房的比较价值（楼面单价，元/平方米）</v>
      </c>
      <c r="Q48" s="3057"/>
      <c r="R48" s="3073">
        <f>ROUND(AVERAGE(R47:V47),0)</f>
        <v>1949</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2470</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2471</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t="str">
        <f>项目基本情况!G8</f>
        <v>江西省赣州市</v>
      </c>
      <c r="I55" s="2494" t="s">
        <v>2564</v>
      </c>
      <c r="J55" s="739"/>
      <c r="K55" s="1258"/>
      <c r="L55" s="1258"/>
      <c r="M55" s="1257"/>
      <c r="N55" s="1257"/>
      <c r="O55" s="1257"/>
    </row>
    <row r="56" spans="1:15" s="675" customFormat="1">
      <c r="A56" s="671" t="s">
        <v>2565</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2566</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2567</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2568</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2569</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2570</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2571</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2572</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2573</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2574</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2577</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2736" t="s">
        <v>2834</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2741" t="s">
        <v>2847</v>
      </c>
      <c r="D106" s="2741" t="s">
        <v>2848</v>
      </c>
      <c r="E106" s="2741" t="s">
        <v>2850</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2585</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2586</v>
      </c>
      <c r="C119" s="2743" t="s">
        <v>2853</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2741" t="s">
        <v>2854</v>
      </c>
      <c r="D123" s="2741" t="s">
        <v>2855</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2741" t="s">
        <v>2856</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2857</v>
      </c>
      <c r="D127" s="2741" t="s">
        <v>2856</v>
      </c>
      <c r="E127" s="2741" t="s">
        <v>2858</v>
      </c>
      <c r="F127" s="2741" t="s">
        <v>2859</v>
      </c>
      <c r="G127" s="2741" t="s">
        <v>2860</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33" t="s">
        <v>2348</v>
      </c>
      <c r="D5" s="3034"/>
      <c r="E5" s="3031" t="s">
        <v>2349</v>
      </c>
      <c r="F5" s="3032"/>
      <c r="G5" s="3033" t="s">
        <v>2350</v>
      </c>
      <c r="H5" s="3034"/>
      <c r="I5" s="3033" t="s">
        <v>2351</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40" si="3">D8/F8</f>
        <v>#DIV/0!</v>
      </c>
      <c r="AB8" s="752" t="e">
        <f t="shared" ref="AB8:AB40" si="4">D8/H8</f>
        <v>#DIV/0!</v>
      </c>
      <c r="AC8" s="752" t="e">
        <f t="shared" ref="AC8:AC40" si="5">D8/J8</f>
        <v>#DIV/0!</v>
      </c>
    </row>
    <row r="9" spans="1:29" s="35" customFormat="1">
      <c r="A9" s="395" t="s">
        <v>2359</v>
      </c>
      <c r="B9" s="28" t="s">
        <v>2360</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0"/>
      <c r="Q10" s="1887" t="str">
        <f t="shared" si="6"/>
        <v>土地使用年限（年）</v>
      </c>
      <c r="R10" s="749" t="s">
        <v>25</v>
      </c>
      <c r="S10" s="750">
        <f t="shared" si="0"/>
        <v>115</v>
      </c>
      <c r="T10" s="749" t="s">
        <v>25</v>
      </c>
      <c r="U10" s="750">
        <f t="shared" si="1"/>
        <v>115</v>
      </c>
      <c r="V10" s="749" t="s">
        <v>25</v>
      </c>
      <c r="W10" s="750">
        <f t="shared" si="2"/>
        <v>115</v>
      </c>
      <c r="X10" s="751"/>
      <c r="Y10" s="2865"/>
      <c r="Z10" s="23" t="str">
        <f t="shared" si="7"/>
        <v>土地使用年限（年）</v>
      </c>
      <c r="AA10" s="752">
        <f t="shared" si="3"/>
        <v>0.86956521739130432</v>
      </c>
      <c r="AB10" s="752">
        <f t="shared" si="4"/>
        <v>0.86956521739130432</v>
      </c>
      <c r="AC10" s="752">
        <f t="shared" si="5"/>
        <v>0.86956521739130432</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2365</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9" t="s">
        <v>2366</v>
      </c>
      <c r="Q15" s="1899" t="str">
        <f t="shared" si="6"/>
        <v>产业集聚程度</v>
      </c>
      <c r="R15" s="753" t="s">
        <v>25</v>
      </c>
      <c r="S15" s="754">
        <f t="shared" si="0"/>
        <v>100</v>
      </c>
      <c r="T15" s="753" t="s">
        <v>25</v>
      </c>
      <c r="U15" s="754">
        <f t="shared" si="1"/>
        <v>100</v>
      </c>
      <c r="V15" s="753" t="s">
        <v>25</v>
      </c>
      <c r="W15" s="754">
        <f t="shared" si="2"/>
        <v>100</v>
      </c>
      <c r="X15" s="1900"/>
      <c r="Y15" s="303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0"/>
      <c r="Q19" s="1899" t="str">
        <f t="shared" ref="Q19:Q33" si="8">B19</f>
        <v>区域土地利用方向</v>
      </c>
      <c r="R19" s="753" t="s">
        <v>25</v>
      </c>
      <c r="S19" s="754">
        <f>F19</f>
        <v>100</v>
      </c>
      <c r="T19" s="753" t="s">
        <v>25</v>
      </c>
      <c r="U19" s="754">
        <f>H19</f>
        <v>100</v>
      </c>
      <c r="V19" s="753" t="s">
        <v>25</v>
      </c>
      <c r="W19" s="754">
        <f>J19</f>
        <v>100</v>
      </c>
      <c r="X19" s="1900"/>
      <c r="Y19" s="304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0"/>
      <c r="Q20" s="1899"/>
      <c r="R20" s="753"/>
      <c r="S20" s="754"/>
      <c r="T20" s="753"/>
      <c r="U20" s="754"/>
      <c r="V20" s="753"/>
      <c r="W20" s="754"/>
      <c r="X20" s="1900"/>
      <c r="Y20" s="3040"/>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0"/>
      <c r="Q21" s="1899" t="str">
        <f t="shared" si="8"/>
        <v>环境状况</v>
      </c>
      <c r="R21" s="753" t="s">
        <v>25</v>
      </c>
      <c r="S21" s="754">
        <f>F21</f>
        <v>100</v>
      </c>
      <c r="T21" s="753" t="s">
        <v>25</v>
      </c>
      <c r="U21" s="754">
        <f>H21</f>
        <v>100</v>
      </c>
      <c r="V21" s="753" t="s">
        <v>25</v>
      </c>
      <c r="W21" s="754">
        <f>J21</f>
        <v>100</v>
      </c>
      <c r="X21" s="1900"/>
      <c r="Y21" s="304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0"/>
      <c r="Q23" s="1887" t="str">
        <f t="shared" si="8"/>
        <v>公共配套设施</v>
      </c>
      <c r="R23" s="749" t="s">
        <v>25</v>
      </c>
      <c r="S23" s="750">
        <f>F23</f>
        <v>100</v>
      </c>
      <c r="T23" s="749" t="s">
        <v>25</v>
      </c>
      <c r="U23" s="750">
        <f>H23</f>
        <v>100</v>
      </c>
      <c r="V23" s="749" t="s">
        <v>25</v>
      </c>
      <c r="W23" s="750">
        <f>J23</f>
        <v>100</v>
      </c>
      <c r="X23" s="751"/>
      <c r="Y23" s="3040"/>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0"/>
      <c r="Q24" s="1887"/>
      <c r="R24" s="749"/>
      <c r="S24" s="750"/>
      <c r="T24" s="749"/>
      <c r="U24" s="750"/>
      <c r="V24" s="749"/>
      <c r="W24" s="750"/>
      <c r="X24" s="751"/>
      <c r="Y24" s="3040"/>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0"/>
      <c r="Q25" s="1887"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0"/>
      <c r="Q26" s="1887"/>
      <c r="R26" s="749"/>
      <c r="S26" s="750"/>
      <c r="T26" s="749"/>
      <c r="U26" s="750"/>
      <c r="V26" s="749"/>
      <c r="W26" s="750"/>
      <c r="X26" s="751"/>
      <c r="Y26" s="304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0"/>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0"/>
      <c r="Q28" s="1899" t="str">
        <f t="shared" si="8"/>
        <v>毗邻道路的类型与等级</v>
      </c>
      <c r="R28" s="753" t="s">
        <v>25</v>
      </c>
      <c r="S28" s="754">
        <f t="shared" si="10"/>
        <v>100</v>
      </c>
      <c r="T28" s="753" t="s">
        <v>25</v>
      </c>
      <c r="U28" s="754">
        <f t="shared" si="11"/>
        <v>100</v>
      </c>
      <c r="V28" s="753" t="s">
        <v>25</v>
      </c>
      <c r="W28" s="754">
        <f t="shared" si="12"/>
        <v>100</v>
      </c>
      <c r="X28" s="1900"/>
      <c r="Y28" s="304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0"/>
      <c r="Q29" s="1899"/>
      <c r="R29" s="753"/>
      <c r="S29" s="754"/>
      <c r="T29" s="753"/>
      <c r="U29" s="754"/>
      <c r="V29" s="753"/>
      <c r="W29" s="754"/>
      <c r="X29" s="1900"/>
      <c r="Y29" s="304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0"/>
      <c r="Q30" s="1899" t="str">
        <f t="shared" si="8"/>
        <v>土地级别</v>
      </c>
      <c r="R30" s="753" t="s">
        <v>25</v>
      </c>
      <c r="S30" s="754">
        <f t="shared" si="10"/>
        <v>100</v>
      </c>
      <c r="T30" s="753" t="s">
        <v>25</v>
      </c>
      <c r="U30" s="754">
        <f t="shared" si="11"/>
        <v>100</v>
      </c>
      <c r="V30" s="753" t="s">
        <v>25</v>
      </c>
      <c r="W30" s="754">
        <f t="shared" si="12"/>
        <v>100</v>
      </c>
      <c r="X30" s="1900"/>
      <c r="Y30" s="3040"/>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0"/>
      <c r="Q31" s="1899">
        <f t="shared" si="8"/>
        <v>111</v>
      </c>
      <c r="R31" s="753" t="s">
        <v>25</v>
      </c>
      <c r="S31" s="754">
        <f t="shared" si="10"/>
        <v>100</v>
      </c>
      <c r="T31" s="753" t="s">
        <v>25</v>
      </c>
      <c r="U31" s="754">
        <f t="shared" si="11"/>
        <v>100</v>
      </c>
      <c r="V31" s="753" t="s">
        <v>25</v>
      </c>
      <c r="W31" s="754">
        <f t="shared" si="12"/>
        <v>100</v>
      </c>
      <c r="X31" s="1900"/>
      <c r="Y31" s="3040"/>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44"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4"/>
      <c r="Q33" s="1899">
        <f t="shared" si="8"/>
        <v>111</v>
      </c>
      <c r="R33" s="756" t="s">
        <v>25</v>
      </c>
      <c r="S33" s="757">
        <f t="shared" si="10"/>
        <v>100</v>
      </c>
      <c r="T33" s="756" t="s">
        <v>25</v>
      </c>
      <c r="U33" s="757">
        <f t="shared" si="11"/>
        <v>100</v>
      </c>
      <c r="V33" s="756" t="s">
        <v>25</v>
      </c>
      <c r="W33" s="757">
        <f t="shared" si="12"/>
        <v>100</v>
      </c>
      <c r="X33" s="758"/>
      <c r="Y33" s="304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4"/>
      <c r="Q34" s="1899" t="str">
        <f>B34</f>
        <v>宗地面积</v>
      </c>
      <c r="R34" s="753" t="s">
        <v>25</v>
      </c>
      <c r="S34" s="754" t="e">
        <f t="shared" si="10"/>
        <v>#N/A</v>
      </c>
      <c r="T34" s="753" t="s">
        <v>25</v>
      </c>
      <c r="U34" s="754" t="e">
        <f t="shared" si="11"/>
        <v>#N/A</v>
      </c>
      <c r="V34" s="753" t="s">
        <v>25</v>
      </c>
      <c r="W34" s="754" t="e">
        <f t="shared" si="12"/>
        <v>#N/A</v>
      </c>
      <c r="X34" s="1900"/>
      <c r="Y34" s="3044"/>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4"/>
      <c r="Q35" s="1899" t="str">
        <f t="shared" ref="Q35:Q40" si="14">B35</f>
        <v>宗地形状</v>
      </c>
      <c r="R35" s="753" t="s">
        <v>25</v>
      </c>
      <c r="S35" s="754">
        <f t="shared" si="10"/>
        <v>100</v>
      </c>
      <c r="T35" s="753" t="s">
        <v>25</v>
      </c>
      <c r="U35" s="754">
        <f t="shared" si="11"/>
        <v>100</v>
      </c>
      <c r="V35" s="753" t="s">
        <v>25</v>
      </c>
      <c r="W35" s="754">
        <f t="shared" si="12"/>
        <v>100</v>
      </c>
      <c r="X35" s="1900"/>
      <c r="Y35" s="3044"/>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4"/>
      <c r="Q36" s="1899"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4" t="s">
        <v>2372</v>
      </c>
      <c r="Q37" s="1899" t="str">
        <f t="shared" si="14"/>
        <v>工程地质条件</v>
      </c>
      <c r="R37" s="753" t="s">
        <v>25</v>
      </c>
      <c r="S37" s="754">
        <f t="shared" si="10"/>
        <v>100</v>
      </c>
      <c r="T37" s="753" t="s">
        <v>25</v>
      </c>
      <c r="U37" s="754">
        <f t="shared" si="11"/>
        <v>100</v>
      </c>
      <c r="V37" s="753" t="s">
        <v>25</v>
      </c>
      <c r="W37" s="754">
        <f t="shared" si="12"/>
        <v>100</v>
      </c>
      <c r="X37" s="1900"/>
      <c r="Y37" s="3044"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4"/>
      <c r="Q38" s="1899">
        <f t="shared" si="14"/>
        <v>111</v>
      </c>
      <c r="R38" s="753" t="s">
        <v>25</v>
      </c>
      <c r="S38" s="754">
        <f t="shared" si="10"/>
        <v>100</v>
      </c>
      <c r="T38" s="753" t="s">
        <v>25</v>
      </c>
      <c r="U38" s="754">
        <f t="shared" si="11"/>
        <v>100</v>
      </c>
      <c r="V38" s="753" t="s">
        <v>25</v>
      </c>
      <c r="W38" s="754">
        <f t="shared" si="12"/>
        <v>100</v>
      </c>
      <c r="X38" s="1900"/>
      <c r="Y38" s="3044"/>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4"/>
      <c r="Q39" s="1899">
        <f t="shared" si="14"/>
        <v>111</v>
      </c>
      <c r="R39" s="753" t="s">
        <v>25</v>
      </c>
      <c r="S39" s="754">
        <f t="shared" si="10"/>
        <v>100</v>
      </c>
      <c r="T39" s="753" t="s">
        <v>25</v>
      </c>
      <c r="U39" s="754">
        <f t="shared" si="11"/>
        <v>100</v>
      </c>
      <c r="V39" s="753" t="s">
        <v>25</v>
      </c>
      <c r="W39" s="754">
        <f t="shared" si="12"/>
        <v>100</v>
      </c>
      <c r="X39" s="1900"/>
      <c r="Y39" s="3044"/>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4"/>
      <c r="Q40" s="1899">
        <f t="shared" si="14"/>
        <v>111</v>
      </c>
      <c r="R40" s="756" t="s">
        <v>25</v>
      </c>
      <c r="S40" s="757">
        <f t="shared" si="10"/>
        <v>100</v>
      </c>
      <c r="T40" s="756" t="s">
        <v>25</v>
      </c>
      <c r="U40" s="757">
        <f t="shared" si="11"/>
        <v>100</v>
      </c>
      <c r="V40" s="756" t="s">
        <v>25</v>
      </c>
      <c r="W40" s="757">
        <f t="shared" si="12"/>
        <v>100</v>
      </c>
      <c r="X40" s="758"/>
      <c r="Y40" s="3044"/>
      <c r="Z40" s="759">
        <f t="shared" si="13"/>
        <v>111</v>
      </c>
      <c r="AA40" s="1903">
        <f t="shared" si="3"/>
        <v>1</v>
      </c>
      <c r="AB40" s="1903">
        <f t="shared" si="4"/>
        <v>1</v>
      </c>
      <c r="AC40" s="1903">
        <f t="shared" si="5"/>
        <v>1</v>
      </c>
    </row>
    <row r="41" spans="1:29" ht="15">
      <c r="A41" s="460" t="s">
        <v>2520</v>
      </c>
      <c r="B41" s="2491" t="s">
        <v>2594</v>
      </c>
      <c r="C41" s="665" t="s">
        <v>1</v>
      </c>
      <c r="D41" s="462"/>
      <c r="E41" s="463"/>
      <c r="F41" s="464"/>
      <c r="G41" s="465"/>
      <c r="H41" s="466"/>
      <c r="I41" s="463"/>
      <c r="J41" s="466"/>
      <c r="K41" s="762"/>
      <c r="L41" s="1256"/>
      <c r="M41" s="1244"/>
      <c r="N41" s="1244"/>
      <c r="O41" s="1257"/>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6" t="str">
        <f>A43</f>
        <v>估价对象XX用房的比较价值（楼面单价，元/平方米）</v>
      </c>
      <c r="Q43" s="3057"/>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t="str">
        <f>项目基本情况!G8</f>
        <v>江西省赣州市</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2596</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估价对象为江西省赣州市房地产，为赣州市君成亿置业有限公司所有。根据《不动产权证书》[]，估价对象建筑面积为24.62平方米，（分摊）出让国有建设用地使用权面积为平方米。估价对象用途为。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f>项目基本情况!F9</f>
        <v>0</v>
      </c>
      <c r="H2" s="2511" t="s">
        <v>2609</v>
      </c>
      <c r="I2" s="2510">
        <f>项目基本情况!F10</f>
        <v>0</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4"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5"/>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2633</v>
      </c>
      <c r="X8" s="3088"/>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5"/>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ROUND(IF(H19="按公示增长率计算",SUMPRODUCT((地价!A3:A23=YEAR(G19)&amp;"-"&amp;ROUNDUP(MONTH(G19)/3,0))*(地价!X2:AB2=E2)*(地价!X3:AB23)),IF(H19="地价指数",M20/M19,(1+I19)^O19)),4)</f>
        <v>#DIV/0!</v>
      </c>
      <c r="D19" s="2584" t="s">
        <v>2690</v>
      </c>
      <c r="E19" s="953">
        <v>41640</v>
      </c>
      <c r="F19" s="2584" t="s">
        <v>2691</v>
      </c>
      <c r="G19" s="954">
        <f>'数据-取费表'!B2</f>
        <v>43322</v>
      </c>
      <c r="H19" s="2585" t="s">
        <v>2692</v>
      </c>
      <c r="I19" s="955" t="str">
        <f>IF(H19="季度增幅（自定义）",SUMIF(N21:N24,E2,O21:O24),"")</f>
        <v/>
      </c>
      <c r="J19" s="2581"/>
      <c r="K19" s="2582"/>
      <c r="L19" s="2586" t="s">
        <v>2693</v>
      </c>
      <c r="M19" s="1826">
        <f>ROUND(SUMIF(地价!B2:F2,E2,地价!B23:F23),0)</f>
        <v>0</v>
      </c>
      <c r="N19" s="1466" t="s">
        <v>2694</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31.42</v>
      </c>
      <c r="J20" s="965">
        <f>IF(E2="住宅",70,IF(E2="商业",40,50))</f>
        <v>50</v>
      </c>
      <c r="K20" s="2582"/>
      <c r="L20" s="2593" t="s">
        <v>2699</v>
      </c>
      <c r="M20" s="1827">
        <f>ROUND(SUMPRODUCT((地价!A4:A23=YEAR(G19)&amp;"-"&amp;ROUNDUP(MONTH(G19)/3,0))*(地价!B2:F2=E2)*(地价!B4:F23)),0)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v>
      </c>
      <c r="D23" s="2562"/>
      <c r="E23" s="2562"/>
      <c r="F23" s="2604"/>
      <c r="G23" s="2605"/>
      <c r="H23" s="2606"/>
      <c r="I23" s="2607"/>
      <c r="J23" s="2608"/>
      <c r="N23" s="2601" t="s">
        <v>2710</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4" t="s">
        <v>2731</v>
      </c>
      <c r="B33" s="2648" t="s">
        <v>2732</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3" t="s">
        <v>2733</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3" t="s">
        <v>2734</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3" t="s">
        <v>2735</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2757</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2758</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2767</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2758</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2767</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2774</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2758</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2767</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2404</v>
      </c>
      <c r="K80" s="587" t="s">
        <v>2405</v>
      </c>
      <c r="L80" s="587" t="s">
        <v>2406</v>
      </c>
      <c r="M80" s="587" t="s">
        <v>2407</v>
      </c>
      <c r="N80" s="587" t="s">
        <v>2408</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6" t="s">
        <v>2780</v>
      </c>
      <c r="B90" s="3076"/>
      <c r="C90" s="3076"/>
      <c r="D90" s="3076"/>
      <c r="E90" s="3076"/>
      <c r="F90" s="3076"/>
      <c r="G90" s="3076"/>
      <c r="H90" s="3076"/>
      <c r="I90" s="3076"/>
      <c r="J90" s="3076"/>
      <c r="K90" s="2686"/>
      <c r="L90" s="2686"/>
      <c r="M90" s="2686"/>
      <c r="N90" s="2686"/>
    </row>
    <row r="91" spans="1:37">
      <c r="A91" s="3078" t="s">
        <v>2781</v>
      </c>
      <c r="B91" s="3078" t="s">
        <v>2782</v>
      </c>
      <c r="C91" s="2634" t="s">
        <v>2783</v>
      </c>
      <c r="D91" s="2635"/>
      <c r="E91" s="2635"/>
      <c r="F91" s="2635"/>
      <c r="G91" s="2635"/>
      <c r="H91" s="2635"/>
      <c r="I91" s="2635"/>
      <c r="J91" s="2687"/>
      <c r="K91" s="2688"/>
      <c r="L91" s="2688"/>
      <c r="M91" s="2688"/>
      <c r="N91" s="2688"/>
    </row>
    <row r="92" spans="1:37">
      <c r="A92" s="3078"/>
      <c r="B92" s="307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9"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0"/>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9"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0"/>
      <c r="B108" s="3082"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1"/>
      <c r="B109" s="308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7" t="s">
        <v>2788</v>
      </c>
      <c r="B110" s="3077"/>
      <c r="C110" s="3077"/>
      <c r="D110" s="3077"/>
      <c r="E110" s="3077"/>
      <c r="F110" s="3077"/>
      <c r="G110" s="3077"/>
      <c r="H110" s="3077"/>
      <c r="I110" s="3077"/>
      <c r="J110" s="3077"/>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f>G2</f>
        <v>0</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1033</v>
      </c>
      <c r="C1" s="3106"/>
      <c r="D1" s="3106"/>
      <c r="E1" s="3106"/>
      <c r="F1" s="3106"/>
      <c r="G1" s="3105" t="s">
        <v>1034</v>
      </c>
      <c r="H1" s="3105"/>
      <c r="I1" s="3105"/>
      <c r="J1" s="3105"/>
      <c r="K1" s="3105"/>
      <c r="L1" s="3105"/>
      <c r="N1" s="3105" t="s">
        <v>1035</v>
      </c>
      <c r="O1" s="3105"/>
      <c r="P1" s="3105"/>
      <c r="Q1" s="3105"/>
      <c r="R1" s="1548"/>
      <c r="S1" s="3105" t="s">
        <v>1036</v>
      </c>
      <c r="T1" s="3105"/>
      <c r="U1" s="3105"/>
      <c r="V1" s="3105"/>
      <c r="X1" s="3104" t="s">
        <v>1037</v>
      </c>
      <c r="Y1" s="3105"/>
      <c r="Z1" s="3105"/>
      <c r="AA1" s="3105"/>
      <c r="AB1" s="3105"/>
      <c r="AD1" s="3104" t="s">
        <v>1038</v>
      </c>
      <c r="AE1" s="3105"/>
      <c r="AF1" s="3105"/>
      <c r="AG1" s="3105"/>
      <c r="AH1" s="3105"/>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2810</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2809</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2818</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2814</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2811</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2806</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2874</v>
      </c>
      <c r="B1" t="s">
        <v>2875</v>
      </c>
      <c r="C1" t="s">
        <v>2876</v>
      </c>
      <c r="D1" t="s">
        <v>2877</v>
      </c>
      <c r="E1" t="s">
        <v>2878</v>
      </c>
      <c r="F1" t="s">
        <v>2879</v>
      </c>
      <c r="G1" t="s">
        <v>2880</v>
      </c>
      <c r="H1" t="s">
        <v>2881</v>
      </c>
      <c r="I1" t="s">
        <v>2882</v>
      </c>
    </row>
    <row r="2" spans="1:10">
      <c r="A2">
        <v>1</v>
      </c>
      <c r="B2" s="2746" t="s">
        <v>2883</v>
      </c>
      <c r="C2" s="2747" t="s">
        <v>2884</v>
      </c>
      <c r="D2" s="2748">
        <v>42641</v>
      </c>
      <c r="E2" s="2749">
        <v>4919.5</v>
      </c>
      <c r="F2" s="2749">
        <v>13774.6</v>
      </c>
      <c r="G2" s="2749" t="s">
        <v>2885</v>
      </c>
      <c r="H2" s="2749">
        <v>2989.43</v>
      </c>
      <c r="I2" s="2749">
        <v>6076.69</v>
      </c>
    </row>
    <row r="3" spans="1:10">
      <c r="A3">
        <v>2</v>
      </c>
      <c r="B3" s="2746" t="s">
        <v>2886</v>
      </c>
      <c r="C3" s="2746" t="s">
        <v>2887</v>
      </c>
      <c r="D3" s="2748">
        <v>43082</v>
      </c>
      <c r="E3" s="2749">
        <v>27479.1</v>
      </c>
      <c r="F3" s="2749">
        <v>118160.1</v>
      </c>
      <c r="G3" s="2749" t="s">
        <v>2888</v>
      </c>
      <c r="H3" s="2749">
        <v>25689.66</v>
      </c>
      <c r="I3" s="2749">
        <v>9348.7999999999993</v>
      </c>
    </row>
    <row r="4" spans="1:10">
      <c r="A4">
        <v>3</v>
      </c>
      <c r="B4" s="2746" t="s">
        <v>2889</v>
      </c>
      <c r="C4" s="2747" t="s">
        <v>2884</v>
      </c>
      <c r="D4" s="2748">
        <v>43112</v>
      </c>
      <c r="E4" s="2749">
        <v>16949.900000000001</v>
      </c>
      <c r="F4" s="2749">
        <v>93224.45</v>
      </c>
      <c r="G4" s="2749" t="s">
        <v>2890</v>
      </c>
      <c r="H4" s="2749">
        <v>27991.91</v>
      </c>
      <c r="I4" s="2749">
        <v>16514.5</v>
      </c>
    </row>
    <row r="5" spans="1:10">
      <c r="A5">
        <v>4</v>
      </c>
      <c r="B5" s="2746" t="s">
        <v>2891</v>
      </c>
      <c r="C5" s="2746" t="s">
        <v>2892</v>
      </c>
      <c r="D5" s="2748">
        <v>42676</v>
      </c>
      <c r="E5" s="2749">
        <v>1698.6</v>
      </c>
      <c r="F5" s="2749">
        <v>5945.1</v>
      </c>
      <c r="G5" s="2749" t="s">
        <v>2893</v>
      </c>
      <c r="H5" s="2749">
        <v>1133.44</v>
      </c>
      <c r="I5" s="2749">
        <v>6672.79</v>
      </c>
    </row>
    <row r="6" spans="1:10" s="2750" customFormat="1">
      <c r="A6" s="2750">
        <v>5</v>
      </c>
      <c r="B6" s="2751" t="s">
        <v>2894</v>
      </c>
      <c r="C6" s="2752" t="s">
        <v>2895</v>
      </c>
      <c r="D6" s="2753">
        <v>43215</v>
      </c>
      <c r="E6" s="2754">
        <v>36050.5</v>
      </c>
      <c r="F6" s="2754">
        <v>90126.25</v>
      </c>
      <c r="G6" s="2754" t="s">
        <v>2896</v>
      </c>
      <c r="H6" s="2754">
        <v>9493.8700000000008</v>
      </c>
      <c r="I6" s="2754">
        <v>2633.49</v>
      </c>
    </row>
    <row r="7" spans="1:10">
      <c r="A7">
        <v>6</v>
      </c>
      <c r="B7" s="2746" t="s">
        <v>2897</v>
      </c>
      <c r="C7" s="2746" t="s">
        <v>2887</v>
      </c>
      <c r="D7" s="2748">
        <v>43047</v>
      </c>
      <c r="E7" s="2749">
        <v>25243.5</v>
      </c>
      <c r="F7" s="2749">
        <v>106022.7</v>
      </c>
      <c r="G7" s="2749" t="s">
        <v>2898</v>
      </c>
      <c r="H7" s="2749">
        <v>23674.959999999999</v>
      </c>
      <c r="I7" s="2749">
        <v>9378.64</v>
      </c>
      <c r="J7" t="s">
        <v>2899</v>
      </c>
    </row>
    <row r="8" spans="1:10" s="2750" customFormat="1">
      <c r="A8" s="2750">
        <v>7</v>
      </c>
      <c r="B8" s="2751" t="s">
        <v>2900</v>
      </c>
      <c r="C8" s="2751" t="s">
        <v>2830</v>
      </c>
      <c r="D8" s="2753">
        <v>42987</v>
      </c>
      <c r="E8" s="2754">
        <v>8310</v>
      </c>
      <c r="F8" s="2754">
        <v>13296</v>
      </c>
      <c r="G8" s="2754" t="s">
        <v>2901</v>
      </c>
      <c r="H8" s="2754">
        <v>1891.36</v>
      </c>
      <c r="I8" s="2754">
        <v>2276</v>
      </c>
    </row>
    <row r="9" spans="1:10">
      <c r="A9">
        <v>8</v>
      </c>
      <c r="B9" s="2746" t="s">
        <v>2902</v>
      </c>
      <c r="C9" s="2746" t="s">
        <v>2903</v>
      </c>
      <c r="D9" s="2748">
        <v>43028</v>
      </c>
      <c r="E9" s="2749">
        <v>25862.400000000001</v>
      </c>
      <c r="F9" s="2749">
        <v>2586.2399999999998</v>
      </c>
      <c r="G9" s="2749" t="s">
        <v>2904</v>
      </c>
      <c r="H9" s="2749">
        <v>1920.29</v>
      </c>
      <c r="I9" s="2749">
        <v>742.5</v>
      </c>
    </row>
    <row r="10" spans="1:10">
      <c r="A10">
        <v>9</v>
      </c>
      <c r="B10" s="2746" t="s">
        <v>2905</v>
      </c>
      <c r="C10" s="2747" t="s">
        <v>2906</v>
      </c>
      <c r="D10" s="2748">
        <v>43133</v>
      </c>
      <c r="E10" s="2749">
        <v>120000</v>
      </c>
      <c r="F10" s="2749">
        <v>96000</v>
      </c>
      <c r="G10" s="2749" t="s">
        <v>2907</v>
      </c>
      <c r="H10" s="2749">
        <v>15883.26</v>
      </c>
      <c r="I10" s="2749">
        <v>1323.61</v>
      </c>
    </row>
    <row r="11" spans="1:10">
      <c r="A11">
        <v>10</v>
      </c>
      <c r="B11" s="2746" t="s">
        <v>2908</v>
      </c>
      <c r="C11" s="2746" t="s">
        <v>2887</v>
      </c>
      <c r="D11" s="2748">
        <v>43047</v>
      </c>
      <c r="E11" s="2749">
        <v>28799</v>
      </c>
      <c r="F11" s="2749">
        <v>115196</v>
      </c>
      <c r="G11" s="2749" t="s">
        <v>2909</v>
      </c>
      <c r="H11" s="2749">
        <v>26531.08</v>
      </c>
      <c r="I11" s="2749">
        <v>9212.5</v>
      </c>
    </row>
    <row r="12" spans="1:10">
      <c r="A12">
        <v>11</v>
      </c>
      <c r="B12" s="2747" t="s">
        <v>2910</v>
      </c>
      <c r="C12" s="2746" t="s">
        <v>2830</v>
      </c>
      <c r="D12" s="2748">
        <v>43273</v>
      </c>
      <c r="E12" s="2749">
        <v>9361</v>
      </c>
      <c r="F12" s="2749">
        <v>14977.6</v>
      </c>
      <c r="G12" s="2749" t="s">
        <v>2911</v>
      </c>
      <c r="H12" s="2749">
        <v>6322.1</v>
      </c>
      <c r="I12" s="2749">
        <v>6753.66</v>
      </c>
    </row>
    <row r="13" spans="1:10">
      <c r="A13">
        <v>12</v>
      </c>
      <c r="B13" s="2747" t="s">
        <v>2912</v>
      </c>
      <c r="C13" s="2746" t="s">
        <v>2830</v>
      </c>
      <c r="D13" s="2748">
        <v>43026</v>
      </c>
      <c r="E13" s="2749">
        <v>4231</v>
      </c>
      <c r="F13" s="2749">
        <v>3384.8</v>
      </c>
      <c r="G13" s="2749" t="s">
        <v>2913</v>
      </c>
      <c r="H13" s="2749">
        <v>7700.28</v>
      </c>
      <c r="I13" s="2749">
        <v>18199.669999999998</v>
      </c>
    </row>
    <row r="14" spans="1:10">
      <c r="A14">
        <v>13</v>
      </c>
      <c r="B14" s="2746" t="s">
        <v>2914</v>
      </c>
      <c r="C14" s="2746" t="s">
        <v>2830</v>
      </c>
      <c r="D14" s="2748">
        <v>43021</v>
      </c>
      <c r="E14" s="2749">
        <v>17148</v>
      </c>
      <c r="F14" s="2749">
        <v>3429.6</v>
      </c>
      <c r="G14" s="2749" t="s">
        <v>2915</v>
      </c>
      <c r="H14" s="2749">
        <v>5367.55</v>
      </c>
      <c r="I14" s="2749">
        <v>3130.13</v>
      </c>
    </row>
    <row r="15" spans="1:10">
      <c r="A15">
        <v>14</v>
      </c>
      <c r="B15" s="2746" t="s">
        <v>2914</v>
      </c>
      <c r="C15" s="2746" t="s">
        <v>2903</v>
      </c>
      <c r="D15" s="2748">
        <v>43026</v>
      </c>
      <c r="E15" s="2749">
        <v>16296</v>
      </c>
      <c r="F15" s="2749">
        <v>16296</v>
      </c>
      <c r="G15" s="2749" t="s">
        <v>2916</v>
      </c>
      <c r="H15" s="2749">
        <v>3741.56</v>
      </c>
      <c r="I15" s="2749">
        <v>2296</v>
      </c>
    </row>
    <row r="16" spans="1:10">
      <c r="A16">
        <v>15</v>
      </c>
      <c r="B16" s="2747" t="s">
        <v>2917</v>
      </c>
      <c r="C16" s="2746" t="s">
        <v>2903</v>
      </c>
      <c r="D16" s="2748">
        <v>42725</v>
      </c>
      <c r="E16" s="2749">
        <v>30633</v>
      </c>
      <c r="F16" s="2749">
        <v>91899</v>
      </c>
      <c r="G16" s="2749" t="s">
        <v>2918</v>
      </c>
      <c r="H16" s="2749">
        <v>14083.52</v>
      </c>
      <c r="I16" s="2749">
        <v>4597.5</v>
      </c>
    </row>
    <row r="17" spans="1:9">
      <c r="A17">
        <v>16</v>
      </c>
      <c r="B17" s="2746" t="s">
        <v>2919</v>
      </c>
      <c r="C17" s="2746" t="s">
        <v>2903</v>
      </c>
      <c r="D17" s="2748">
        <v>42510</v>
      </c>
      <c r="E17" s="2749">
        <v>6913</v>
      </c>
      <c r="F17" s="2749">
        <v>17282.5</v>
      </c>
      <c r="G17" s="2749" t="s">
        <v>2920</v>
      </c>
      <c r="H17" s="2749">
        <v>2262.89</v>
      </c>
      <c r="I17" s="2749">
        <v>3273.38</v>
      </c>
    </row>
    <row r="18" spans="1:9" s="2750" customFormat="1">
      <c r="A18" s="2750">
        <v>17</v>
      </c>
      <c r="B18" s="2751" t="s">
        <v>2921</v>
      </c>
      <c r="C18" s="2751" t="s">
        <v>2830</v>
      </c>
      <c r="D18" s="2753">
        <v>43096</v>
      </c>
      <c r="E18" s="2754">
        <v>9606</v>
      </c>
      <c r="F18" s="2754">
        <v>9606</v>
      </c>
      <c r="G18" s="2754" t="s">
        <v>2916</v>
      </c>
      <c r="H18" s="2754">
        <v>2243.96</v>
      </c>
      <c r="I18" s="2754">
        <v>2336</v>
      </c>
    </row>
    <row r="19" spans="1:9">
      <c r="A19">
        <v>18</v>
      </c>
      <c r="B19" s="2746" t="s">
        <v>2922</v>
      </c>
      <c r="C19" s="2746" t="s">
        <v>2903</v>
      </c>
      <c r="D19" s="2748">
        <v>43273</v>
      </c>
      <c r="E19" s="2749">
        <v>6477</v>
      </c>
      <c r="F19" s="2749">
        <v>6477</v>
      </c>
      <c r="G19" s="2749" t="s">
        <v>2916</v>
      </c>
      <c r="H19" s="2749">
        <v>530.15</v>
      </c>
      <c r="I19" s="2749">
        <v>818.51</v>
      </c>
    </row>
    <row r="20" spans="1:9">
      <c r="A20">
        <v>19</v>
      </c>
      <c r="B20" s="2746" t="s">
        <v>2922</v>
      </c>
      <c r="C20" s="2746" t="s">
        <v>2903</v>
      </c>
      <c r="D20" s="2748">
        <v>43098</v>
      </c>
      <c r="E20" s="2749">
        <v>3334</v>
      </c>
      <c r="F20" s="2749">
        <v>2667.2</v>
      </c>
      <c r="G20" s="2749" t="s">
        <v>2913</v>
      </c>
      <c r="H20" s="2749">
        <v>247.05</v>
      </c>
      <c r="I20" s="2749">
        <v>741</v>
      </c>
    </row>
    <row r="21" spans="1:9">
      <c r="A21">
        <v>20</v>
      </c>
      <c r="B21" s="2746" t="s">
        <v>2923</v>
      </c>
      <c r="C21" s="2747" t="s">
        <v>2884</v>
      </c>
      <c r="D21" s="2748">
        <v>43117</v>
      </c>
      <c r="E21" s="2749">
        <v>41774.46</v>
      </c>
      <c r="F21" s="2749">
        <v>104436.1</v>
      </c>
      <c r="G21" s="2749" t="s">
        <v>2924</v>
      </c>
      <c r="H21" s="2749">
        <v>8033.03</v>
      </c>
      <c r="I21" s="2749">
        <v>1922.95</v>
      </c>
    </row>
  </sheetData>
  <phoneticPr fontId="14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783</v>
      </c>
      <c r="D5" s="2760"/>
      <c r="E5" s="1927"/>
    </row>
    <row r="6" spans="1:5" ht="14.25">
      <c r="A6" s="1927"/>
      <c r="B6" s="1932" t="str">
        <f>项目基本情况!I1</f>
        <v>江西省赣州市房地产</v>
      </c>
      <c r="C6" s="2761">
        <f>项目基本情况!C12</f>
        <v>24.62</v>
      </c>
      <c r="D6" s="2761"/>
      <c r="E6" s="1927"/>
    </row>
    <row r="7" spans="1:5" ht="14.25">
      <c r="A7" s="1927"/>
      <c r="B7" s="2755" t="s">
        <v>784</v>
      </c>
      <c r="C7" s="1933" t="str">
        <f>IF('数据-取费表'!B3="万元","总价（万元）","总价（元）")</f>
        <v>总价（元）</v>
      </c>
      <c r="D7" s="1934">
        <f ca="1">IF('数据-取费表'!E3="否",结果表!I102,'结果表 (1修多)'!I103)</f>
        <v>157666</v>
      </c>
      <c r="E7" s="1927"/>
    </row>
    <row r="8" spans="1:5" ht="28.5">
      <c r="A8" s="1927"/>
      <c r="B8" s="2755"/>
      <c r="C8" s="1935" t="s">
        <v>1175</v>
      </c>
      <c r="D8" s="1936" t="str">
        <f ca="1">IF('数据-取费表'!B3="万元",NUMBERSTRING(INT(D7*10000),2)&amp;"元整",NUMBERSTRING(INT(D7),2)&amp;"元整")</f>
        <v>壹拾伍万柒仟陆佰陆拾陆元整</v>
      </c>
      <c r="E8" s="1927"/>
    </row>
    <row r="9" spans="1:5" ht="14.25">
      <c r="A9" s="1927"/>
      <c r="B9" s="2755"/>
      <c r="C9" s="1937" t="s">
        <v>1274</v>
      </c>
      <c r="D9" s="1934">
        <f ca="1">IF('数据-取费表'!E3="否",结果表!I103,'结果表 (1修多)'!I104)</f>
        <v>6404</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157666</v>
      </c>
      <c r="E15" s="1927"/>
    </row>
    <row r="16" spans="1:5" ht="28.5">
      <c r="A16" s="1927"/>
      <c r="B16" s="2762"/>
      <c r="C16" s="1935" t="s">
        <v>1175</v>
      </c>
      <c r="D16" s="1934" t="str">
        <f ca="1">IF('数据-取费表'!B3="万元",NUMBERSTRING(INT(D15*10000),2)&amp;"元整",NUMBERSTRING(INT(D15),2)&amp;"元整")</f>
        <v>壹拾伍万柒仟陆佰陆拾陆元整</v>
      </c>
      <c r="E16" s="1927"/>
    </row>
    <row r="17" spans="1:5" ht="14.25">
      <c r="A17" s="1927"/>
      <c r="B17" s="2762"/>
      <c r="C17" s="1937" t="s">
        <v>1274</v>
      </c>
      <c r="D17" s="1934">
        <f ca="1">IF('数据-取费表'!E3="否",结果表!I111,'结果表 (1修多)'!I112)</f>
        <v>6404</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157666</v>
      </c>
      <c r="E28" s="1927"/>
    </row>
    <row r="29" spans="1:5" ht="28.5">
      <c r="A29" s="1927"/>
      <c r="B29" s="2764"/>
      <c r="C29" s="1946" t="s">
        <v>1175</v>
      </c>
      <c r="D29" s="1947" t="str">
        <f ca="1">IF('数据-取费表'!B3="万元",NUMBERSTRING(INT(D28*10000),2)&amp;"元整",NUMBERSTRING(INT(D28),2)&amp;"元整")</f>
        <v>壹拾伍万柒仟陆佰陆拾陆元整</v>
      </c>
      <c r="E29" s="1927"/>
    </row>
    <row r="30" spans="1:5" ht="14.25">
      <c r="A30" s="1927"/>
      <c r="B30" s="2765"/>
      <c r="C30" s="1937" t="s">
        <v>1178</v>
      </c>
      <c r="D30" s="1948">
        <f ca="1">IF('数据-取费表'!E3="否",结果表!I103,'结果表 (1修多)'!I104)</f>
        <v>6404</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157666</v>
      </c>
      <c r="E36" s="1927"/>
    </row>
    <row r="37" spans="1:5" ht="28.5">
      <c r="A37" s="1927"/>
      <c r="B37" s="2766"/>
      <c r="C37" s="1946" t="s">
        <v>1175</v>
      </c>
      <c r="D37" s="1951" t="str">
        <f ca="1">IF('数据-取费表'!B3="万元",NUMBERSTRING(INT(D36*10000),2)&amp;"元整",NUMBERSTRING(INT(D36),2)&amp;"元整")</f>
        <v>壹拾伍万柒仟陆佰陆拾陆元整</v>
      </c>
      <c r="E37" s="1927"/>
    </row>
    <row r="38" spans="1:5" ht="14.25">
      <c r="A38" s="1927"/>
      <c r="B38" s="2766"/>
      <c r="C38" s="1937" t="s">
        <v>1179</v>
      </c>
      <c r="D38" s="1948">
        <f ca="1">IF('数据-取费表'!E3="否",结果表!D113,'结果表 (1修多)'!D116)</f>
        <v>6404</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江西省赣州市房地产</v>
      </c>
      <c r="B4" s="1049">
        <f>结果表!B121</f>
        <v>24.62</v>
      </c>
      <c r="C4" s="1049">
        <f>结果表!C121</f>
        <v>0</v>
      </c>
      <c r="D4" s="1049">
        <f ca="1">IF('数据-取费表'!E3="否",结果表!D121,'结果表 (1修多)'!D124)</f>
        <v>110199</v>
      </c>
      <c r="E4" s="1049">
        <f ca="1">IF('数据-取费表'!E3="否",结果表!E121,'结果表 (1修多)'!E124)</f>
        <v>4476</v>
      </c>
      <c r="F4" s="1049">
        <f ca="1">IF('数据-取费表'!E3="否",结果表!F121,'结果表 (1修多)'!F124)</f>
        <v>47467</v>
      </c>
      <c r="G4" s="1049">
        <f ca="1">IF('数据-取费表'!E3="否",结果表!G121,'结果表 (1修多)'!G124)</f>
        <v>1928</v>
      </c>
      <c r="H4" s="1049">
        <f ca="1">IF('数据-取费表'!E3="否",结果表!H121,'结果表 (1修多)'!H124)</f>
        <v>157666</v>
      </c>
      <c r="I4" s="1049">
        <f ca="1">IF('数据-取费表'!E3="否",结果表!I121,'结果表 (1修多)'!I124)</f>
        <v>6404</v>
      </c>
    </row>
    <row r="5" spans="1:9" ht="15">
      <c r="A5" s="2780" t="s">
        <v>1284</v>
      </c>
      <c r="B5" s="2780"/>
      <c r="C5" s="2780"/>
      <c r="D5" s="2778" t="str">
        <f ca="1">IF('数据-取费表'!E3="否",结果表!D122,'结果表 (1修多)'!D125)</f>
        <v>壹拾壹万零壹佰玖拾玖元整</v>
      </c>
      <c r="E5" s="2778"/>
      <c r="F5" s="2778" t="str">
        <f ca="1">IF('数据-取费表'!E3="否",结果表!F122,'结果表 (1修多)'!F125)</f>
        <v>肆万柒仟肆佰陆拾柒元整</v>
      </c>
      <c r="G5" s="2778"/>
      <c r="H5" s="2778" t="str">
        <f ca="1">IF('数据-取费表'!E3="否",结果表!H122,'结果表 (1修多)'!H125)</f>
        <v>壹拾伍万柒仟陆佰陆拾陆元整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157666</v>
      </c>
      <c r="E8" s="2779"/>
      <c r="F8" s="2779"/>
      <c r="G8" s="2779"/>
      <c r="H8" s="2779"/>
      <c r="I8" s="2779"/>
    </row>
    <row r="9" spans="1:9" ht="15">
      <c r="A9" s="2780" t="s">
        <v>1284</v>
      </c>
      <c r="B9" s="2780"/>
      <c r="C9" s="2780"/>
      <c r="D9" s="2778">
        <f ca="1">IF('数据-取费表'!E3="否",结果表!D126,'结果表 (1修多)'!D129)</f>
        <v>6404</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2018-09-04T07:46:26Z</dcterms:modified>
</cp:coreProperties>
</file>