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I91" i="9"/>
  <c r="J20" i="9" l="1"/>
  <c r="C6" i="68"/>
  <c r="C5" i="81" l="1"/>
  <c r="C6" i="81" s="1"/>
  <c r="C4" i="81"/>
  <c r="E6" i="81" l="1"/>
  <c r="A3" i="3" s="1"/>
  <c r="E7" i="81" l="1"/>
  <c r="C38" i="39"/>
  <c r="U8" i="1" l="1"/>
  <c r="Q72" i="80" l="1"/>
  <c r="Q59" i="80"/>
  <c r="K59" i="80"/>
  <c r="P61" i="80" s="1"/>
  <c r="Q58" i="80"/>
  <c r="Q51" i="80"/>
  <c r="J50" i="80"/>
  <c r="M47" i="80"/>
  <c r="P74" i="80" l="1"/>
  <c r="D46" i="80"/>
  <c r="F33" i="80"/>
  <c r="F61" i="80" s="1"/>
  <c r="F23" i="80"/>
  <c r="D24" i="80" s="1"/>
  <c r="D23" i="80" l="1"/>
  <c r="D22" i="80"/>
  <c r="F21" i="80"/>
  <c r="F20" i="80"/>
  <c r="M19" i="80"/>
  <c r="F18" i="80"/>
  <c r="F17" i="80" l="1"/>
  <c r="F15" i="80"/>
  <c r="Q72" i="79"/>
  <c r="Q59" i="79"/>
  <c r="K59" i="79"/>
  <c r="P74" i="79" s="1"/>
  <c r="P61" i="79" l="1"/>
  <c r="Q58" i="79"/>
  <c r="Q51" i="79"/>
  <c r="J50" i="79"/>
  <c r="M47" i="79"/>
  <c r="D46" i="79" l="1"/>
  <c r="F33" i="79"/>
  <c r="F61" i="79" s="1"/>
  <c r="F23" i="79"/>
  <c r="D24" i="79" s="1"/>
  <c r="D23" i="79" l="1"/>
  <c r="D22" i="79"/>
  <c r="F21" i="79"/>
  <c r="F20" i="79"/>
  <c r="M19" i="79"/>
  <c r="F18" i="79"/>
  <c r="F17" i="79" l="1"/>
  <c r="F15" i="79"/>
  <c r="Q72" i="78"/>
  <c r="Q59" i="78"/>
  <c r="K59" i="78"/>
  <c r="P61" i="78" s="1"/>
  <c r="Q58" i="78"/>
  <c r="Q51" i="78"/>
  <c r="J50" i="78"/>
  <c r="M47" i="78"/>
  <c r="P74" i="78" l="1"/>
  <c r="D46" i="78"/>
  <c r="F33" i="78"/>
  <c r="F61" i="78" s="1"/>
  <c r="F23" i="78"/>
  <c r="D24" i="78" s="1"/>
  <c r="D23" i="78" l="1"/>
  <c r="D22" i="78"/>
  <c r="F21" i="78"/>
  <c r="F20" i="78"/>
  <c r="M19" i="78"/>
  <c r="F18" i="78"/>
  <c r="F17" i="78" l="1"/>
  <c r="F15" i="78"/>
  <c r="D3" i="4" l="1"/>
  <c r="F20" i="15"/>
  <c r="K13" i="3" l="1"/>
  <c r="C1" i="73"/>
  <c r="J1" i="73" s="1"/>
  <c r="B22" i="1"/>
  <c r="E1" i="73"/>
  <c r="A6" i="1"/>
  <c r="F19" i="6"/>
  <c r="E19" i="6" s="1"/>
  <c r="K6" i="1" s="1"/>
  <c r="A7" i="1"/>
  <c r="A8" i="1"/>
  <c r="A9" i="1"/>
  <c r="A10" i="1"/>
  <c r="K10" i="1" s="1"/>
  <c r="M10" i="1" s="1"/>
  <c r="A11" i="1"/>
  <c r="K11" i="1" s="1"/>
  <c r="M11" i="1" s="1"/>
  <c r="O11" i="1" s="1"/>
  <c r="A12" i="1"/>
  <c r="K12" i="1" s="1"/>
  <c r="M12" i="1" s="1"/>
  <c r="A13" i="1"/>
  <c r="K13" i="1" s="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s="1"/>
  <c r="G19" i="43"/>
  <c r="C19" i="68"/>
  <c r="F21" i="68"/>
  <c r="C21" i="68" s="1"/>
  <c r="B24" i="1"/>
  <c r="F35" i="68"/>
  <c r="C42" i="1"/>
  <c r="F36" i="68"/>
  <c r="BC11" i="3"/>
  <c r="BC14" i="3"/>
  <c r="BD14" i="3"/>
  <c r="BE14" i="3"/>
  <c r="BF14" i="3"/>
  <c r="BG14" i="3"/>
  <c r="BH14" i="3"/>
  <c r="BI14" i="3"/>
  <c r="BJ14" i="3"/>
  <c r="BB14" i="3"/>
  <c r="BK14" i="3"/>
  <c r="BA14" i="3"/>
  <c r="BM14" i="3"/>
  <c r="BN14" i="3"/>
  <c r="BL14" i="3" s="1"/>
  <c r="AZ14" i="3" s="1"/>
  <c r="BO14" i="3"/>
  <c r="BP14" i="3"/>
  <c r="BC15" i="3"/>
  <c r="BD15" i="3"/>
  <c r="BA15" i="3" s="1"/>
  <c r="AZ15" i="3" s="1"/>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s="1"/>
  <c r="AZ16" i="3" s="1"/>
  <c r="BO16" i="3"/>
  <c r="BP16" i="3"/>
  <c r="BC17" i="3"/>
  <c r="BD17" i="3"/>
  <c r="BA17" i="3" s="1"/>
  <c r="AZ17" i="3" s="1"/>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s="1"/>
  <c r="AZ18" i="3" s="1"/>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C13" i="12"/>
  <c r="E14" i="12"/>
  <c r="F15" i="12"/>
  <c r="E17" i="12"/>
  <c r="E19" i="12"/>
  <c r="E20" i="12"/>
  <c r="F22" i="12"/>
  <c r="F23" i="12"/>
  <c r="F24" i="12"/>
  <c r="C24" i="12"/>
  <c r="E3" i="66"/>
  <c r="E19" i="66"/>
  <c r="E18" i="66"/>
  <c r="E17" i="66"/>
  <c r="D12" i="66"/>
  <c r="E6" i="66"/>
  <c r="E4" i="66"/>
  <c r="D6" i="66"/>
  <c r="I6" i="66" s="1"/>
  <c r="I5" i="66"/>
  <c r="I4" i="66"/>
  <c r="I3" i="66"/>
  <c r="E10" i="68"/>
  <c r="C8" i="68"/>
  <c r="I20" i="43"/>
  <c r="G20" i="43"/>
  <c r="M19" i="43"/>
  <c r="I5" i="3"/>
  <c r="AL5" i="3"/>
  <c r="K5" i="3"/>
  <c r="D5" i="43"/>
  <c r="C24" i="43"/>
  <c r="G2" i="43"/>
  <c r="F33" i="43"/>
  <c r="F34" i="43"/>
  <c r="F35" i="43"/>
  <c r="F36" i="43"/>
  <c r="C6" i="43"/>
  <c r="G17" i="43"/>
  <c r="H17" i="43"/>
  <c r="I17" i="43"/>
  <c r="J17" i="43"/>
  <c r="C17" i="43"/>
  <c r="C16" i="43"/>
  <c r="C5" i="43" s="1"/>
  <c r="F37" i="43"/>
  <c r="F38" i="43"/>
  <c r="F39" i="43"/>
  <c r="D7" i="71"/>
  <c r="AH5" i="71"/>
  <c r="AG5" i="71"/>
  <c r="AE5" i="71"/>
  <c r="AF5" i="71"/>
  <c r="AD5" i="71"/>
  <c r="Q5" i="71"/>
  <c r="P5" i="71"/>
  <c r="O5" i="71"/>
  <c r="N5" i="71"/>
  <c r="L3" i="71"/>
  <c r="AH3" i="71" s="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s="1"/>
  <c r="Q7" i="71"/>
  <c r="F6" i="71"/>
  <c r="F5" i="71"/>
  <c r="P7" i="71"/>
  <c r="E6" i="71"/>
  <c r="E5" i="71" s="1"/>
  <c r="O7" i="71"/>
  <c r="N7" i="71"/>
  <c r="B6" i="71"/>
  <c r="S6" i="71"/>
  <c r="B5" i="71"/>
  <c r="D6" i="71"/>
  <c r="C5" i="71"/>
  <c r="D5"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A19" i="62"/>
  <c r="A12" i="62"/>
  <c r="B58" i="72" s="1"/>
  <c r="A120" i="9"/>
  <c r="H2" i="52"/>
  <c r="A1" i="52"/>
  <c r="A3" i="53"/>
  <c r="Q8" i="71"/>
  <c r="P8" i="71"/>
  <c r="O8" i="71"/>
  <c r="N8"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65" i="72"/>
  <c r="B60" i="72"/>
  <c r="B59"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s="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N20" i="71"/>
  <c r="Q19" i="71"/>
  <c r="F20" i="71" s="1"/>
  <c r="F21" i="71" s="1"/>
  <c r="F22" i="71" s="1"/>
  <c r="V22" i="71" s="1"/>
  <c r="P19" i="71"/>
  <c r="O19" i="71"/>
  <c r="C20" i="71" s="1"/>
  <c r="D20" i="71" s="1"/>
  <c r="N19" i="71"/>
  <c r="D19" i="71"/>
  <c r="Q18" i="71"/>
  <c r="AB18" i="71"/>
  <c r="P18" i="71"/>
  <c r="O18" i="71"/>
  <c r="Y18" i="71" s="1"/>
  <c r="Z18" i="71" s="1"/>
  <c r="N18" i="71"/>
  <c r="Q17" i="71"/>
  <c r="P17" i="71"/>
  <c r="O17" i="71"/>
  <c r="Y17" i="71"/>
  <c r="Z17" i="71" s="1"/>
  <c r="N17" i="71"/>
  <c r="Q16" i="71"/>
  <c r="P16" i="71"/>
  <c r="O16" i="71"/>
  <c r="N16" i="71"/>
  <c r="Q15" i="71"/>
  <c r="F16" i="71" s="1"/>
  <c r="F17" i="71" s="1"/>
  <c r="F18" i="71" s="1"/>
  <c r="V18" i="71" s="1"/>
  <c r="P15" i="71"/>
  <c r="O15" i="71"/>
  <c r="C16" i="71" s="1"/>
  <c r="N15" i="71"/>
  <c r="D15" i="71"/>
  <c r="Q14" i="71"/>
  <c r="AB14" i="71"/>
  <c r="P14" i="71"/>
  <c r="O14" i="71"/>
  <c r="Y14" i="71" s="1"/>
  <c r="Z14" i="71" s="1"/>
  <c r="N14" i="71"/>
  <c r="Q13" i="71"/>
  <c r="P13" i="71"/>
  <c r="O13" i="71"/>
  <c r="Y13" i="71"/>
  <c r="Z13" i="71" s="1"/>
  <c r="N13" i="71"/>
  <c r="X11" i="71" s="1"/>
  <c r="Q12" i="71"/>
  <c r="P12" i="71"/>
  <c r="O12" i="71"/>
  <c r="N12" i="71"/>
  <c r="Q11" i="71"/>
  <c r="AB11" i="71" s="1"/>
  <c r="P11" i="71"/>
  <c r="O11" i="71"/>
  <c r="N11" i="71"/>
  <c r="D11" i="71"/>
  <c r="O10" i="71"/>
  <c r="N10" i="71"/>
  <c r="B10" i="71" s="1"/>
  <c r="S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Y15" i="71"/>
  <c r="Z15" i="71" s="1"/>
  <c r="AA16" i="71"/>
  <c r="AA17" i="71"/>
  <c r="X18" i="71"/>
  <c r="AA18" i="71"/>
  <c r="Y19" i="71"/>
  <c r="Z19" i="71" s="1"/>
  <c r="AB19" i="71"/>
  <c r="X20" i="71"/>
  <c r="AA20" i="71"/>
  <c r="F34" i="71"/>
  <c r="V34" i="71" s="1"/>
  <c r="C10" i="71"/>
  <c r="T10" i="71" s="1"/>
  <c r="X7" i="71"/>
  <c r="X10" i="71"/>
  <c r="C21" i="71"/>
  <c r="D21" i="71" s="1"/>
  <c r="C25" i="71"/>
  <c r="D25" i="71" s="1"/>
  <c r="C29" i="71"/>
  <c r="D29" i="71" s="1"/>
  <c r="D28" i="71"/>
  <c r="D32" i="71"/>
  <c r="P10" i="71"/>
  <c r="E37" i="71"/>
  <c r="E38" i="71" s="1"/>
  <c r="U38" i="71" s="1"/>
  <c r="E42" i="71"/>
  <c r="U42" i="71" s="1"/>
  <c r="E45" i="71"/>
  <c r="E46" i="71" s="1"/>
  <c r="U46" i="71"/>
  <c r="U50" i="71"/>
  <c r="Q10" i="71"/>
  <c r="F10" i="71" s="1"/>
  <c r="F9" i="71" s="1"/>
  <c r="F8" i="71" s="1"/>
  <c r="D40" i="71"/>
  <c r="D44" i="71"/>
  <c r="B48" i="71"/>
  <c r="N47" i="71" s="1"/>
  <c r="T50" i="71"/>
  <c r="D50" i="71"/>
  <c r="Q50" i="71"/>
  <c r="C53" i="71"/>
  <c r="E53" i="71"/>
  <c r="E52" i="71" s="1"/>
  <c r="D54" i="71"/>
  <c r="E57" i="71"/>
  <c r="E56" i="71" s="1"/>
  <c r="D58" i="71"/>
  <c r="C61" i="71"/>
  <c r="E61" i="71"/>
  <c r="E60" i="71" s="1"/>
  <c r="D62" i="71"/>
  <c r="C65" i="71"/>
  <c r="C69" i="71"/>
  <c r="D69" i="71" s="1"/>
  <c r="C9" i="71"/>
  <c r="D9" i="71" s="1"/>
  <c r="AB9" i="71"/>
  <c r="E10" i="71"/>
  <c r="AA7" i="71"/>
  <c r="AA9" i="71"/>
  <c r="D10" i="71"/>
  <c r="U10" i="71" s="1"/>
  <c r="D45" i="71"/>
  <c r="D65" i="71"/>
  <c r="C64" i="71"/>
  <c r="D64" i="71" s="1"/>
  <c r="C68" i="71"/>
  <c r="D68" i="71" s="1"/>
  <c r="D61" i="71"/>
  <c r="C60" i="71"/>
  <c r="D60" i="71"/>
  <c r="D53" i="71"/>
  <c r="C52" i="71"/>
  <c r="D52" i="71" s="1"/>
  <c r="C42" i="71"/>
  <c r="D42" i="71" s="1"/>
  <c r="C34" i="71"/>
  <c r="T34" i="71" s="1"/>
  <c r="C26" i="71"/>
  <c r="T26" i="71" s="1"/>
  <c r="C14" i="71"/>
  <c r="T14" i="71" s="1"/>
  <c r="C8" i="71"/>
  <c r="D8" i="71" s="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W29" i="39" s="1"/>
  <c r="J18" i="36"/>
  <c r="W18" i="36" s="1"/>
  <c r="H18" i="35"/>
  <c r="U18" i="35" s="1"/>
  <c r="S18" i="35"/>
  <c r="J18" i="35"/>
  <c r="H21" i="37"/>
  <c r="F21" i="37"/>
  <c r="S21" i="37" s="1"/>
  <c r="F84" i="34"/>
  <c r="H21" i="34"/>
  <c r="U21" i="34" s="1"/>
  <c r="H21" i="33"/>
  <c r="AB21" i="33" s="1"/>
  <c r="F21" i="33"/>
  <c r="E83" i="21"/>
  <c r="H1" i="69"/>
  <c r="W25" i="40"/>
  <c r="U25" i="40"/>
  <c r="AC18" i="36"/>
  <c r="AB21" i="37"/>
  <c r="U21" i="37"/>
  <c r="AA21" i="37"/>
  <c r="AB21" i="34"/>
  <c r="U21" i="33"/>
  <c r="AA21" i="33"/>
  <c r="S21" i="33"/>
  <c r="AB18" i="35"/>
  <c r="AC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AC21" i="21" s="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s="1"/>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8" i="1"/>
  <c r="E8" i="1" s="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B24" i="3"/>
  <c r="AX24" i="3"/>
  <c r="AW24" i="3"/>
  <c r="AV24" i="3"/>
  <c r="AC24" i="3"/>
  <c r="BT23" i="3"/>
  <c r="BS23" i="3"/>
  <c r="BR23" i="3"/>
  <c r="BQ23" i="3"/>
  <c r="BP23" i="3"/>
  <c r="BO23" i="3"/>
  <c r="BN23" i="3"/>
  <c r="BM23" i="3"/>
  <c r="BL23" i="3"/>
  <c r="BK23" i="3"/>
  <c r="BB23" i="3"/>
  <c r="BA23" i="3" s="1"/>
  <c r="AZ23" i="3" s="1"/>
  <c r="AX23" i="3"/>
  <c r="AW23" i="3"/>
  <c r="AV23" i="3"/>
  <c r="AC23" i="3"/>
  <c r="BT22" i="3"/>
  <c r="BS22" i="3"/>
  <c r="BR22" i="3"/>
  <c r="BQ22" i="3"/>
  <c r="BP22" i="3"/>
  <c r="BO22" i="3"/>
  <c r="BN22" i="3"/>
  <c r="BM22" i="3"/>
  <c r="BL22" i="3" s="1"/>
  <c r="BK22" i="3"/>
  <c r="BB22" i="3"/>
  <c r="AX22" i="3"/>
  <c r="AW22" i="3"/>
  <c r="AV22" i="3"/>
  <c r="AC22" i="3"/>
  <c r="BT21" i="3"/>
  <c r="BS21" i="3"/>
  <c r="BR21" i="3"/>
  <c r="BQ21" i="3"/>
  <c r="BP21" i="3"/>
  <c r="BO21" i="3"/>
  <c r="BN21" i="3"/>
  <c r="BM21" i="3"/>
  <c r="BL21" i="3"/>
  <c r="BK21" i="3"/>
  <c r="BB21" i="3"/>
  <c r="BA21" i="3" s="1"/>
  <c r="AZ21" i="3" s="1"/>
  <c r="AX21" i="3"/>
  <c r="AW21" i="3"/>
  <c r="AV21" i="3"/>
  <c r="AC21" i="3"/>
  <c r="BT20" i="3"/>
  <c r="BS20" i="3"/>
  <c r="BR20" i="3"/>
  <c r="BQ20" i="3"/>
  <c r="BP20" i="3"/>
  <c r="BO20" i="3"/>
  <c r="BN20" i="3"/>
  <c r="BM20" i="3"/>
  <c r="BL20" i="3" s="1"/>
  <c r="BK20" i="3"/>
  <c r="BB20" i="3"/>
  <c r="AX20" i="3"/>
  <c r="AW20" i="3"/>
  <c r="AV20" i="3"/>
  <c r="AC20" i="3"/>
  <c r="G20" i="3" s="1"/>
  <c r="BT19" i="3"/>
  <c r="BS19" i="3"/>
  <c r="BR19" i="3"/>
  <c r="BQ19" i="3"/>
  <c r="BP19" i="3"/>
  <c r="BO19" i="3"/>
  <c r="BN19" i="3"/>
  <c r="BM19" i="3"/>
  <c r="BL19" i="3"/>
  <c r="BK19" i="3"/>
  <c r="BB19" i="3"/>
  <c r="BA19" i="3" s="1"/>
  <c r="AZ19" i="3" s="1"/>
  <c r="AX19" i="3"/>
  <c r="AW19" i="3"/>
  <c r="AV19" i="3"/>
  <c r="AC19" i="3"/>
  <c r="G19" i="3" s="1"/>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20" i="43" s="1"/>
  <c r="C18" i="43"/>
  <c r="F15" i="43"/>
  <c r="E15" i="43"/>
  <c r="D15" i="43"/>
  <c r="C15" i="43"/>
  <c r="C10" i="43"/>
  <c r="C11" i="43"/>
  <c r="C9" i="43"/>
  <c r="A7" i="43"/>
  <c r="F61" i="15"/>
  <c r="M19" i="15"/>
  <c r="B43" i="1"/>
  <c r="D78" i="9" s="1"/>
  <c r="D24" i="15"/>
  <c r="E23" i="6"/>
  <c r="E24" i="6"/>
  <c r="E25" i="6"/>
  <c r="E26" i="6"/>
  <c r="BC10" i="3"/>
  <c r="BD10" i="3"/>
  <c r="BB10" i="3"/>
  <c r="AC14" i="3"/>
  <c r="AC15" i="3"/>
  <c r="AC16" i="3"/>
  <c r="AT5" i="3"/>
  <c r="AD5" i="3"/>
  <c r="AH5" i="3"/>
  <c r="AP5" i="3"/>
  <c r="F35" i="11"/>
  <c r="F36" i="11"/>
  <c r="F38" i="11"/>
  <c r="E37" i="11"/>
  <c r="F20" i="11"/>
  <c r="F21" i="11"/>
  <c r="C21" i="11"/>
  <c r="F7" i="11"/>
  <c r="C7" i="11"/>
  <c r="C5" i="11" s="1"/>
  <c r="BD11" i="3"/>
  <c r="BB11" i="3"/>
  <c r="C17" i="9"/>
  <c r="D17" i="9"/>
  <c r="I55" i="9"/>
  <c r="F55" i="9" s="1"/>
  <c r="O53" i="9" s="1"/>
  <c r="D89" i="9"/>
  <c r="C89" i="9"/>
  <c r="C87" i="9" s="1"/>
  <c r="G12" i="1"/>
  <c r="J55" i="9"/>
  <c r="B31" i="1"/>
  <c r="B52" i="1"/>
  <c r="M20" i="15" s="1"/>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c r="F95" i="39" s="1"/>
  <c r="D93" i="39"/>
  <c r="E93" i="39" s="1"/>
  <c r="F93" i="39" s="1"/>
  <c r="G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E101" i="39"/>
  <c r="H19" i="39"/>
  <c r="AB19" i="39" s="1"/>
  <c r="F19" i="39"/>
  <c r="AA19"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AZ551" i="3" s="1"/>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AA25" i="21"/>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F15" i="39"/>
  <c r="AA15" i="39" s="1"/>
  <c r="H15" i="39"/>
  <c r="U15" i="39" s="1"/>
  <c r="J15" i="39"/>
  <c r="W15" i="39" s="1"/>
  <c r="W27" i="39"/>
  <c r="AB34" i="39"/>
  <c r="U40" i="39"/>
  <c r="S42" i="39"/>
  <c r="W14" i="39"/>
  <c r="W9" i="39"/>
  <c r="W8" i="39"/>
  <c r="J19" i="40"/>
  <c r="AC19" i="40"/>
  <c r="J50" i="40"/>
  <c r="B54" i="72"/>
  <c r="H103" i="9"/>
  <c r="D8" i="53"/>
  <c r="B16" i="53"/>
  <c r="B33" i="72"/>
  <c r="C7" i="37"/>
  <c r="C7" i="34"/>
  <c r="C59" i="34" s="1"/>
  <c r="C7" i="36"/>
  <c r="W35" i="40"/>
  <c r="A118" i="9"/>
  <c r="A4" i="52"/>
  <c r="B41" i="72" s="1"/>
  <c r="A12" i="52"/>
  <c r="B56" i="72" s="1"/>
  <c r="G4" i="4"/>
  <c r="I4" i="4"/>
  <c r="K5" i="4"/>
  <c r="B47" i="48" s="1"/>
  <c r="A2" i="9"/>
  <c r="N2" i="43"/>
  <c r="F59" i="4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s="1"/>
  <c r="AZ491" i="3"/>
  <c r="AZ376" i="3"/>
  <c r="AZ382" i="3"/>
  <c r="U36" i="40"/>
  <c r="N4" i="43"/>
  <c r="F81" i="43"/>
  <c r="H113" i="43"/>
  <c r="F48" i="43"/>
  <c r="H52" i="43"/>
  <c r="N7" i="43"/>
  <c r="F70" i="43"/>
  <c r="M6" i="43"/>
  <c r="M11" i="43"/>
  <c r="E17" i="43"/>
  <c r="S14" i="35"/>
  <c r="U43" i="21"/>
  <c r="U35" i="21"/>
  <c r="AC35" i="21"/>
  <c r="U10" i="21"/>
  <c r="G10" i="1"/>
  <c r="F48" i="9"/>
  <c r="O52" i="9" s="1"/>
  <c r="AZ563"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s="1"/>
  <c r="U25" i="39"/>
  <c r="AB27" i="39"/>
  <c r="U31" i="39"/>
  <c r="J21" i="39"/>
  <c r="F21" i="39"/>
  <c r="S21" i="39" s="1"/>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s="1"/>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s="1"/>
  <c r="B24" i="72"/>
  <c r="H85" i="43"/>
  <c r="H81" i="43"/>
  <c r="H84" i="43"/>
  <c r="H88" i="43"/>
  <c r="H53" i="43"/>
  <c r="H54" i="43"/>
  <c r="H78" i="43"/>
  <c r="H70" i="43"/>
  <c r="H71" i="43"/>
  <c r="M7" i="43"/>
  <c r="N6" i="43"/>
  <c r="M2" i="43"/>
  <c r="M10" i="43"/>
  <c r="N3" i="43"/>
  <c r="N11" i="43"/>
  <c r="M9" i="43"/>
  <c r="N12" i="43"/>
  <c r="N5" i="43"/>
  <c r="M5" i="43"/>
  <c r="M12" i="43"/>
  <c r="M4" i="43"/>
  <c r="B19" i="53"/>
  <c r="B37" i="72"/>
  <c r="C7" i="35"/>
  <c r="C48" i="35" s="1"/>
  <c r="C7" i="33"/>
  <c r="C58" i="33" s="1"/>
  <c r="C7" i="21"/>
  <c r="C58" i="21" s="1"/>
  <c r="D58" i="21" s="1"/>
  <c r="C7" i="40"/>
  <c r="C63" i="40" s="1"/>
  <c r="D63" i="40" s="1"/>
  <c r="D65" i="40" s="1"/>
  <c r="M47" i="9"/>
  <c r="T35" i="4"/>
  <c r="A19" i="51"/>
  <c r="B14" i="72" s="1"/>
  <c r="C46" i="36"/>
  <c r="D59" i="34"/>
  <c r="C52" i="37"/>
  <c r="D52" i="37" s="1"/>
  <c r="E52" i="37" s="1"/>
  <c r="F52" i="37" s="1"/>
  <c r="G52" i="37" s="1"/>
  <c r="H52" i="37" s="1"/>
  <c r="I52" i="37" s="1"/>
  <c r="J52" i="37" s="1"/>
  <c r="K52" i="37" s="1"/>
  <c r="L52" i="37" s="1"/>
  <c r="M52" i="37" s="1"/>
  <c r="N52" i="37" s="1"/>
  <c r="O52" i="37" s="1"/>
  <c r="A4" i="51"/>
  <c r="B6" i="72" s="1"/>
  <c r="D48" i="35"/>
  <c r="E48" i="35" s="1"/>
  <c r="F48" i="35" s="1"/>
  <c r="C94" i="9"/>
  <c r="C92" i="9"/>
  <c r="H62" i="43"/>
  <c r="H66" i="43"/>
  <c r="H61" i="43"/>
  <c r="H65" i="43"/>
  <c r="H60" i="43"/>
  <c r="H64" i="43"/>
  <c r="H59" i="43"/>
  <c r="H63" i="43"/>
  <c r="H67" i="43"/>
  <c r="H55" i="43"/>
  <c r="H51" i="43"/>
  <c r="H56" i="43"/>
  <c r="H76" i="43"/>
  <c r="H72" i="43"/>
  <c r="H77" i="43"/>
  <c r="L20" i="6"/>
  <c r="B6" i="1"/>
  <c r="E6" i="1" s="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s="1"/>
  <c r="F28" i="67"/>
  <c r="C28" i="67" s="1"/>
  <c r="F52" i="9"/>
  <c r="M18" i="67"/>
  <c r="F32" i="67"/>
  <c r="F60" i="67" s="1"/>
  <c r="F30" i="69"/>
  <c r="C48" i="69" s="1"/>
  <c r="M18" i="15"/>
  <c r="T13" i="1"/>
  <c r="C77" i="9"/>
  <c r="C74" i="9" s="1"/>
  <c r="C30" i="69"/>
  <c r="AA39" i="40"/>
  <c r="S39" i="40"/>
  <c r="S12" i="33"/>
  <c r="AA12" i="33"/>
  <c r="D68" i="9"/>
  <c r="F54" i="9"/>
  <c r="J32" i="39"/>
  <c r="W32" i="39" s="1"/>
  <c r="H32" i="39"/>
  <c r="U32" i="39" s="1"/>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W23" i="21" s="1"/>
  <c r="F85" i="21"/>
  <c r="G85" i="21"/>
  <c r="H23" i="21"/>
  <c r="S13" i="21"/>
  <c r="D6" i="52"/>
  <c r="D121" i="9"/>
  <c r="D7" i="52" s="1"/>
  <c r="K120" i="9"/>
  <c r="J59" i="9"/>
  <c r="J61" i="9" s="1"/>
  <c r="R22" i="31"/>
  <c r="B21" i="31" s="1"/>
  <c r="O19" i="43"/>
  <c r="E59" i="34"/>
  <c r="F59" i="34" s="1"/>
  <c r="B5" i="62"/>
  <c r="B73" i="72" s="1"/>
  <c r="AP7" i="1"/>
  <c r="AB45" i="21"/>
  <c r="AC33" i="21"/>
  <c r="W33" i="21"/>
  <c r="S33" i="21"/>
  <c r="AA33" i="21"/>
  <c r="W32" i="21"/>
  <c r="AC32" i="21"/>
  <c r="AB9" i="21"/>
  <c r="U9" i="21"/>
  <c r="AA32" i="21"/>
  <c r="S32" i="21"/>
  <c r="W9" i="21"/>
  <c r="AC9" i="21"/>
  <c r="AB32" i="21"/>
  <c r="U32" i="21"/>
  <c r="AA10" i="21"/>
  <c r="S10" i="21"/>
  <c r="C30" i="11"/>
  <c r="A18" i="62"/>
  <c r="B64" i="72" s="1"/>
  <c r="AC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G59" i="34"/>
  <c r="H59" i="34" s="1"/>
  <c r="I59" i="34" s="1"/>
  <c r="G39" i="43"/>
  <c r="I39" i="43" s="1"/>
  <c r="F1" i="67"/>
  <c r="Q52" i="67"/>
  <c r="AC11" i="37"/>
  <c r="W11" i="37"/>
  <c r="AC11" i="34"/>
  <c r="F50" i="11"/>
  <c r="F50" i="69"/>
  <c r="AG6" i="1"/>
  <c r="H109" i="9"/>
  <c r="H110" i="9"/>
  <c r="D18" i="53" s="1"/>
  <c r="B35" i="72" s="1"/>
  <c r="D16" i="53"/>
  <c r="B34" i="72" s="1"/>
  <c r="H112" i="9"/>
  <c r="D21" i="53" s="1"/>
  <c r="B39" i="72" s="1"/>
  <c r="H111" i="9"/>
  <c r="D19" i="53" s="1"/>
  <c r="D59" i="9"/>
  <c r="M55" i="9" s="1"/>
  <c r="AD3" i="71"/>
  <c r="P22" i="43"/>
  <c r="P23" i="43"/>
  <c r="P24" i="43"/>
  <c r="B66" i="40" s="1"/>
  <c r="P25" i="43"/>
  <c r="I21" i="66"/>
  <c r="D1" i="66"/>
  <c r="C27" i="66" s="1"/>
  <c r="D4" i="73"/>
  <c r="F5" i="73"/>
  <c r="M28" i="15"/>
  <c r="F7" i="73"/>
  <c r="F16" i="67"/>
  <c r="F13" i="67"/>
  <c r="M26" i="67"/>
  <c r="AO11" i="1"/>
  <c r="M29" i="15"/>
  <c r="B8" i="76"/>
  <c r="F9" i="67"/>
  <c r="AO10" i="1"/>
  <c r="M24" i="15"/>
  <c r="F6" i="15"/>
  <c r="F16" i="15"/>
  <c r="E7" i="76"/>
  <c r="F37" i="15"/>
  <c r="D2" i="21"/>
  <c r="F42" i="67"/>
  <c r="F36" i="15"/>
  <c r="E12" i="76"/>
  <c r="D2" i="33"/>
  <c r="L47" i="15"/>
  <c r="E10" i="76"/>
  <c r="D3" i="73"/>
  <c r="F42" i="15"/>
  <c r="E2" i="69"/>
  <c r="F8" i="67"/>
  <c r="M6" i="15"/>
  <c r="B9" i="76"/>
  <c r="F7" i="67"/>
  <c r="B13" i="76"/>
  <c r="F26" i="15"/>
  <c r="C76" i="67"/>
  <c r="F38" i="67"/>
  <c r="AO12" i="1"/>
  <c r="E9" i="76"/>
  <c r="F4" i="73"/>
  <c r="D5" i="73"/>
  <c r="F43" i="67"/>
  <c r="M8" i="15"/>
  <c r="B10" i="76"/>
  <c r="F40" i="67"/>
  <c r="B11" i="76"/>
  <c r="M22" i="67"/>
  <c r="M6" i="67"/>
  <c r="F26" i="67"/>
  <c r="L47" i="67"/>
  <c r="F8" i="15"/>
  <c r="F13" i="15"/>
  <c r="C76" i="15"/>
  <c r="M24" i="67"/>
  <c r="M27" i="67"/>
  <c r="F7" i="15"/>
  <c r="D2" i="35"/>
  <c r="F43" i="15"/>
  <c r="M28" i="67"/>
  <c r="D35" i="9"/>
  <c r="D6" i="73"/>
  <c r="L48" i="67"/>
  <c r="F20" i="31"/>
  <c r="F3" i="73"/>
  <c r="F9" i="15"/>
  <c r="M29" i="67"/>
  <c r="M26" i="15"/>
  <c r="E11" i="76"/>
  <c r="E13" i="76"/>
  <c r="D2" i="34"/>
  <c r="M9" i="15"/>
  <c r="B7" i="76"/>
  <c r="D34" i="9"/>
  <c r="E8" i="76"/>
  <c r="M9" i="67"/>
  <c r="F37" i="67"/>
  <c r="D7" i="73"/>
  <c r="M23" i="67"/>
  <c r="F35" i="67"/>
  <c r="F38" i="15"/>
  <c r="F6" i="67"/>
  <c r="M22" i="15"/>
  <c r="F40" i="15"/>
  <c r="M27" i="15"/>
  <c r="J15" i="67"/>
  <c r="F41" i="67"/>
  <c r="AO13" i="1"/>
  <c r="F36" i="67"/>
  <c r="M23" i="15"/>
  <c r="D2" i="37"/>
  <c r="F6" i="73"/>
  <c r="E2" i="68"/>
  <c r="J15" i="15"/>
  <c r="M21" i="67"/>
  <c r="B12" i="76"/>
  <c r="D2" i="36"/>
  <c r="M8" i="67"/>
  <c r="D15" i="74" l="1"/>
  <c r="B38" i="72"/>
  <c r="D20" i="53"/>
  <c r="B40" i="72" s="1"/>
  <c r="E10" i="66"/>
  <c r="D126" i="9"/>
  <c r="D17" i="53"/>
  <c r="B36" i="72" s="1"/>
  <c r="D124" i="9"/>
  <c r="AC23" i="21"/>
  <c r="K4" i="4"/>
  <c r="B46" i="48" s="1"/>
  <c r="B4" i="72" s="1"/>
  <c r="F32" i="80"/>
  <c r="F60" i="80" s="1"/>
  <c r="F28" i="80"/>
  <c r="C28" i="80" s="1"/>
  <c r="M18" i="80"/>
  <c r="F32" i="79"/>
  <c r="F60" i="79" s="1"/>
  <c r="F28" i="79"/>
  <c r="C28" i="79" s="1"/>
  <c r="M18" i="79"/>
  <c r="F32" i="78"/>
  <c r="F60" i="78" s="1"/>
  <c r="F28" i="78"/>
  <c r="C28" i="78" s="1"/>
  <c r="M18" i="78"/>
  <c r="F32" i="15"/>
  <c r="F60" i="15" s="1"/>
  <c r="F28" i="15"/>
  <c r="C28" i="15" s="1"/>
  <c r="F31" i="12"/>
  <c r="F30" i="68"/>
  <c r="F53" i="9"/>
  <c r="AC39" i="39"/>
  <c r="W39" i="39"/>
  <c r="H83" i="43"/>
  <c r="H82" i="43"/>
  <c r="E29" i="6"/>
  <c r="K15" i="1" s="1"/>
  <c r="AA25" i="39"/>
  <c r="S25" i="39"/>
  <c r="W15" i="37"/>
  <c r="AC15" i="37"/>
  <c r="U31" i="37"/>
  <c r="AB31" i="37"/>
  <c r="AA12" i="21"/>
  <c r="S12" i="21"/>
  <c r="C31" i="66"/>
  <c r="C32" i="66"/>
  <c r="C30" i="66"/>
  <c r="E26" i="66" s="1"/>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s="1"/>
  <c r="M20" i="80"/>
  <c r="F34" i="79"/>
  <c r="F62" i="79" s="1"/>
  <c r="M20" i="79"/>
  <c r="F34" i="78"/>
  <c r="F62" i="78" s="1"/>
  <c r="M20" i="78"/>
  <c r="F34" i="15"/>
  <c r="F62" i="15" s="1"/>
  <c r="E5" i="6"/>
  <c r="D9" i="68" s="1"/>
  <c r="C9" i="68" s="1"/>
  <c r="F6" i="1"/>
  <c r="C10" i="39"/>
  <c r="F9" i="1"/>
  <c r="G9" i="1" s="1"/>
  <c r="F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s="1"/>
  <c r="BA22" i="3"/>
  <c r="AZ22" i="3" s="1"/>
  <c r="BA24" i="3"/>
  <c r="AZ24" i="3" s="1"/>
  <c r="BC5" i="3"/>
  <c r="E8" i="6" s="1"/>
  <c r="C17" i="71"/>
  <c r="D16" i="71"/>
  <c r="C37" i="71"/>
  <c r="D36" i="71"/>
  <c r="C22" i="71"/>
  <c r="N48" i="71"/>
  <c r="E9" i="71"/>
  <c r="E8" i="71" s="1"/>
  <c r="V10" i="71"/>
  <c r="AB7" i="71"/>
  <c r="D12" i="71"/>
  <c r="X9" i="71"/>
  <c r="B9" i="71"/>
  <c r="B8" i="71" s="1"/>
  <c r="AB15" i="71"/>
  <c r="Y12" i="71"/>
  <c r="Z12" i="71" s="1"/>
  <c r="AB12" i="71"/>
  <c r="AB13" i="71"/>
  <c r="Y16" i="71"/>
  <c r="Z16" i="71" s="1"/>
  <c r="AB16" i="71"/>
  <c r="X15" i="71"/>
  <c r="X16" i="71"/>
  <c r="X17" i="71"/>
  <c r="AB17" i="71"/>
  <c r="Y20" i="71"/>
  <c r="Z20" i="71" s="1"/>
  <c r="AA21" i="71"/>
  <c r="AA19" i="71"/>
  <c r="O50" i="71"/>
  <c r="C49" i="71"/>
  <c r="V50" i="71"/>
  <c r="F49" i="71"/>
  <c r="T58" i="71"/>
  <c r="C57" i="71"/>
  <c r="AJ10" i="43"/>
  <c r="X8" i="71"/>
  <c r="AA6" i="71"/>
  <c r="C40" i="69"/>
  <c r="AC29" i="39"/>
  <c r="S21" i="21"/>
  <c r="AB3" i="71"/>
  <c r="AB8" i="71"/>
  <c r="AB10" i="71"/>
  <c r="Y11" i="71"/>
  <c r="Z11" i="71" s="1"/>
  <c r="Y3" i="71"/>
  <c r="Z3" i="71" s="1"/>
  <c r="Y7" i="71"/>
  <c r="Z7" i="71" s="1"/>
  <c r="Y8" i="71"/>
  <c r="Z8" i="71" s="1"/>
  <c r="Y9" i="71"/>
  <c r="Z9" i="71" s="1"/>
  <c r="Y10" i="71"/>
  <c r="Z10" i="71" s="1"/>
  <c r="Y5" i="71"/>
  <c r="Z5" i="71" s="1"/>
  <c r="F12" i="71"/>
  <c r="F13" i="71" s="1"/>
  <c r="F14" i="71" s="1"/>
  <c r="V14" i="71" s="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s="1"/>
  <c r="P61" i="15"/>
  <c r="P61" i="67"/>
  <c r="P74" i="67"/>
  <c r="U6" i="71"/>
  <c r="V6" i="71"/>
  <c r="BT5" i="3"/>
  <c r="BR5" i="3"/>
  <c r="G28" i="6" s="1"/>
  <c r="G30" i="6" s="1"/>
  <c r="BL13" i="3"/>
  <c r="BL5" i="3" s="1"/>
  <c r="G24" i="3"/>
  <c r="G22" i="3"/>
  <c r="G16" i="3"/>
  <c r="G14" i="3"/>
  <c r="P21" i="43"/>
  <c r="B71" i="39" s="1"/>
  <c r="J51" i="80"/>
  <c r="J51" i="79"/>
  <c r="J51" i="78"/>
  <c r="G1" i="80"/>
  <c r="G1" i="79"/>
  <c r="G1" i="78"/>
  <c r="O13" i="3"/>
  <c r="M13" i="3"/>
  <c r="G22" i="6" s="1"/>
  <c r="E22" i="6" s="1"/>
  <c r="F7" i="12" s="1"/>
  <c r="F20" i="6"/>
  <c r="E20" i="6" s="1"/>
  <c r="J41" i="39"/>
  <c r="H41" i="39"/>
  <c r="H124" i="39"/>
  <c r="I124" i="39" s="1"/>
  <c r="J124" i="39" s="1"/>
  <c r="K124" i="39" s="1"/>
  <c r="L124" i="39" s="1"/>
  <c r="M124" i="39" s="1"/>
  <c r="F41" i="39"/>
  <c r="F31" i="39"/>
  <c r="F105" i="39"/>
  <c r="G105" i="39" s="1"/>
  <c r="H105" i="39" s="1"/>
  <c r="I105" i="39" s="1"/>
  <c r="J105" i="39" s="1"/>
  <c r="K105" i="39" s="1"/>
  <c r="L105" i="39" s="1"/>
  <c r="M105" i="39" s="1"/>
  <c r="AC23" i="39"/>
  <c r="W23" i="39"/>
  <c r="F97" i="39"/>
  <c r="G97" i="39" s="1"/>
  <c r="H17" i="39"/>
  <c r="AB17" i="39" s="1"/>
  <c r="F91" i="39"/>
  <c r="G91" i="39" s="1"/>
  <c r="F17" i="39"/>
  <c r="G7" i="1"/>
  <c r="G8" i="1"/>
  <c r="F81" i="39"/>
  <c r="U29" i="39"/>
  <c r="AB32" i="39"/>
  <c r="AA21" i="39"/>
  <c r="S29" i="39"/>
  <c r="E9" i="49"/>
  <c r="U17" i="39"/>
  <c r="B4" i="62"/>
  <c r="B71" i="72" s="1"/>
  <c r="T11" i="1"/>
  <c r="AR11" i="1"/>
  <c r="K9" i="1"/>
  <c r="M9" i="1" s="1"/>
  <c r="L27" i="6"/>
  <c r="B8" i="49"/>
  <c r="C36" i="69"/>
  <c r="E6" i="49"/>
  <c r="E22" i="49"/>
  <c r="B9" i="49"/>
  <c r="G1" i="69"/>
  <c r="B9" i="1"/>
  <c r="E9" i="1" s="1"/>
  <c r="T12" i="1"/>
  <c r="K1" i="12"/>
  <c r="F51" i="15"/>
  <c r="T10" i="1"/>
  <c r="AR12" i="1"/>
  <c r="P11" i="1"/>
  <c r="O9" i="1"/>
  <c r="P9" i="1" s="1"/>
  <c r="O13" i="1"/>
  <c r="P13" i="1" s="1"/>
  <c r="B16" i="49"/>
  <c r="B11" i="49"/>
  <c r="E4" i="49"/>
  <c r="E10" i="49"/>
  <c r="E8" i="49"/>
  <c r="D9" i="69"/>
  <c r="C9" i="69" s="1"/>
  <c r="AR10" i="1"/>
  <c r="D9" i="11"/>
  <c r="C9" i="11" s="1"/>
  <c r="D19" i="12"/>
  <c r="C19" i="12" s="1"/>
  <c r="B10" i="49"/>
  <c r="E7" i="49"/>
  <c r="B13" i="49"/>
  <c r="E21" i="49"/>
  <c r="B6" i="49"/>
  <c r="B7" i="49"/>
  <c r="E16" i="49"/>
  <c r="B4" i="49"/>
  <c r="B14" i="49"/>
  <c r="B5" i="49"/>
  <c r="C6" i="15"/>
  <c r="M7" i="15"/>
  <c r="J6" i="15" s="1"/>
  <c r="F50" i="15"/>
  <c r="F71" i="15"/>
  <c r="O12" i="1"/>
  <c r="P12" i="1" s="1"/>
  <c r="O10" i="1"/>
  <c r="P10" i="1" s="1"/>
  <c r="M6" i="1"/>
  <c r="AQ13" i="1"/>
  <c r="K1" i="73"/>
  <c r="I1" i="73"/>
  <c r="B39" i="1" s="1"/>
  <c r="J59" i="34"/>
  <c r="K59" i="34" s="1"/>
  <c r="L59" i="34" s="1"/>
  <c r="M59" i="34" s="1"/>
  <c r="N59" i="34" s="1"/>
  <c r="O59" i="34" s="1"/>
  <c r="G48" i="35"/>
  <c r="H48" i="35" s="1"/>
  <c r="I48" i="35" s="1"/>
  <c r="J48" i="35" s="1"/>
  <c r="K48" i="35" s="1"/>
  <c r="L48" i="35" s="1"/>
  <c r="M48" i="35" s="1"/>
  <c r="N48" i="35" s="1"/>
  <c r="O48" i="35" s="1"/>
  <c r="J7" i="35"/>
  <c r="H7" i="37"/>
  <c r="F7" i="37"/>
  <c r="J7" i="37"/>
  <c r="D46" i="36"/>
  <c r="E63" i="40"/>
  <c r="C65" i="40"/>
  <c r="E58" i="21"/>
  <c r="F58" i="21" s="1"/>
  <c r="G58" i="21" s="1"/>
  <c r="H58" i="21" s="1"/>
  <c r="I58" i="21" s="1"/>
  <c r="J58" i="21" s="1"/>
  <c r="K58" i="21" s="1"/>
  <c r="L58" i="21" s="1"/>
  <c r="M58" i="21" s="1"/>
  <c r="N58" i="21" s="1"/>
  <c r="O58" i="21" s="1"/>
  <c r="J7" i="21"/>
  <c r="H7" i="21"/>
  <c r="D58" i="33"/>
  <c r="E58" i="33" s="1"/>
  <c r="F58" i="33" s="1"/>
  <c r="G58" i="33" s="1"/>
  <c r="H58" i="33" s="1"/>
  <c r="I58" i="33" s="1"/>
  <c r="J58" i="33" s="1"/>
  <c r="K58" i="33" s="1"/>
  <c r="L58" i="33" s="1"/>
  <c r="M58" i="33" s="1"/>
  <c r="N58" i="33" s="1"/>
  <c r="O58" i="33" s="1"/>
  <c r="C70" i="39"/>
  <c r="D68" i="39"/>
  <c r="F7" i="35"/>
  <c r="F7" i="34"/>
  <c r="F68" i="15"/>
  <c r="F65" i="67"/>
  <c r="M7" i="67"/>
  <c r="F50" i="67"/>
  <c r="B11" i="70"/>
  <c r="B12" i="70"/>
  <c r="C6" i="67"/>
  <c r="C27" i="67"/>
  <c r="B20" i="31"/>
  <c r="F69" i="67"/>
  <c r="F63" i="67"/>
  <c r="C62" i="67" s="1"/>
  <c r="C34" i="67"/>
  <c r="B10" i="70"/>
  <c r="F66" i="67"/>
  <c r="M59" i="15"/>
  <c r="L59" i="15" s="1"/>
  <c r="N59" i="15"/>
  <c r="B13" i="70"/>
  <c r="Q71" i="15"/>
  <c r="F51" i="67"/>
  <c r="I54" i="67"/>
  <c r="J57" i="67"/>
  <c r="J55" i="67" s="1"/>
  <c r="J58" i="67" s="1"/>
  <c r="Q50" i="67" s="1"/>
  <c r="L56" i="67"/>
  <c r="J20" i="67"/>
  <c r="F70" i="67"/>
  <c r="F64" i="67"/>
  <c r="F71" i="67"/>
  <c r="F68" i="67"/>
  <c r="L58" i="67"/>
  <c r="N59" i="67"/>
  <c r="L59" i="67"/>
  <c r="M59" i="67"/>
  <c r="Q71" i="67"/>
  <c r="E20" i="43"/>
  <c r="F66" i="15"/>
  <c r="F65" i="15"/>
  <c r="F64" i="15"/>
  <c r="C27" i="15"/>
  <c r="E11" i="49"/>
  <c r="E5" i="49"/>
  <c r="B22" i="49"/>
  <c r="M17" i="67"/>
  <c r="G1" i="73"/>
  <c r="C16" i="67"/>
  <c r="F31" i="15"/>
  <c r="F59" i="67"/>
  <c r="F59" i="15"/>
  <c r="M17" i="15"/>
  <c r="C14" i="67"/>
  <c r="L48" i="15"/>
  <c r="C16" i="15"/>
  <c r="F31" i="67"/>
  <c r="C17" i="67"/>
  <c r="E15" i="74" l="1"/>
  <c r="F15" i="74"/>
  <c r="J57" i="15"/>
  <c r="J55" i="15" s="1"/>
  <c r="J58" i="15" s="1"/>
  <c r="Q50" i="15" s="1"/>
  <c r="J59" i="15"/>
  <c r="I54" i="15"/>
  <c r="L57" i="15"/>
  <c r="J53" i="15"/>
  <c r="Q52" i="15" s="1"/>
  <c r="L60" i="15"/>
  <c r="Q66" i="15" s="1"/>
  <c r="L58" i="15"/>
  <c r="Q60" i="15" s="1"/>
  <c r="J60" i="15"/>
  <c r="Q48" i="15" s="1"/>
  <c r="L56" i="15"/>
  <c r="F27" i="6"/>
  <c r="E51" i="40"/>
  <c r="E56" i="39"/>
  <c r="F7" i="33"/>
  <c r="H7" i="35"/>
  <c r="J7" i="34"/>
  <c r="G21" i="6"/>
  <c r="BE13" i="3"/>
  <c r="BE5" i="3" s="1"/>
  <c r="O5" i="3"/>
  <c r="E48" i="71"/>
  <c r="P49" i="71"/>
  <c r="D37" i="71"/>
  <c r="C38" i="71"/>
  <c r="D17" i="71"/>
  <c r="C18" i="71"/>
  <c r="G6" i="1"/>
  <c r="AA44" i="39"/>
  <c r="S44" i="39"/>
  <c r="U12" i="36"/>
  <c r="AB12" i="36"/>
  <c r="H14" i="74"/>
  <c r="B7" i="74" s="1"/>
  <c r="D10" i="52"/>
  <c r="D125" i="9"/>
  <c r="D11" i="52" s="1"/>
  <c r="D127" i="9"/>
  <c r="D13" i="52" s="1"/>
  <c r="I14" i="74"/>
  <c r="B8" i="74" s="1"/>
  <c r="D12" i="52"/>
  <c r="D7" i="12"/>
  <c r="K7" i="1"/>
  <c r="C56" i="71"/>
  <c r="D56" i="71" s="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s="1"/>
  <c r="I81" i="39" s="1"/>
  <c r="F11" i="80"/>
  <c r="M11" i="80"/>
  <c r="M11" i="79"/>
  <c r="F11" i="79"/>
  <c r="M11" i="78"/>
  <c r="F11" i="78"/>
  <c r="O6" i="1"/>
  <c r="C49" i="15"/>
  <c r="B40" i="1"/>
  <c r="S7" i="34"/>
  <c r="AA7" i="34"/>
  <c r="R49" i="34" s="1"/>
  <c r="AA7" i="33"/>
  <c r="R48" i="33" s="1"/>
  <c r="S7" i="33"/>
  <c r="W7" i="21"/>
  <c r="AC7" i="21"/>
  <c r="V48" i="21" s="1"/>
  <c r="I48" i="21" s="1"/>
  <c r="E46" i="36"/>
  <c r="S7" i="37"/>
  <c r="AA7" i="37"/>
  <c r="R42" i="37" s="1"/>
  <c r="AC7" i="35"/>
  <c r="V38" i="35" s="1"/>
  <c r="I38" i="35" s="1"/>
  <c r="W7" i="35"/>
  <c r="AB7" i="35"/>
  <c r="T38" i="35" s="1"/>
  <c r="G38" i="35" s="1"/>
  <c r="U7" i="35"/>
  <c r="AC7" i="34"/>
  <c r="V49" i="34" s="1"/>
  <c r="I49" i="34" s="1"/>
  <c r="W7" i="34"/>
  <c r="AA7" i="35"/>
  <c r="R38" i="35" s="1"/>
  <c r="S7" i="35"/>
  <c r="D70" i="39"/>
  <c r="E68" i="39"/>
  <c r="U7" i="21"/>
  <c r="AB7" i="21"/>
  <c r="T48" i="21" s="1"/>
  <c r="G48" i="21" s="1"/>
  <c r="E65" i="40"/>
  <c r="F63" i="40"/>
  <c r="AC7" i="37"/>
  <c r="V42" i="37" s="1"/>
  <c r="I42" i="37" s="1"/>
  <c r="W7" i="37"/>
  <c r="AB7" i="37"/>
  <c r="T42" i="37" s="1"/>
  <c r="G42" i="37" s="1"/>
  <c r="U7" i="37"/>
  <c r="F11" i="15"/>
  <c r="M11" i="15"/>
  <c r="J10" i="15" s="1"/>
  <c r="J5" i="15" s="1"/>
  <c r="F11" i="67"/>
  <c r="M11" i="67"/>
  <c r="J10" i="67" s="1"/>
  <c r="C49" i="67"/>
  <c r="H7" i="33"/>
  <c r="J7" i="33"/>
  <c r="F7" i="21"/>
  <c r="H7" i="34"/>
  <c r="C18" i="67"/>
  <c r="C15" i="67"/>
  <c r="O17" i="43"/>
  <c r="N17" i="43"/>
  <c r="M17" i="43"/>
  <c r="P17" i="43"/>
  <c r="Q74" i="15"/>
  <c r="Q61" i="15"/>
  <c r="Q61" i="67"/>
  <c r="Q74" i="67"/>
  <c r="Q60" i="67"/>
  <c r="Q73" i="67"/>
  <c r="J6" i="67"/>
  <c r="M6" i="79"/>
  <c r="M6" i="78"/>
  <c r="M23" i="78"/>
  <c r="F13" i="80"/>
  <c r="F37" i="79"/>
  <c r="M24" i="78"/>
  <c r="F36" i="79"/>
  <c r="M29" i="80"/>
  <c r="F6" i="80"/>
  <c r="J15" i="78"/>
  <c r="C76" i="80"/>
  <c r="F9" i="80"/>
  <c r="J15" i="79"/>
  <c r="L48" i="78"/>
  <c r="F26" i="79"/>
  <c r="M9" i="78"/>
  <c r="M8" i="80"/>
  <c r="M24" i="79"/>
  <c r="F38" i="80"/>
  <c r="F6" i="79"/>
  <c r="C76" i="79"/>
  <c r="M8" i="79"/>
  <c r="F42" i="79"/>
  <c r="M28" i="78"/>
  <c r="F37" i="78"/>
  <c r="F8" i="79"/>
  <c r="F37" i="80"/>
  <c r="M26" i="79"/>
  <c r="M8" i="78"/>
  <c r="F16" i="80"/>
  <c r="C76" i="78"/>
  <c r="J15" i="80"/>
  <c r="M9" i="80"/>
  <c r="M27" i="80"/>
  <c r="M27" i="79"/>
  <c r="F38" i="79"/>
  <c r="F6" i="78"/>
  <c r="F42" i="80"/>
  <c r="F16" i="79"/>
  <c r="F7" i="78"/>
  <c r="M23" i="80"/>
  <c r="F9" i="79"/>
  <c r="F9" i="78"/>
  <c r="M27" i="78"/>
  <c r="M22" i="80"/>
  <c r="F36" i="80"/>
  <c r="F13" i="79"/>
  <c r="M22" i="78"/>
  <c r="F38" i="78"/>
  <c r="M28" i="80"/>
  <c r="L48" i="80"/>
  <c r="L47" i="80"/>
  <c r="M26" i="78"/>
  <c r="M24" i="80"/>
  <c r="F26" i="80"/>
  <c r="F42" i="78"/>
  <c r="M9" i="79"/>
  <c r="F8" i="78"/>
  <c r="F31" i="78" s="1"/>
  <c r="F43" i="80"/>
  <c r="F40" i="79"/>
  <c r="F13" i="78"/>
  <c r="F8" i="80"/>
  <c r="F43" i="78"/>
  <c r="L48" i="79"/>
  <c r="M22" i="79"/>
  <c r="F36" i="78"/>
  <c r="L47" i="79"/>
  <c r="M23" i="79"/>
  <c r="F40" i="78"/>
  <c r="F7" i="80"/>
  <c r="F31" i="80" s="1"/>
  <c r="M28" i="79"/>
  <c r="M6" i="80"/>
  <c r="M26" i="80"/>
  <c r="M29" i="78"/>
  <c r="L47" i="78"/>
  <c r="F40" i="80"/>
  <c r="F26" i="78"/>
  <c r="F16" i="78"/>
  <c r="Q57" i="15" l="1"/>
  <c r="L46" i="15"/>
  <c r="F1" i="15"/>
  <c r="Q73" i="15"/>
  <c r="L57" i="80"/>
  <c r="I54" i="80"/>
  <c r="J53" i="80"/>
  <c r="L56" i="80"/>
  <c r="J57" i="80"/>
  <c r="J55" i="80" s="1"/>
  <c r="J58" i="80" s="1"/>
  <c r="Q50" i="80" s="1"/>
  <c r="J59" i="80"/>
  <c r="L60" i="80"/>
  <c r="J60" i="80"/>
  <c r="Q48" i="80" s="1"/>
  <c r="F66" i="80"/>
  <c r="C6" i="80"/>
  <c r="C10" i="80" s="1"/>
  <c r="F71" i="80"/>
  <c r="F65" i="80"/>
  <c r="F71" i="78"/>
  <c r="N59" i="78"/>
  <c r="M59" i="78"/>
  <c r="L59" i="78" s="1"/>
  <c r="L58" i="78"/>
  <c r="F66" i="78"/>
  <c r="C27" i="78"/>
  <c r="M7" i="78"/>
  <c r="F50" i="78"/>
  <c r="Q71" i="78"/>
  <c r="F51" i="78"/>
  <c r="C49" i="78" s="1"/>
  <c r="J60" i="79"/>
  <c r="Q48" i="79" s="1"/>
  <c r="J57" i="79"/>
  <c r="J55" i="79" s="1"/>
  <c r="J58" i="79" s="1"/>
  <c r="Q50" i="79" s="1"/>
  <c r="L60" i="79"/>
  <c r="J53" i="79"/>
  <c r="L57" i="79"/>
  <c r="I54" i="79"/>
  <c r="L56" i="79"/>
  <c r="J59" i="79"/>
  <c r="N59" i="79"/>
  <c r="M59" i="79"/>
  <c r="L59" i="79" s="1"/>
  <c r="L58" i="79"/>
  <c r="F64" i="79"/>
  <c r="F51" i="79"/>
  <c r="Q71" i="79"/>
  <c r="F68" i="79"/>
  <c r="C27" i="79"/>
  <c r="N59" i="80"/>
  <c r="M59" i="80"/>
  <c r="L59" i="80" s="1"/>
  <c r="L58" i="80"/>
  <c r="F64" i="80"/>
  <c r="C27" i="80"/>
  <c r="M7" i="80"/>
  <c r="F50" i="80"/>
  <c r="Q71" i="80"/>
  <c r="F68" i="80"/>
  <c r="F51" i="80"/>
  <c r="L60" i="78"/>
  <c r="J53" i="78"/>
  <c r="L56" i="78"/>
  <c r="I54" i="78"/>
  <c r="L57" i="78"/>
  <c r="J60" i="78"/>
  <c r="Q48" i="78" s="1"/>
  <c r="J59" i="78"/>
  <c r="J57" i="78"/>
  <c r="J55" i="78" s="1"/>
  <c r="J58" i="78" s="1"/>
  <c r="Q50" i="78" s="1"/>
  <c r="F65" i="78"/>
  <c r="F64" i="78"/>
  <c r="C6" i="78"/>
  <c r="F68" i="78"/>
  <c r="F66" i="79"/>
  <c r="F65" i="79"/>
  <c r="E28" i="6"/>
  <c r="F30" i="6"/>
  <c r="D48" i="71"/>
  <c r="O47" i="71"/>
  <c r="O48" i="71"/>
  <c r="Q48" i="71"/>
  <c r="Q47" i="71"/>
  <c r="M7" i="1"/>
  <c r="M20" i="43"/>
  <c r="C19" i="43" s="1"/>
  <c r="T18" i="71"/>
  <c r="D18" i="71"/>
  <c r="T38" i="71"/>
  <c r="D38" i="71"/>
  <c r="P48" i="71"/>
  <c r="P47" i="71"/>
  <c r="E21" i="6"/>
  <c r="G27" i="6"/>
  <c r="G31" i="6" s="1"/>
  <c r="F31" i="6"/>
  <c r="J81" i="39"/>
  <c r="K81" i="39" s="1"/>
  <c r="L81" i="39" s="1"/>
  <c r="M81" i="39" s="1"/>
  <c r="F24" i="79"/>
  <c r="C24" i="79" s="1"/>
  <c r="F24" i="80"/>
  <c r="C53" i="80"/>
  <c r="C53" i="79"/>
  <c r="F22" i="68"/>
  <c r="C26" i="68" s="1"/>
  <c r="D22" i="68" s="1"/>
  <c r="F24" i="78"/>
  <c r="C53" i="78"/>
  <c r="C10" i="78"/>
  <c r="F25" i="12"/>
  <c r="C26" i="12" s="1"/>
  <c r="D25" i="12" s="1"/>
  <c r="F24" i="67"/>
  <c r="C24" i="67" s="1"/>
  <c r="F24" i="15"/>
  <c r="C24" i="15" s="1"/>
  <c r="F22" i="11"/>
  <c r="C23" i="11" s="1"/>
  <c r="F22" i="69"/>
  <c r="C44" i="69" s="1"/>
  <c r="D41" i="69" s="1"/>
  <c r="J5" i="67"/>
  <c r="J26" i="67" s="1"/>
  <c r="J29" i="67" s="1"/>
  <c r="C19" i="67"/>
  <c r="C20" i="67" s="1"/>
  <c r="C26" i="67" s="1"/>
  <c r="P6" i="1"/>
  <c r="U7" i="34"/>
  <c r="AB7" i="34"/>
  <c r="T49" i="34" s="1"/>
  <c r="G49" i="34" s="1"/>
  <c r="U7" i="33"/>
  <c r="AB7" i="33"/>
  <c r="T48" i="33" s="1"/>
  <c r="G48" i="33" s="1"/>
  <c r="G63" i="40"/>
  <c r="F65" i="40"/>
  <c r="G52" i="21"/>
  <c r="H52" i="21" s="1"/>
  <c r="G53" i="21"/>
  <c r="H53" i="21" s="1"/>
  <c r="E70" i="39"/>
  <c r="F68" i="39"/>
  <c r="I53" i="34"/>
  <c r="J53" i="34" s="1"/>
  <c r="G43" i="35"/>
  <c r="H43" i="35" s="1"/>
  <c r="G42" i="35"/>
  <c r="H42" i="35" s="1"/>
  <c r="I42" i="35"/>
  <c r="J42" i="35" s="1"/>
  <c r="F46" i="36"/>
  <c r="I52" i="21"/>
  <c r="J52" i="21" s="1"/>
  <c r="S7" i="21"/>
  <c r="AA7" i="21"/>
  <c r="R48" i="21" s="1"/>
  <c r="W7" i="33"/>
  <c r="AC7" i="33"/>
  <c r="V48" i="33" s="1"/>
  <c r="I48" i="33" s="1"/>
  <c r="C53" i="67"/>
  <c r="C48" i="67" s="1"/>
  <c r="C10" i="67"/>
  <c r="C5" i="67" s="1"/>
  <c r="C10" i="15"/>
  <c r="C5" i="15" s="1"/>
  <c r="C53" i="15"/>
  <c r="C48" i="15" s="1"/>
  <c r="G47" i="37"/>
  <c r="H47" i="37" s="1"/>
  <c r="G46" i="37"/>
  <c r="H46" i="37" s="1"/>
  <c r="I46" i="37"/>
  <c r="J46" i="37" s="1"/>
  <c r="R39" i="35"/>
  <c r="E38" i="35"/>
  <c r="R43" i="37"/>
  <c r="E42" i="37"/>
  <c r="R49" i="33"/>
  <c r="E48" i="33"/>
  <c r="E49" i="34"/>
  <c r="R50" i="34"/>
  <c r="J26" i="15"/>
  <c r="J18" i="15"/>
  <c r="J24" i="15"/>
  <c r="C24" i="68"/>
  <c r="AE6" i="1"/>
  <c r="C16" i="80"/>
  <c r="F59" i="80"/>
  <c r="F41" i="15"/>
  <c r="M17" i="78"/>
  <c r="C16" i="78"/>
  <c r="F59" i="78"/>
  <c r="M17" i="80"/>
  <c r="C48" i="78" l="1"/>
  <c r="C5" i="78"/>
  <c r="C38" i="78" s="1"/>
  <c r="L46" i="80"/>
  <c r="L46" i="79"/>
  <c r="C5" i="80"/>
  <c r="C38" i="80" s="1"/>
  <c r="L46" i="78"/>
  <c r="O7" i="1"/>
  <c r="Q57" i="78"/>
  <c r="Q66" i="78"/>
  <c r="Q74" i="80"/>
  <c r="Q61" i="80"/>
  <c r="Q74" i="79"/>
  <c r="Q61" i="79"/>
  <c r="F1" i="79"/>
  <c r="Q52" i="79"/>
  <c r="Q74" i="78"/>
  <c r="Q61" i="78"/>
  <c r="Q66" i="80"/>
  <c r="Q57" i="80"/>
  <c r="F1" i="80"/>
  <c r="Q52" i="80"/>
  <c r="K8" i="1"/>
  <c r="E7" i="12"/>
  <c r="C33" i="43"/>
  <c r="T16" i="43"/>
  <c r="V16" i="43" s="1"/>
  <c r="T12" i="43"/>
  <c r="V12" i="43" s="1"/>
  <c r="T8" i="43"/>
  <c r="V8" i="43" s="1"/>
  <c r="T13" i="43"/>
  <c r="V13" i="43" s="1"/>
  <c r="C34" i="43"/>
  <c r="C36" i="43"/>
  <c r="C38" i="43"/>
  <c r="T11" i="43"/>
  <c r="V11" i="43" s="1"/>
  <c r="T14" i="43"/>
  <c r="V14" i="43" s="1"/>
  <c r="T9" i="43"/>
  <c r="V9" i="43" s="1"/>
  <c r="T15" i="43"/>
  <c r="V15" i="43" s="1"/>
  <c r="T10" i="43"/>
  <c r="V10" i="43" s="1"/>
  <c r="C35" i="43"/>
  <c r="C37" i="43"/>
  <c r="C39" i="43"/>
  <c r="E39" i="43" s="1"/>
  <c r="K14" i="1"/>
  <c r="M14" i="1" s="1"/>
  <c r="O14" i="1" s="1"/>
  <c r="P14" i="1" s="1"/>
  <c r="E30" i="6"/>
  <c r="Q52" i="78"/>
  <c r="F1" i="78"/>
  <c r="C49" i="80"/>
  <c r="C48" i="80" s="1"/>
  <c r="J6" i="80"/>
  <c r="J10" i="80" s="1"/>
  <c r="J5" i="80" s="1"/>
  <c r="Q73" i="80"/>
  <c r="Q60" i="80"/>
  <c r="Q60" i="79"/>
  <c r="Q73" i="79"/>
  <c r="Q66" i="79"/>
  <c r="Q57" i="79"/>
  <c r="J6" i="78"/>
  <c r="J10" i="78" s="1"/>
  <c r="J5" i="78" s="1"/>
  <c r="Q73" i="78"/>
  <c r="Q60" i="78"/>
  <c r="C44" i="68"/>
  <c r="D41" i="68" s="1"/>
  <c r="C24" i="80"/>
  <c r="C24" i="78"/>
  <c r="J18" i="67"/>
  <c r="C61" i="78"/>
  <c r="C66" i="78"/>
  <c r="C60" i="78"/>
  <c r="C26" i="69"/>
  <c r="D22" i="69" s="1"/>
  <c r="F69" i="15"/>
  <c r="J29" i="15"/>
  <c r="C26" i="11"/>
  <c r="D22" i="11" s="1"/>
  <c r="C44" i="11"/>
  <c r="D41" i="11" s="1"/>
  <c r="J24" i="67"/>
  <c r="C23" i="67"/>
  <c r="C29" i="67" s="1"/>
  <c r="C36" i="67" s="1"/>
  <c r="C50" i="34"/>
  <c r="C49" i="34"/>
  <c r="E53" i="33"/>
  <c r="F53" i="33" s="1"/>
  <c r="E52" i="33"/>
  <c r="F52" i="33" s="1"/>
  <c r="E46" i="37"/>
  <c r="F46" i="37" s="1"/>
  <c r="E47" i="37"/>
  <c r="F47" i="37" s="1"/>
  <c r="E42" i="35"/>
  <c r="F42" i="35" s="1"/>
  <c r="E43" i="35"/>
  <c r="F43" i="35" s="1"/>
  <c r="C60" i="15"/>
  <c r="C66" i="15"/>
  <c r="C38" i="67"/>
  <c r="C32" i="67"/>
  <c r="I52" i="33"/>
  <c r="J52" i="33" s="1"/>
  <c r="I53" i="33"/>
  <c r="J53" i="33" s="1"/>
  <c r="R49" i="21"/>
  <c r="E48" i="21"/>
  <c r="F70" i="39"/>
  <c r="G68" i="39"/>
  <c r="G52" i="33"/>
  <c r="H52" i="33" s="1"/>
  <c r="G53" i="33"/>
  <c r="H53" i="33" s="1"/>
  <c r="G53" i="34"/>
  <c r="H53" i="34" s="1"/>
  <c r="G54" i="34"/>
  <c r="H54" i="34" s="1"/>
  <c r="C60" i="67"/>
  <c r="C66" i="67"/>
  <c r="E54" i="34"/>
  <c r="F54" i="34" s="1"/>
  <c r="E53" i="34"/>
  <c r="F53" i="34" s="1"/>
  <c r="C48" i="33"/>
  <c r="C49" i="33"/>
  <c r="C42" i="37"/>
  <c r="C43" i="37"/>
  <c r="C38" i="35"/>
  <c r="C39" i="35"/>
  <c r="B2" i="35" s="1"/>
  <c r="B3" i="35" s="1"/>
  <c r="C32" i="15"/>
  <c r="C38" i="15"/>
  <c r="G46" i="36"/>
  <c r="G65" i="40"/>
  <c r="H63" i="40"/>
  <c r="I43" i="35"/>
  <c r="J43" i="35" s="1"/>
  <c r="I47" i="37"/>
  <c r="J47" i="37" s="1"/>
  <c r="I54" i="34"/>
  <c r="J54" i="34" s="1"/>
  <c r="M29" i="79"/>
  <c r="AE8" i="1"/>
  <c r="F7" i="79"/>
  <c r="AE7" i="1"/>
  <c r="F43" i="79"/>
  <c r="AE9" i="1"/>
  <c r="G15" i="74" l="1"/>
  <c r="C33" i="78"/>
  <c r="C32" i="78"/>
  <c r="C33" i="80"/>
  <c r="C32" i="80"/>
  <c r="J19" i="67"/>
  <c r="J17" i="67" s="1"/>
  <c r="F71" i="79"/>
  <c r="M7" i="79"/>
  <c r="F50" i="79"/>
  <c r="C6" i="79"/>
  <c r="C66" i="80"/>
  <c r="C60" i="80"/>
  <c r="C61" i="80"/>
  <c r="J24" i="78"/>
  <c r="J26" i="78"/>
  <c r="J18" i="78"/>
  <c r="J26" i="80"/>
  <c r="J18" i="80"/>
  <c r="J24" i="80"/>
  <c r="E35" i="43"/>
  <c r="G35" i="43"/>
  <c r="I35" i="43" s="1"/>
  <c r="E38" i="43"/>
  <c r="G38" i="43"/>
  <c r="I38" i="43" s="1"/>
  <c r="E34" i="43"/>
  <c r="G34" i="43"/>
  <c r="I34" i="43" s="1"/>
  <c r="P7" i="1"/>
  <c r="G37" i="43"/>
  <c r="I37" i="43" s="1"/>
  <c r="E37" i="43"/>
  <c r="G36" i="43"/>
  <c r="I36" i="43" s="1"/>
  <c r="E36" i="43"/>
  <c r="E33" i="43"/>
  <c r="G33" i="43"/>
  <c r="I33" i="43" s="1"/>
  <c r="M8" i="1"/>
  <c r="Q16" i="1"/>
  <c r="K16" i="1"/>
  <c r="H16" i="1"/>
  <c r="G16" i="1"/>
  <c r="C34" i="69"/>
  <c r="C33" i="67"/>
  <c r="C31" i="67" s="1"/>
  <c r="C57" i="67"/>
  <c r="C64" i="67" s="1"/>
  <c r="J14" i="67"/>
  <c r="J22" i="67" s="1"/>
  <c r="J59" i="67"/>
  <c r="J60" i="67" s="1"/>
  <c r="L46" i="67" s="1"/>
  <c r="Q49" i="67"/>
  <c r="C13" i="67"/>
  <c r="C37" i="67" s="1"/>
  <c r="I63" i="40"/>
  <c r="H65" i="40"/>
  <c r="G70" i="39"/>
  <c r="H68" i="39"/>
  <c r="E52" i="21"/>
  <c r="F52" i="21" s="1"/>
  <c r="E53" i="21"/>
  <c r="F53" i="21" s="1"/>
  <c r="I53" i="21"/>
  <c r="J53" i="21" s="1"/>
  <c r="H46" i="36"/>
  <c r="C48" i="21"/>
  <c r="C49" i="21"/>
  <c r="F41" i="78"/>
  <c r="F31" i="79"/>
  <c r="F41" i="79"/>
  <c r="F41" i="80"/>
  <c r="M17" i="79"/>
  <c r="C16" i="79"/>
  <c r="F59" i="79"/>
  <c r="C10" i="79" l="1"/>
  <c r="C5" i="79" s="1"/>
  <c r="F69" i="79"/>
  <c r="F69" i="80"/>
  <c r="F69" i="78"/>
  <c r="J29" i="80"/>
  <c r="J29" i="78"/>
  <c r="C38" i="69"/>
  <c r="C35" i="69"/>
  <c r="F27" i="68"/>
  <c r="F28" i="12"/>
  <c r="C29" i="12" s="1"/>
  <c r="D28" i="12" s="1"/>
  <c r="F27" i="69"/>
  <c r="F27" i="11"/>
  <c r="O8" i="1"/>
  <c r="M16" i="1"/>
  <c r="J6" i="79"/>
  <c r="J10" i="79" s="1"/>
  <c r="J5" i="79" s="1"/>
  <c r="J10" i="40"/>
  <c r="H10" i="39"/>
  <c r="F10" i="40"/>
  <c r="J10" i="39"/>
  <c r="F10" i="39"/>
  <c r="H10" i="40"/>
  <c r="C49" i="79"/>
  <c r="C48" i="79" s="1"/>
  <c r="Q48" i="67"/>
  <c r="C61" i="67"/>
  <c r="C59" i="67" s="1"/>
  <c r="J13" i="67"/>
  <c r="J23" i="67" s="1"/>
  <c r="J16" i="67" s="1"/>
  <c r="J25" i="67" s="1"/>
  <c r="Q70" i="67"/>
  <c r="C30" i="67"/>
  <c r="C39" i="67" s="1"/>
  <c r="C40" i="67" s="1"/>
  <c r="C75" i="67"/>
  <c r="C56" i="67"/>
  <c r="C65" i="67" s="1"/>
  <c r="H70" i="39"/>
  <c r="I68" i="39"/>
  <c r="I46" i="36"/>
  <c r="I65" i="40"/>
  <c r="J63" i="40"/>
  <c r="L51" i="67"/>
  <c r="C33" i="79" l="1"/>
  <c r="C32" i="79"/>
  <c r="C38" i="79"/>
  <c r="C60" i="79"/>
  <c r="C66" i="79"/>
  <c r="C61" i="79"/>
  <c r="AA10" i="39"/>
  <c r="S10" i="39"/>
  <c r="S10" i="40"/>
  <c r="AA10" i="40"/>
  <c r="AC10" i="40"/>
  <c r="W10" i="40"/>
  <c r="L16" i="1"/>
  <c r="N16" i="1"/>
  <c r="C47" i="11"/>
  <c r="D45" i="11" s="1"/>
  <c r="C29" i="11"/>
  <c r="D27" i="11" s="1"/>
  <c r="AB10" i="40"/>
  <c r="U10" i="40"/>
  <c r="W10" i="39"/>
  <c r="AC10" i="39"/>
  <c r="AB10" i="39"/>
  <c r="U10" i="39"/>
  <c r="J24" i="79"/>
  <c r="J26" i="79"/>
  <c r="J29" i="79" s="1"/>
  <c r="J18" i="79"/>
  <c r="P8" i="1"/>
  <c r="P16" i="1" s="1"/>
  <c r="C11" i="12" s="1"/>
  <c r="O16" i="1"/>
  <c r="C47" i="69"/>
  <c r="D45" i="69" s="1"/>
  <c r="C29" i="69"/>
  <c r="D27" i="69" s="1"/>
  <c r="C47" i="68"/>
  <c r="D45" i="68" s="1"/>
  <c r="C29" i="68"/>
  <c r="D27" i="68" s="1"/>
  <c r="C58" i="67"/>
  <c r="C67" i="67" s="1"/>
  <c r="C68" i="67" s="1"/>
  <c r="C71" i="67" s="1"/>
  <c r="Q67" i="67"/>
  <c r="L57" i="67"/>
  <c r="L60" i="67" s="1"/>
  <c r="Q66" i="67" s="1"/>
  <c r="C80" i="67"/>
  <c r="C79" i="67" s="1"/>
  <c r="Q69" i="67"/>
  <c r="Q68" i="67" s="1"/>
  <c r="J65" i="40"/>
  <c r="K63" i="40"/>
  <c r="I70" i="39"/>
  <c r="J68" i="39"/>
  <c r="J46" i="36"/>
  <c r="Q65" i="67"/>
  <c r="Q47" i="67"/>
  <c r="Q53" i="67" s="1"/>
  <c r="D2" i="67"/>
  <c r="Q56" i="67"/>
  <c r="C43" i="67"/>
  <c r="C83" i="67"/>
  <c r="C82" i="67" s="1"/>
  <c r="C45" i="67" l="1"/>
  <c r="C46" i="67" s="1"/>
  <c r="C12" i="12"/>
  <c r="C15" i="12"/>
  <c r="F34" i="68"/>
  <c r="F34" i="11"/>
  <c r="F11" i="12"/>
  <c r="Q57" i="67"/>
  <c r="Q62" i="67" s="1"/>
  <c r="K46" i="36"/>
  <c r="J70" i="39"/>
  <c r="K68" i="39"/>
  <c r="K65" i="40"/>
  <c r="L63" i="40"/>
  <c r="B3" i="67"/>
  <c r="B2" i="67"/>
  <c r="Q75" i="67"/>
  <c r="C34" i="11" l="1"/>
  <c r="C36" i="11"/>
  <c r="C34" i="68"/>
  <c r="C36" i="68"/>
  <c r="K70" i="39"/>
  <c r="L68" i="39"/>
  <c r="L46" i="36"/>
  <c r="M46" i="36" s="1"/>
  <c r="N46" i="36" s="1"/>
  <c r="O46" i="36" s="1"/>
  <c r="H7" i="36"/>
  <c r="L65" i="40"/>
  <c r="M63" i="40"/>
  <c r="C38" i="68" l="1"/>
  <c r="C35" i="68"/>
  <c r="C35" i="11"/>
  <c r="C38" i="11"/>
  <c r="N63" i="40"/>
  <c r="M65" i="40"/>
  <c r="AB7" i="36"/>
  <c r="T36" i="36" s="1"/>
  <c r="G36" i="36" s="1"/>
  <c r="U7" i="36"/>
  <c r="L70" i="39"/>
  <c r="M68" i="39"/>
  <c r="J7" i="36"/>
  <c r="F7" i="36"/>
  <c r="W7" i="36" l="1"/>
  <c r="AC7" i="36"/>
  <c r="V36" i="36" s="1"/>
  <c r="I36" i="36" s="1"/>
  <c r="G40" i="36"/>
  <c r="H40" i="36" s="1"/>
  <c r="G41" i="36"/>
  <c r="H41" i="36" s="1"/>
  <c r="O63" i="40"/>
  <c r="O65" i="40" s="1"/>
  <c r="N65" i="40"/>
  <c r="S7" i="36"/>
  <c r="AA7" i="36"/>
  <c r="R36" i="36" s="1"/>
  <c r="M70" i="39"/>
  <c r="N68" i="39"/>
  <c r="N70" i="39" l="1"/>
  <c r="O68" i="39"/>
  <c r="O70" i="39" s="1"/>
  <c r="R37" i="36"/>
  <c r="E36" i="36"/>
  <c r="I40" i="36"/>
  <c r="J40" i="36" s="1"/>
  <c r="H7" i="40"/>
  <c r="J7" i="40"/>
  <c r="F7" i="40"/>
  <c r="W7" i="40" l="1"/>
  <c r="AC7" i="40"/>
  <c r="V42" i="40" s="1"/>
  <c r="I42" i="40" s="1"/>
  <c r="E40" i="36"/>
  <c r="F40" i="36" s="1"/>
  <c r="E41" i="36"/>
  <c r="F41" i="36" s="1"/>
  <c r="J7" i="39"/>
  <c r="F7" i="39"/>
  <c r="H7" i="39"/>
  <c r="AA7" i="40"/>
  <c r="R42" i="40" s="1"/>
  <c r="S7" i="40"/>
  <c r="AB7" i="40"/>
  <c r="T42" i="40" s="1"/>
  <c r="G42" i="40" s="1"/>
  <c r="U7" i="40"/>
  <c r="C37" i="36"/>
  <c r="B2" i="36" s="1"/>
  <c r="B3" i="36" s="1"/>
  <c r="C36" i="36"/>
  <c r="I41" i="36"/>
  <c r="J41" i="36" s="1"/>
  <c r="G47" i="40" l="1"/>
  <c r="H47" i="40" s="1"/>
  <c r="G46" i="40"/>
  <c r="H46" i="40" s="1"/>
  <c r="R43" i="40"/>
  <c r="E42" i="40"/>
  <c r="S7" i="39"/>
  <c r="AA7" i="39"/>
  <c r="I46" i="40"/>
  <c r="J46" i="40" s="1"/>
  <c r="AB7" i="39"/>
  <c r="U7" i="39"/>
  <c r="AC7" i="39"/>
  <c r="W7" i="39"/>
  <c r="E47" i="40" l="1"/>
  <c r="F47" i="40" s="1"/>
  <c r="E46" i="40"/>
  <c r="F46" i="40" s="1"/>
  <c r="C43" i="40"/>
  <c r="C42" i="40"/>
  <c r="I47" i="40"/>
  <c r="J47" i="40" s="1"/>
  <c r="B57" i="40" l="1"/>
  <c r="B58" i="40"/>
  <c r="B59" i="40"/>
  <c r="B52" i="40"/>
  <c r="F52" i="40" s="1"/>
  <c r="B56" i="40"/>
  <c r="B51" i="40"/>
  <c r="F51" i="40" s="1"/>
  <c r="B54" i="40"/>
  <c r="F54" i="40" s="1"/>
  <c r="B53" i="40"/>
  <c r="F53" i="40" s="1"/>
  <c r="B55" i="40"/>
  <c r="F55" i="40" s="1"/>
  <c r="B60" i="40"/>
  <c r="I4" i="6"/>
  <c r="G3" i="43" s="1"/>
  <c r="F22" i="43" l="1"/>
  <c r="G22" i="43"/>
  <c r="H22" i="43"/>
  <c r="K101" i="43"/>
  <c r="F101" i="43"/>
  <c r="N101" i="43"/>
  <c r="G101" i="43"/>
  <c r="C101" i="43"/>
  <c r="J101" i="43"/>
  <c r="L101" i="43"/>
  <c r="E22" i="43"/>
  <c r="E101" i="43"/>
  <c r="M101" i="43"/>
  <c r="H101" i="43"/>
  <c r="I101" i="43"/>
  <c r="D101" i="43"/>
  <c r="B113" i="43"/>
  <c r="N104" i="46"/>
  <c r="Z7" i="43"/>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7" i="43"/>
  <c r="T7" i="43" s="1"/>
  <c r="V7" i="43" s="1"/>
  <c r="S2" i="43"/>
  <c r="T2" i="43" s="1"/>
  <c r="V2" i="43" s="1"/>
  <c r="S5" i="43"/>
  <c r="T5" i="43" s="1"/>
  <c r="V5" i="43" s="1"/>
  <c r="S3" i="43"/>
  <c r="T3" i="43" s="1"/>
  <c r="V3" i="43" s="1"/>
  <c r="S4" i="43"/>
  <c r="T4" i="43" s="1"/>
  <c r="V4" i="43" s="1"/>
  <c r="C23" i="43"/>
  <c r="C21" i="43" s="1"/>
  <c r="D22" i="43" l="1"/>
  <c r="B115" i="43"/>
  <c r="B116" i="43"/>
  <c r="C116" i="43" s="1"/>
  <c r="D116" i="43"/>
  <c r="E116" i="43" s="1"/>
  <c r="F116" i="43" s="1"/>
  <c r="G116" i="43" s="1"/>
  <c r="H116"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B117" i="43"/>
  <c r="C117" i="43" s="1"/>
  <c r="I117" i="43"/>
  <c r="J117" i="43" s="1"/>
  <c r="K117" i="43" s="1"/>
  <c r="L117" i="43" s="1"/>
  <c r="M117" i="43" s="1"/>
  <c r="I116" i="43"/>
  <c r="J116" i="43" s="1"/>
  <c r="K116" i="43" s="1"/>
  <c r="L116" i="43" s="1"/>
  <c r="M116" i="43" s="1"/>
  <c r="D115" i="43"/>
  <c r="E115" i="43" s="1"/>
  <c r="F115" i="43" s="1"/>
  <c r="G115" i="43" s="1"/>
  <c r="H115" i="43" s="1"/>
  <c r="I106" i="43"/>
  <c r="I102" i="43"/>
  <c r="I107" i="43"/>
  <c r="I109" i="43"/>
  <c r="I103" i="43"/>
  <c r="I105" i="43"/>
  <c r="I104" i="43"/>
  <c r="M103" i="43"/>
  <c r="M105" i="43"/>
  <c r="M107" i="43"/>
  <c r="M104" i="43"/>
  <c r="M109" i="43"/>
  <c r="M106" i="43"/>
  <c r="M102" i="43"/>
  <c r="J104" i="43"/>
  <c r="J105" i="43"/>
  <c r="J109" i="43"/>
  <c r="J106" i="43"/>
  <c r="J103" i="43"/>
  <c r="J107" i="43"/>
  <c r="J102" i="43"/>
  <c r="G105" i="43"/>
  <c r="G102" i="43"/>
  <c r="G106" i="43"/>
  <c r="G107" i="43"/>
  <c r="G103" i="43"/>
  <c r="G104" i="43"/>
  <c r="G109" i="43"/>
  <c r="F107" i="43"/>
  <c r="F102" i="43"/>
  <c r="F104" i="43"/>
  <c r="F103" i="43"/>
  <c r="F105" i="43"/>
  <c r="F106" i="43"/>
  <c r="F109" i="43"/>
  <c r="C29" i="43"/>
  <c r="D102" i="43"/>
  <c r="D103" i="43"/>
  <c r="D105" i="43"/>
  <c r="D106" i="43"/>
  <c r="D107" i="43"/>
  <c r="D104" i="43"/>
  <c r="D109" i="43"/>
  <c r="H106" i="43"/>
  <c r="H107" i="43"/>
  <c r="H104" i="43"/>
  <c r="H103" i="43"/>
  <c r="H105" i="43"/>
  <c r="H102" i="43"/>
  <c r="H109" i="43"/>
  <c r="E107" i="43"/>
  <c r="E104" i="43"/>
  <c r="E102" i="43"/>
  <c r="E109" i="43"/>
  <c r="E105" i="43"/>
  <c r="E103" i="43"/>
  <c r="E106" i="43"/>
  <c r="L102" i="43"/>
  <c r="L106" i="43"/>
  <c r="L109" i="43"/>
  <c r="L104" i="43"/>
  <c r="L103" i="43"/>
  <c r="L105" i="43"/>
  <c r="L107" i="43"/>
  <c r="C104" i="43"/>
  <c r="C103" i="43"/>
  <c r="C102" i="43"/>
  <c r="C105" i="43"/>
  <c r="C106" i="43"/>
  <c r="C107" i="43"/>
  <c r="C109" i="43"/>
  <c r="N103" i="43"/>
  <c r="N104" i="43"/>
  <c r="N102" i="43"/>
  <c r="N107" i="43"/>
  <c r="N105" i="43"/>
  <c r="N106" i="43"/>
  <c r="N109" i="43"/>
  <c r="K107" i="43"/>
  <c r="K105" i="43"/>
  <c r="K103" i="43"/>
  <c r="K106" i="43"/>
  <c r="K102" i="43"/>
  <c r="K104" i="43"/>
  <c r="K109" i="43"/>
  <c r="C115" i="43" l="1"/>
  <c r="D113" i="43" s="1"/>
  <c r="J22" i="43" s="1"/>
  <c r="C30" i="43"/>
  <c r="E30" i="43" s="1"/>
  <c r="C27" i="43" s="1"/>
  <c r="E29" i="43"/>
  <c r="C26" i="43" s="1"/>
  <c r="E6" i="76"/>
  <c r="E2" i="76" l="1"/>
  <c r="B2" i="43"/>
  <c r="B6" i="76"/>
  <c r="B2" i="76" l="1"/>
  <c r="B3" i="76" s="1"/>
  <c r="B3" i="43"/>
  <c r="J38" i="39" l="1"/>
  <c r="H38" i="39"/>
  <c r="F38" i="39"/>
  <c r="U38" i="39" l="1"/>
  <c r="AB38" i="39"/>
  <c r="S38" i="39"/>
  <c r="AA38" i="39"/>
  <c r="W38" i="39"/>
  <c r="AC38" i="39"/>
  <c r="M5" i="3" l="1"/>
  <c r="H13" i="3"/>
  <c r="H5" i="3" s="1"/>
  <c r="BD13" i="3"/>
  <c r="BA13" i="3" s="1"/>
  <c r="BA5" i="3" l="1"/>
  <c r="E27" i="6" s="1"/>
  <c r="AZ13" i="3"/>
  <c r="AZ5" i="3" s="1"/>
  <c r="BD5" i="3"/>
  <c r="G13" i="3"/>
  <c r="K25" i="6" l="1"/>
  <c r="M25" i="6" s="1"/>
  <c r="I25" i="6" s="1"/>
  <c r="S25" i="6" s="1"/>
  <c r="E31" i="6"/>
  <c r="K20" i="6"/>
  <c r="K24" i="6"/>
  <c r="M24" i="6" s="1"/>
  <c r="I24" i="6" s="1"/>
  <c r="S24" i="6" s="1"/>
  <c r="K23" i="6"/>
  <c r="M23" i="6" s="1"/>
  <c r="I23" i="6" s="1"/>
  <c r="S23" i="6" s="1"/>
  <c r="K21" i="6"/>
  <c r="K26" i="6"/>
  <c r="M26" i="6" s="1"/>
  <c r="I26" i="6" s="1"/>
  <c r="S26" i="6" s="1"/>
  <c r="K22" i="6"/>
  <c r="K19" i="6"/>
  <c r="E10" i="6"/>
  <c r="E11" i="6"/>
  <c r="E14" i="6"/>
  <c r="E13" i="6"/>
  <c r="E15" i="6"/>
  <c r="E12" i="6"/>
  <c r="G5" i="3"/>
  <c r="B3" i="3" s="1"/>
  <c r="E13" i="3" s="1"/>
  <c r="E3" i="6"/>
  <c r="M22" i="6" l="1"/>
  <c r="I22" i="6" s="1"/>
  <c r="S22" i="6" s="1"/>
  <c r="S9" i="1"/>
  <c r="M21" i="6"/>
  <c r="I21" i="6" s="1"/>
  <c r="S21" i="6" s="1"/>
  <c r="S8" i="1"/>
  <c r="AY6" i="3"/>
  <c r="AY42" i="3" s="1"/>
  <c r="AY421" i="3"/>
  <c r="AY474" i="3"/>
  <c r="AY132" i="3"/>
  <c r="AY199" i="3"/>
  <c r="AY53" i="3"/>
  <c r="AY389" i="3"/>
  <c r="AY340" i="3"/>
  <c r="AY577" i="3"/>
  <c r="AY461" i="3"/>
  <c r="AY167" i="3"/>
  <c r="AY27" i="3"/>
  <c r="AY103" i="3"/>
  <c r="AY319" i="3"/>
  <c r="AY573" i="3"/>
  <c r="AY286" i="3"/>
  <c r="AY155" i="3"/>
  <c r="AY268" i="3"/>
  <c r="AY106" i="3"/>
  <c r="AY452" i="3"/>
  <c r="AY77" i="3"/>
  <c r="AY149" i="3"/>
  <c r="AY392" i="3"/>
  <c r="AY197" i="3"/>
  <c r="AY317" i="3"/>
  <c r="AY581" i="3"/>
  <c r="AY514" i="3"/>
  <c r="AY282" i="3"/>
  <c r="AY484" i="3"/>
  <c r="AY515" i="3"/>
  <c r="AY172" i="3"/>
  <c r="AY485" i="3"/>
  <c r="AY54" i="3"/>
  <c r="AY351" i="3"/>
  <c r="AY98" i="3"/>
  <c r="AY334" i="3"/>
  <c r="AY574" i="3"/>
  <c r="AY271" i="3"/>
  <c r="AY243" i="3"/>
  <c r="AY527" i="3"/>
  <c r="AY352" i="3"/>
  <c r="BA6" i="3"/>
  <c r="AY517" i="3"/>
  <c r="AY416" i="3"/>
  <c r="AY204" i="3"/>
  <c r="AY326" i="3"/>
  <c r="AY162" i="3"/>
  <c r="AY88" i="3"/>
  <c r="AY34" i="3"/>
  <c r="AY111" i="3"/>
  <c r="AY460" i="3"/>
  <c r="AY327" i="3"/>
  <c r="BE6" i="3"/>
  <c r="AY185" i="3"/>
  <c r="AY262" i="3"/>
  <c r="AY73" i="3"/>
  <c r="AY388" i="3"/>
  <c r="AY430" i="3"/>
  <c r="BG6" i="3"/>
  <c r="AY158" i="3"/>
  <c r="AY344" i="3"/>
  <c r="AY506" i="3"/>
  <c r="AY47" i="3"/>
  <c r="AY383" i="3"/>
  <c r="AY576" i="3"/>
  <c r="AY272" i="3"/>
  <c r="AY15" i="3"/>
  <c r="AY147" i="3"/>
  <c r="AY481" i="3"/>
  <c r="AY146" i="3"/>
  <c r="AY40" i="3"/>
  <c r="AY435" i="3"/>
  <c r="AY122" i="3"/>
  <c r="AY564" i="3"/>
  <c r="AY331" i="3"/>
  <c r="AY213" i="3"/>
  <c r="AY289" i="3"/>
  <c r="AY116" i="3"/>
  <c r="AY84" i="3"/>
  <c r="AY373" i="3"/>
  <c r="AY188" i="3"/>
  <c r="AY335" i="3"/>
  <c r="AY228" i="3"/>
  <c r="BK6" i="3"/>
  <c r="AY28" i="3"/>
  <c r="AY294" i="3"/>
  <c r="AY554" i="3"/>
  <c r="AY290" i="3"/>
  <c r="AY488" i="3"/>
  <c r="BF6" i="3"/>
  <c r="AY80" i="3"/>
  <c r="AY369" i="3"/>
  <c r="AY410" i="3"/>
  <c r="BP6" i="3"/>
  <c r="AY265" i="3"/>
  <c r="AY500" i="3"/>
  <c r="AY143" i="3"/>
  <c r="AY443" i="3"/>
  <c r="AY90" i="3"/>
  <c r="AY269" i="3"/>
  <c r="AY68" i="3"/>
  <c r="AY365" i="3"/>
  <c r="AY308" i="3"/>
  <c r="AY112" i="3"/>
  <c r="AY450" i="3"/>
  <c r="AY127" i="3"/>
  <c r="AY179" i="3"/>
  <c r="AY67" i="3"/>
  <c r="AY489" i="3"/>
  <c r="AY540" i="3"/>
  <c r="AY255" i="3"/>
  <c r="AY275" i="3"/>
  <c r="AY51" i="3"/>
  <c r="AY473" i="3"/>
  <c r="AY533" i="3"/>
  <c r="AY247" i="3"/>
  <c r="AY242" i="3"/>
  <c r="AY495" i="3"/>
  <c r="AY329" i="3"/>
  <c r="AY110" i="3"/>
  <c r="AY528" i="3"/>
  <c r="AY413" i="3"/>
  <c r="AY355" i="3"/>
  <c r="AY93" i="3"/>
  <c r="AY205" i="3"/>
  <c r="AY221" i="3"/>
  <c r="AY160" i="3"/>
  <c r="AY100" i="3"/>
  <c r="AY59" i="3"/>
  <c r="AY245" i="3"/>
  <c r="AY60" i="3"/>
  <c r="AY357" i="3"/>
  <c r="AY491" i="3"/>
  <c r="AY96" i="3"/>
  <c r="AY442" i="3"/>
  <c r="AY301" i="3"/>
  <c r="AY164" i="3"/>
  <c r="AY171" i="3"/>
  <c r="AY85" i="3"/>
  <c r="AY325" i="3"/>
  <c r="AY492" i="3"/>
  <c r="AY70" i="3"/>
  <c r="AY363" i="3"/>
  <c r="AY291" i="3"/>
  <c r="AY144" i="3"/>
  <c r="AY529" i="3"/>
  <c r="AY92" i="3"/>
  <c r="AY219" i="3"/>
  <c r="AY333" i="3"/>
  <c r="AY494" i="3"/>
  <c r="AY471" i="3"/>
  <c r="AY203" i="3"/>
  <c r="AY39" i="3"/>
  <c r="AY567" i="3"/>
  <c r="AY562" i="3"/>
  <c r="AY279" i="3"/>
  <c r="AY385" i="3"/>
  <c r="AY405" i="3"/>
  <c r="AY261" i="3"/>
  <c r="AY193" i="3"/>
  <c r="AY276" i="3"/>
  <c r="AY358" i="3"/>
  <c r="AY201" i="3"/>
  <c r="AY104" i="3"/>
  <c r="AY446" i="3"/>
  <c r="AY189" i="3"/>
  <c r="AY579" i="3"/>
  <c r="AY394" i="3"/>
  <c r="AY257" i="3"/>
  <c r="AY75" i="3"/>
  <c r="AY178" i="3"/>
  <c r="AY422" i="3"/>
  <c r="AY17" i="3"/>
  <c r="AY256" i="3"/>
  <c r="AY43" i="3"/>
  <c r="AY384" i="3"/>
  <c r="AY552" i="3"/>
  <c r="AY305" i="3"/>
  <c r="AY63" i="3"/>
  <c r="BL6" i="3"/>
  <c r="BD6" i="3"/>
  <c r="AY309" i="3"/>
  <c r="AY496" i="3"/>
  <c r="AY476" i="3"/>
  <c r="AY156" i="3"/>
  <c r="AY38" i="3"/>
  <c r="AY341" i="3"/>
  <c r="AY532" i="3"/>
  <c r="AY479" i="3"/>
  <c r="AY192" i="3"/>
  <c r="AY55" i="3"/>
  <c r="AY586" i="3"/>
  <c r="AY483" i="3"/>
  <c r="AY81" i="3"/>
  <c r="AY434" i="3"/>
  <c r="AY285" i="3"/>
  <c r="AY148" i="3"/>
  <c r="AY124" i="3"/>
  <c r="AY26" i="3"/>
  <c r="AY61" i="3"/>
  <c r="AY397" i="3"/>
  <c r="AY348" i="3"/>
  <c r="AY582" i="3"/>
  <c r="AY468" i="3"/>
  <c r="AY140" i="3"/>
  <c r="AY22" i="3"/>
  <c r="AY82" i="3"/>
  <c r="BO6" i="3"/>
  <c r="AY226" i="3"/>
  <c r="AY321" i="3"/>
  <c r="AY512" i="3"/>
  <c r="AY284" i="3"/>
  <c r="AY173" i="3"/>
  <c r="AY58" i="3"/>
  <c r="AY342" i="3"/>
  <c r="AY170" i="3"/>
  <c r="AY41" i="3"/>
  <c r="AY414" i="3"/>
  <c r="AY169" i="3"/>
  <c r="AY499" i="3"/>
  <c r="AY359" i="3"/>
  <c r="AY240" i="3"/>
  <c r="AY237" i="3"/>
  <c r="AY157" i="3"/>
  <c r="AY403" i="3"/>
  <c r="AY502" i="3"/>
  <c r="AY367" i="3"/>
  <c r="AY229" i="3"/>
  <c r="AY368" i="3"/>
  <c r="AY152" i="3"/>
  <c r="AY217" i="3"/>
  <c r="AY33" i="3"/>
  <c r="BH6" i="3"/>
  <c r="AY472" i="3"/>
  <c r="AY48" i="3"/>
  <c r="AY439" i="3"/>
  <c r="AY233" i="3"/>
  <c r="AY136" i="3"/>
  <c r="AY31" i="3"/>
  <c r="AY36" i="3"/>
  <c r="AY207" i="3"/>
  <c r="AY168" i="3"/>
  <c r="AY441" i="3"/>
  <c r="AY310" i="3"/>
  <c r="AY97" i="3"/>
  <c r="AY154" i="3"/>
  <c r="AY230" i="3"/>
  <c r="AY56" i="3"/>
  <c r="AY353" i="3"/>
  <c r="AY398" i="3"/>
  <c r="AY501" i="3"/>
  <c r="AY137" i="3"/>
  <c r="AY312" i="3"/>
  <c r="AY14" i="3"/>
  <c r="AY30" i="3"/>
  <c r="AY347" i="3"/>
  <c r="AY102" i="3"/>
  <c r="AY208" i="3"/>
  <c r="AY583" i="3"/>
  <c r="AY220" i="3"/>
  <c r="AY404" i="3"/>
  <c r="AY126" i="3"/>
  <c r="AY150" i="3"/>
  <c r="AY525" i="3"/>
  <c r="AY235" i="3"/>
  <c r="AY509" i="3"/>
  <c r="AY466" i="3"/>
  <c r="AY323" i="3"/>
  <c r="AY183" i="3"/>
  <c r="AY212" i="3"/>
  <c r="AY20" i="3"/>
  <c r="AY83" i="3"/>
  <c r="AY131" i="3"/>
  <c r="AY318" i="3"/>
  <c r="AY395" i="3"/>
  <c r="AY569" i="3"/>
  <c r="AY206" i="3"/>
  <c r="AY263" i="3"/>
  <c r="BJ6" i="3"/>
  <c r="AY274" i="3"/>
  <c r="AY457" i="3"/>
  <c r="AY546" i="3"/>
  <c r="AY37" i="3"/>
  <c r="AY345" i="3"/>
  <c r="AY423" i="3"/>
  <c r="AY493" i="3"/>
  <c r="AY248" i="3"/>
  <c r="AY547" i="3"/>
  <c r="AY293" i="3"/>
  <c r="AY400" i="3"/>
  <c r="AY163" i="3"/>
  <c r="AY390" i="3"/>
  <c r="AY25" i="3"/>
  <c r="BI6" i="3"/>
  <c r="AY464" i="3"/>
  <c r="AY32" i="3"/>
  <c r="AY431" i="3"/>
  <c r="AY264" i="3"/>
  <c r="AY119" i="3"/>
  <c r="AY196" i="3"/>
  <c r="AY412" i="3"/>
  <c r="AY105" i="3"/>
  <c r="AY238" i="3"/>
  <c r="AY215" i="3"/>
  <c r="AY95" i="3"/>
  <c r="AY382" i="3"/>
  <c r="AY300" i="3"/>
  <c r="AY401" i="3"/>
  <c r="AY76" i="3"/>
  <c r="AY125" i="3"/>
  <c r="AY374" i="3"/>
  <c r="AY145" i="3"/>
  <c r="AY316" i="3"/>
  <c r="AY585" i="3"/>
  <c r="AY101" i="3"/>
  <c r="AY234" i="3"/>
  <c r="AY458" i="3"/>
  <c r="AY530" i="3"/>
  <c r="AY120" i="3"/>
  <c r="AY440" i="3"/>
  <c r="AY195" i="3"/>
  <c r="AY322" i="3"/>
  <c r="AY191" i="3"/>
  <c r="AY425" i="3"/>
  <c r="AY89" i="3"/>
  <c r="AY222" i="3"/>
  <c r="AY356" i="3"/>
  <c r="AY508" i="3"/>
  <c r="AY304" i="3"/>
  <c r="AY35" i="3"/>
  <c r="AY86" i="3"/>
  <c r="AY504" i="3"/>
  <c r="AY209" i="3"/>
  <c r="AY417" i="3"/>
  <c r="AY134" i="3"/>
  <c r="AY176" i="3"/>
  <c r="AY297" i="3"/>
  <c r="AY409" i="3"/>
  <c r="AY465" i="3"/>
  <c r="AY108" i="3"/>
  <c r="AY138" i="3"/>
  <c r="AY214" i="3"/>
  <c r="AY24" i="3"/>
  <c r="AY349" i="3"/>
  <c r="AY427" i="3"/>
  <c r="AY584" i="3"/>
  <c r="AY129" i="3"/>
  <c r="AY487" i="3"/>
  <c r="AY522" i="3"/>
  <c r="AY19" i="3"/>
  <c r="AY315" i="3"/>
  <c r="AY71" i="3"/>
  <c r="AY386" i="3"/>
  <c r="BT6" i="3"/>
  <c r="AY387" i="3"/>
  <c r="AY535" i="3"/>
  <c r="AY117" i="3"/>
  <c r="AY130" i="3"/>
  <c r="AY516" i="3"/>
  <c r="AY218" i="3"/>
  <c r="BR6" i="3"/>
  <c r="AY424" i="3"/>
  <c r="AY306" i="3"/>
  <c r="AY123" i="3"/>
  <c r="AY379" i="3"/>
  <c r="AY198" i="3"/>
  <c r="BB6" i="3"/>
  <c r="AY438" i="3"/>
  <c r="AY281" i="3"/>
  <c r="AY372" i="3"/>
  <c r="AY190" i="3"/>
  <c r="AY109" i="3"/>
  <c r="AY462" i="3"/>
  <c r="AY194" i="3"/>
  <c r="AY407" i="3"/>
  <c r="AY216" i="3"/>
  <c r="AY288" i="3"/>
  <c r="AY292" i="3"/>
  <c r="AY182" i="3"/>
  <c r="AY454" i="3"/>
  <c r="AY399" i="3"/>
  <c r="AY273" i="3"/>
  <c r="AY497" i="3"/>
  <c r="AY227" i="3"/>
  <c r="AY371" i="3"/>
  <c r="AY513" i="3"/>
  <c r="AY299" i="3"/>
  <c r="AY114" i="3"/>
  <c r="AY561" i="3"/>
  <c r="AY223" i="3"/>
  <c r="AY545" i="3"/>
  <c r="AY408" i="3"/>
  <c r="AY477" i="3"/>
  <c r="AY526" i="3"/>
  <c r="AY211" i="3"/>
  <c r="AY556" i="3"/>
  <c r="AY187" i="3"/>
  <c r="AY498" i="3"/>
  <c r="AY557" i="3"/>
  <c r="AY161" i="3"/>
  <c r="AY253" i="3"/>
  <c r="AY463" i="3"/>
  <c r="AY165" i="3"/>
  <c r="AY202" i="3"/>
  <c r="AY411" i="3"/>
  <c r="AY287" i="3"/>
  <c r="AY575" i="3"/>
  <c r="AY330" i="3"/>
  <c r="AY375" i="3"/>
  <c r="AY350" i="3"/>
  <c r="AY302" i="3"/>
  <c r="BN6" i="3"/>
  <c r="AY531" i="3"/>
  <c r="AY459" i="3"/>
  <c r="AY343" i="3"/>
  <c r="AY66" i="3"/>
  <c r="AY470" i="3"/>
  <c r="AY541" i="3"/>
  <c r="AY231" i="3"/>
  <c r="AY210" i="3"/>
  <c r="AY510" i="3"/>
  <c r="AY313" i="3"/>
  <c r="AY79" i="3"/>
  <c r="AY568" i="3"/>
  <c r="AY521" i="3"/>
  <c r="AY311" i="3"/>
  <c r="AY57" i="3"/>
  <c r="AY142" i="3"/>
  <c r="AY376" i="3"/>
  <c r="AY139" i="3"/>
  <c r="AY69" i="3"/>
  <c r="AY324" i="3"/>
  <c r="AY174" i="3"/>
  <c r="AY505" i="3"/>
  <c r="AY378" i="3"/>
  <c r="AY241" i="3"/>
  <c r="AY181" i="3"/>
  <c r="AY503" i="3"/>
  <c r="AY267" i="3"/>
  <c r="AY565" i="3"/>
  <c r="AY469" i="3"/>
  <c r="AY354" i="3"/>
  <c r="AY419" i="3"/>
  <c r="AY113" i="3"/>
  <c r="AY524" i="3"/>
  <c r="AY346" i="3"/>
  <c r="AY391" i="3"/>
  <c r="AY121" i="3"/>
  <c r="AY572" i="3"/>
  <c r="AY396" i="3"/>
  <c r="AY570" i="3"/>
  <c r="AY437" i="3"/>
  <c r="AY490" i="3"/>
  <c r="AY236" i="3"/>
  <c r="AY420" i="3"/>
  <c r="AY133" i="3"/>
  <c r="AY166" i="3"/>
  <c r="BQ6" i="3"/>
  <c r="AY251" i="3"/>
  <c r="AY537" i="3"/>
  <c r="AY482" i="3"/>
  <c r="AY339" i="3"/>
  <c r="AY486" i="3"/>
  <c r="AY239" i="3"/>
  <c r="AY518" i="3"/>
  <c r="AY94" i="3"/>
  <c r="AY550" i="3"/>
  <c r="AY478" i="3"/>
  <c r="AY23" i="3"/>
  <c r="AY428" i="3"/>
  <c r="AY553" i="3"/>
  <c r="AY246" i="3"/>
  <c r="AY377" i="3"/>
  <c r="AY16" i="3"/>
  <c r="AY328" i="3"/>
  <c r="AY62" i="3"/>
  <c r="AY107" i="3"/>
  <c r="AY566" i="3"/>
  <c r="AY447" i="3"/>
  <c r="AY186" i="3"/>
  <c r="AY298" i="3"/>
  <c r="AY314" i="3"/>
  <c r="AY74" i="3"/>
  <c r="AY52" i="3"/>
  <c r="AY87" i="3"/>
  <c r="AY303" i="3"/>
  <c r="AY544" i="3"/>
  <c r="AY278" i="3"/>
  <c r="AY259" i="3"/>
  <c r="AY571" i="3"/>
  <c r="AY364" i="3"/>
  <c r="AY563" i="3"/>
  <c r="AY13" i="3"/>
  <c r="AY432" i="3"/>
  <c r="AY244" i="3"/>
  <c r="AY467" i="3"/>
  <c r="AY418" i="3"/>
  <c r="AY159" i="3"/>
  <c r="AY455" i="3"/>
  <c r="AY270" i="3"/>
  <c r="AY225" i="3"/>
  <c r="AY433" i="3"/>
  <c r="AY118" i="3"/>
  <c r="AY177" i="3"/>
  <c r="BM6" i="3"/>
  <c r="AY266" i="3"/>
  <c r="AY551" i="3"/>
  <c r="AY451" i="3"/>
  <c r="AY307" i="3"/>
  <c r="AY444" i="3"/>
  <c r="AY254" i="3"/>
  <c r="AY559" i="3"/>
  <c r="AY78" i="3"/>
  <c r="BC6" i="3"/>
  <c r="AY436" i="3"/>
  <c r="AY29" i="3"/>
  <c r="AY523" i="3"/>
  <c r="AY445" i="3"/>
  <c r="AY135" i="3"/>
  <c r="AY184" i="3"/>
  <c r="AY507" i="3"/>
  <c r="AY449" i="3"/>
  <c r="AY21" i="3"/>
  <c r="AY415" i="3"/>
  <c r="AY232" i="3"/>
  <c r="AY277" i="3"/>
  <c r="AY480" i="3"/>
  <c r="AY64" i="3"/>
  <c r="AY402" i="3"/>
  <c r="AY249" i="3"/>
  <c r="AY128" i="3"/>
  <c r="AY72" i="3"/>
  <c r="AY406" i="3"/>
  <c r="AY153" i="3"/>
  <c r="AY538" i="3"/>
  <c r="AY362" i="3"/>
  <c r="AY224" i="3"/>
  <c r="BS6" i="3"/>
  <c r="AY49" i="3"/>
  <c r="AY280" i="3"/>
  <c r="AY50" i="3"/>
  <c r="AY539" i="3"/>
  <c r="AY115" i="3"/>
  <c r="AY180" i="3"/>
  <c r="AY45" i="3"/>
  <c r="AY381" i="3"/>
  <c r="AY332" i="3"/>
  <c r="AY519" i="3"/>
  <c r="AY453" i="3"/>
  <c r="AY151" i="3"/>
  <c r="AY200" i="3"/>
  <c r="AY18" i="3"/>
  <c r="AY555" i="3"/>
  <c r="AY393" i="3"/>
  <c r="AY336" i="3"/>
  <c r="AY587" i="3"/>
  <c r="AY252" i="3"/>
  <c r="AY141" i="3"/>
  <c r="AY580" i="3"/>
  <c r="AY250" i="3"/>
  <c r="AY542" i="3"/>
  <c r="AY456" i="3"/>
  <c r="AY338" i="3"/>
  <c r="AY258" i="3"/>
  <c r="AY520" i="3"/>
  <c r="AY337" i="3"/>
  <c r="AY99" i="3"/>
  <c r="AY560" i="3"/>
  <c r="AY429" i="3"/>
  <c r="AY536" i="3"/>
  <c r="AY361" i="3"/>
  <c r="AY578" i="3"/>
  <c r="AY558" i="3"/>
  <c r="AY448" i="3"/>
  <c r="AY370" i="3"/>
  <c r="AY543" i="3"/>
  <c r="AY320" i="3"/>
  <c r="AY46" i="3"/>
  <c r="AY91" i="3"/>
  <c r="AY511" i="3"/>
  <c r="D3" i="6"/>
  <c r="E60" i="40"/>
  <c r="F60" i="40" s="1"/>
  <c r="E65" i="39"/>
  <c r="E59" i="40"/>
  <c r="F59" i="40" s="1"/>
  <c r="E64" i="39"/>
  <c r="L18" i="9"/>
  <c r="C17" i="4"/>
  <c r="B4" i="52" s="1"/>
  <c r="B43" i="72" s="1"/>
  <c r="M18" i="9"/>
  <c r="B118" i="9" s="1"/>
  <c r="B14" i="74" s="1"/>
  <c r="B1" i="74" s="1"/>
  <c r="D3" i="33"/>
  <c r="B2" i="33" s="1"/>
  <c r="B3" i="33" s="1"/>
  <c r="D3" i="37"/>
  <c r="B2" i="37" s="1"/>
  <c r="B3" i="37" s="1"/>
  <c r="D3" i="21"/>
  <c r="B2" i="21" s="1"/>
  <c r="B3" i="21" s="1"/>
  <c r="D3" i="34"/>
  <c r="B2" i="34" s="1"/>
  <c r="B3" i="34" s="1"/>
  <c r="D14" i="12"/>
  <c r="D19" i="11"/>
  <c r="C19" i="11" s="1"/>
  <c r="D37" i="11"/>
  <c r="C37" i="11" s="1"/>
  <c r="C33" i="11" s="1"/>
  <c r="E6" i="6"/>
  <c r="E366" i="3"/>
  <c r="E329" i="3"/>
  <c r="E205" i="3"/>
  <c r="E536" i="3"/>
  <c r="E244" i="3"/>
  <c r="E122" i="3"/>
  <c r="E509" i="3"/>
  <c r="E561" i="3"/>
  <c r="E161" i="3"/>
  <c r="E286" i="3"/>
  <c r="AO6" i="3"/>
  <c r="E400" i="3"/>
  <c r="E500" i="3"/>
  <c r="E520" i="3"/>
  <c r="E57" i="3"/>
  <c r="E240" i="3"/>
  <c r="E378" i="3"/>
  <c r="E110" i="3"/>
  <c r="E69" i="3"/>
  <c r="E320" i="3"/>
  <c r="K6" i="3"/>
  <c r="E465" i="3"/>
  <c r="E454" i="3"/>
  <c r="E153" i="3"/>
  <c r="X6" i="3"/>
  <c r="E314" i="3"/>
  <c r="E423" i="3"/>
  <c r="E191" i="3"/>
  <c r="E528" i="3"/>
  <c r="E229" i="3"/>
  <c r="E321" i="3"/>
  <c r="E271" i="3"/>
  <c r="E499" i="3"/>
  <c r="E466" i="3"/>
  <c r="E255" i="3"/>
  <c r="E531" i="3"/>
  <c r="E28" i="3"/>
  <c r="E182" i="3"/>
  <c r="E553" i="3"/>
  <c r="E545" i="3"/>
  <c r="E128" i="3"/>
  <c r="E549" i="3"/>
  <c r="E196" i="3"/>
  <c r="E237" i="3"/>
  <c r="E431" i="3"/>
  <c r="E439" i="3"/>
  <c r="E77" i="3"/>
  <c r="E575" i="3"/>
  <c r="E448" i="3"/>
  <c r="E443" i="3"/>
  <c r="E582" i="3"/>
  <c r="E436" i="3"/>
  <c r="E131" i="3"/>
  <c r="E297" i="3"/>
  <c r="E375" i="3"/>
  <c r="E540" i="3"/>
  <c r="E445" i="3"/>
  <c r="E254" i="3"/>
  <c r="E560" i="3"/>
  <c r="E587" i="3"/>
  <c r="E53" i="3"/>
  <c r="E426" i="3"/>
  <c r="E336" i="3"/>
  <c r="E511" i="3"/>
  <c r="E382" i="3"/>
  <c r="E188" i="3"/>
  <c r="E361" i="3"/>
  <c r="E390" i="3"/>
  <c r="E169" i="3"/>
  <c r="E145" i="3"/>
  <c r="R6" i="3"/>
  <c r="E541" i="3"/>
  <c r="E558" i="3"/>
  <c r="E444" i="3"/>
  <c r="E88" i="3"/>
  <c r="E211" i="3"/>
  <c r="E377" i="3"/>
  <c r="E109" i="3"/>
  <c r="E46" i="3"/>
  <c r="E407" i="3"/>
  <c r="E519" i="3"/>
  <c r="E457" i="3"/>
  <c r="E433" i="3"/>
  <c r="E256" i="3"/>
  <c r="E32" i="3"/>
  <c r="E248" i="3"/>
  <c r="E24" i="3"/>
  <c r="E51" i="3"/>
  <c r="E114" i="3"/>
  <c r="E335" i="3"/>
  <c r="E493" i="3"/>
  <c r="E490" i="3"/>
  <c r="E463" i="3"/>
  <c r="E226" i="3"/>
  <c r="E428" i="3"/>
  <c r="E219" i="3"/>
  <c r="E112" i="3"/>
  <c r="E62" i="3"/>
  <c r="E111" i="3"/>
  <c r="E318" i="3"/>
  <c r="E103" i="3"/>
  <c r="E310" i="3"/>
  <c r="E233" i="3"/>
  <c r="E283" i="3"/>
  <c r="E143" i="3"/>
  <c r="E369" i="3"/>
  <c r="E408" i="3"/>
  <c r="E470" i="3"/>
  <c r="E225" i="3"/>
  <c r="E94" i="3"/>
  <c r="E220" i="3"/>
  <c r="E86" i="3"/>
  <c r="E102" i="3"/>
  <c r="E83" i="3"/>
  <c r="E322" i="3"/>
  <c r="E461" i="3"/>
  <c r="E495" i="3"/>
  <c r="E306" i="3"/>
  <c r="E236" i="3"/>
  <c r="E213" i="3"/>
  <c r="E270" i="3"/>
  <c r="E216" i="3"/>
  <c r="E167" i="3"/>
  <c r="U6" i="3"/>
  <c r="E548" i="3"/>
  <c r="E367" i="3"/>
  <c r="E435" i="3"/>
  <c r="E56" i="3"/>
  <c r="E132" i="3"/>
  <c r="E292" i="3"/>
  <c r="E544" i="3"/>
  <c r="E446" i="3"/>
  <c r="E97" i="3"/>
  <c r="E177" i="3"/>
  <c r="E481" i="3"/>
  <c r="E429" i="3"/>
  <c r="E530" i="3"/>
  <c r="E347" i="3"/>
  <c r="E124" i="3"/>
  <c r="E586" i="3"/>
  <c r="E301" i="3"/>
  <c r="E157" i="3"/>
  <c r="E516" i="3"/>
  <c r="E506" i="3"/>
  <c r="E117" i="3"/>
  <c r="E327" i="3"/>
  <c r="E421" i="3"/>
  <c r="E416" i="3"/>
  <c r="E547" i="3"/>
  <c r="E546" i="3"/>
  <c r="E92" i="3"/>
  <c r="E272" i="3"/>
  <c r="E317" i="3"/>
  <c r="E29" i="3"/>
  <c r="E278" i="3"/>
  <c r="E294" i="3"/>
  <c r="E532" i="3"/>
  <c r="E288" i="3"/>
  <c r="E475" i="3"/>
  <c r="E214" i="3"/>
  <c r="E409" i="3"/>
  <c r="E209" i="3"/>
  <c r="E48" i="3"/>
  <c r="E19" i="3"/>
  <c r="E395" i="3"/>
  <c r="E189" i="3"/>
  <c r="E564" i="3"/>
  <c r="E376" i="3"/>
  <c r="E40" i="3"/>
  <c r="E276" i="3"/>
  <c r="E412" i="3"/>
  <c r="E299" i="3"/>
  <c r="E123" i="3"/>
  <c r="E176" i="3"/>
  <c r="E168" i="3"/>
  <c r="E14" i="3"/>
  <c r="E160" i="3"/>
  <c r="E492" i="3"/>
  <c r="E355" i="3"/>
  <c r="E309" i="3"/>
  <c r="E514" i="3"/>
  <c r="E173" i="3"/>
  <c r="E512" i="3"/>
  <c r="E420" i="3"/>
  <c r="E281" i="3"/>
  <c r="E488" i="3"/>
  <c r="E275" i="3"/>
  <c r="E34" i="3"/>
  <c r="E80" i="3"/>
  <c r="I3" i="6"/>
  <c r="E295" i="3"/>
  <c r="E334" i="3"/>
  <c r="E480" i="3"/>
  <c r="E172" i="3"/>
  <c r="E130" i="3"/>
  <c r="E573" i="3"/>
  <c r="E562" i="3"/>
  <c r="E72" i="3"/>
  <c r="E274" i="3"/>
  <c r="E15" i="3"/>
  <c r="E266" i="3"/>
  <c r="E87" i="3"/>
  <c r="E154" i="3"/>
  <c r="E550" i="3"/>
  <c r="E91" i="3"/>
  <c r="E543" i="3"/>
  <c r="AH6" i="3"/>
  <c r="E25" i="3"/>
  <c r="E346" i="3"/>
  <c r="E96" i="3"/>
  <c r="E339" i="3"/>
  <c r="E147" i="3"/>
  <c r="E218" i="3"/>
  <c r="E150" i="3"/>
  <c r="E31" i="3"/>
  <c r="E142" i="3"/>
  <c r="E23" i="3"/>
  <c r="E381" i="3"/>
  <c r="E513" i="3"/>
  <c r="E215" i="3"/>
  <c r="E534" i="3"/>
  <c r="E360" i="3"/>
  <c r="E26" i="3"/>
  <c r="E243" i="3"/>
  <c r="E482" i="3"/>
  <c r="E235" i="3"/>
  <c r="E49" i="3"/>
  <c r="E113" i="3"/>
  <c r="E217" i="3"/>
  <c r="AJ6" i="3"/>
  <c r="E227" i="3"/>
  <c r="E16" i="3"/>
  <c r="E296" i="3"/>
  <c r="E269" i="3"/>
  <c r="E302" i="3"/>
  <c r="AR6" i="3"/>
  <c r="E135" i="3"/>
  <c r="E141" i="3"/>
  <c r="E515" i="3"/>
  <c r="E414" i="3"/>
  <c r="AP6" i="3"/>
  <c r="E491" i="3"/>
  <c r="E37" i="3"/>
  <c r="E192" i="3"/>
  <c r="E363" i="3"/>
  <c r="E76" i="3"/>
  <c r="E98" i="3"/>
  <c r="V6" i="3"/>
  <c r="E330" i="3"/>
  <c r="E424" i="3"/>
  <c r="E496" i="3"/>
  <c r="E343" i="3"/>
  <c r="AA6" i="3"/>
  <c r="E397" i="3"/>
  <c r="E402" i="3"/>
  <c r="E159" i="3"/>
  <c r="E261" i="3"/>
  <c r="E396" i="3"/>
  <c r="E338" i="3"/>
  <c r="E252" i="3"/>
  <c r="E576" i="3"/>
  <c r="E464" i="3"/>
  <c r="E459" i="3"/>
  <c r="AS6" i="3"/>
  <c r="E447" i="3"/>
  <c r="E162" i="3"/>
  <c r="E210" i="3"/>
  <c r="E384" i="3"/>
  <c r="E441" i="3"/>
  <c r="E535" i="3"/>
  <c r="E221" i="3"/>
  <c r="E529" i="3"/>
  <c r="W6" i="3"/>
  <c r="E54" i="3"/>
  <c r="E315" i="3"/>
  <c r="E79" i="3"/>
  <c r="E307" i="3"/>
  <c r="E127" i="3"/>
  <c r="E179" i="3"/>
  <c r="E555" i="3"/>
  <c r="E85" i="3"/>
  <c r="E427" i="3"/>
  <c r="J6" i="3"/>
  <c r="E108" i="3"/>
  <c r="E333" i="3"/>
  <c r="E100" i="3"/>
  <c r="E325" i="3"/>
  <c r="E289" i="3"/>
  <c r="E265" i="3"/>
  <c r="E208" i="3"/>
  <c r="E93" i="3"/>
  <c r="E200" i="3"/>
  <c r="E84" i="3"/>
  <c r="E68" i="3"/>
  <c r="E21" i="3"/>
  <c r="E387" i="3"/>
  <c r="E525" i="3"/>
  <c r="E451" i="3"/>
  <c r="E104" i="3"/>
  <c r="E332" i="3"/>
  <c r="E18" i="3"/>
  <c r="E324" i="3"/>
  <c r="E206" i="3"/>
  <c r="E158" i="3"/>
  <c r="I6" i="3"/>
  <c r="E282" i="3"/>
  <c r="E510" i="3"/>
  <c r="E385" i="3"/>
  <c r="E453" i="3"/>
  <c r="E156" i="3"/>
  <c r="E565" i="3"/>
  <c r="E201" i="3"/>
  <c r="E231" i="3"/>
  <c r="E253" i="3"/>
  <c r="Z6" i="3"/>
  <c r="E485" i="3"/>
  <c r="E345" i="3"/>
  <c r="E413" i="3"/>
  <c r="E39" i="3"/>
  <c r="E187" i="3"/>
  <c r="E259" i="3"/>
  <c r="E504" i="3"/>
  <c r="E521" i="3"/>
  <c r="E359" i="3"/>
  <c r="E277" i="3"/>
  <c r="E472" i="3"/>
  <c r="E577" i="3"/>
  <c r="E319" i="3"/>
  <c r="E328" i="3"/>
  <c r="E246" i="3"/>
  <c r="AI6" i="3"/>
  <c r="E263" i="3"/>
  <c r="E181" i="3"/>
  <c r="E239" i="3"/>
  <c r="E523" i="3"/>
  <c r="E290" i="3"/>
  <c r="E107" i="3"/>
  <c r="E502" i="3"/>
  <c r="E430" i="3"/>
  <c r="E557" i="3"/>
  <c r="E489" i="3"/>
  <c r="E70" i="3"/>
  <c r="E125" i="3"/>
  <c r="N6" i="3"/>
  <c r="E352" i="3"/>
  <c r="E518" i="3"/>
  <c r="E368" i="3"/>
  <c r="E148" i="3"/>
  <c r="E17" i="3"/>
  <c r="E533" i="3"/>
  <c r="E185" i="3"/>
  <c r="E199" i="3"/>
  <c r="AG6" i="3"/>
  <c r="P6" i="3"/>
  <c r="E566" i="3"/>
  <c r="E460" i="3"/>
  <c r="E90" i="3"/>
  <c r="E155" i="3"/>
  <c r="E348" i="3"/>
  <c r="E58" i="3"/>
  <c r="E47" i="3"/>
  <c r="E559" i="3"/>
  <c r="E133" i="3"/>
  <c r="E406" i="3"/>
  <c r="E468" i="3"/>
  <c r="E501" i="3"/>
  <c r="E583" i="3"/>
  <c r="E293" i="3"/>
  <c r="E578" i="3"/>
  <c r="E245" i="3"/>
  <c r="E140" i="3"/>
  <c r="E569" i="3"/>
  <c r="E418" i="3"/>
  <c r="E207" i="3"/>
  <c r="E379" i="3"/>
  <c r="E442" i="3"/>
  <c r="E449" i="3"/>
  <c r="E581" i="3"/>
  <c r="E404" i="3"/>
  <c r="E121" i="3"/>
  <c r="E273" i="3"/>
  <c r="E572" i="3"/>
  <c r="E484" i="3"/>
  <c r="E574" i="3"/>
  <c r="E45" i="3"/>
  <c r="E458" i="3"/>
  <c r="E571" i="3"/>
  <c r="E73" i="3"/>
  <c r="E394" i="3"/>
  <c r="E65" i="3"/>
  <c r="E386" i="3"/>
  <c r="E250" i="3"/>
  <c r="E222" i="3"/>
  <c r="E337" i="3"/>
  <c r="E238" i="3"/>
  <c r="E486" i="3"/>
  <c r="E498" i="3"/>
  <c r="E178" i="3"/>
  <c r="E372" i="3"/>
  <c r="E170" i="3"/>
  <c r="E392" i="3"/>
  <c r="E340" i="3"/>
  <c r="E365" i="3"/>
  <c r="E279" i="3"/>
  <c r="E75" i="3"/>
  <c r="E267" i="3"/>
  <c r="E67" i="3"/>
  <c r="E63" i="3"/>
  <c r="E415" i="3"/>
  <c r="E180" i="3"/>
  <c r="E405" i="3"/>
  <c r="E497" i="3"/>
  <c r="E41" i="3"/>
  <c r="E391" i="3"/>
  <c r="E78" i="3"/>
  <c r="E383" i="3"/>
  <c r="E232" i="3"/>
  <c r="E287" i="3"/>
  <c r="E526" i="3"/>
  <c r="E539" i="3"/>
  <c r="E165" i="3"/>
  <c r="AK6" i="3"/>
  <c r="E262" i="3"/>
  <c r="E89" i="3"/>
  <c r="E579" i="3"/>
  <c r="E538" i="3"/>
  <c r="E149" i="3"/>
  <c r="E312" i="3"/>
  <c r="E411" i="3"/>
  <c r="E432" i="3"/>
  <c r="E554" i="3"/>
  <c r="E417" i="3"/>
  <c r="E95" i="3"/>
  <c r="E258" i="3"/>
  <c r="E349" i="3"/>
  <c r="E59" i="3"/>
  <c r="E563" i="3"/>
  <c r="E230" i="3"/>
  <c r="Q6" i="3"/>
  <c r="E344" i="3"/>
  <c r="E55" i="3"/>
  <c r="E305" i="3"/>
  <c r="E399" i="3"/>
  <c r="E568" i="3"/>
  <c r="E350" i="3"/>
  <c r="E99" i="3"/>
  <c r="E183" i="3"/>
  <c r="E151" i="3"/>
  <c r="E298" i="3"/>
  <c r="E204" i="3"/>
  <c r="E542" i="3"/>
  <c r="E487" i="3"/>
  <c r="E374" i="3"/>
  <c r="E403" i="3"/>
  <c r="E71" i="3"/>
  <c r="E126" i="3"/>
  <c r="E291" i="3"/>
  <c r="AM6" i="3"/>
  <c r="E425" i="3"/>
  <c r="E285" i="3"/>
  <c r="E224" i="3"/>
  <c r="E474" i="3"/>
  <c r="E537" i="3"/>
  <c r="E146" i="3"/>
  <c r="E362" i="3"/>
  <c r="E138" i="3"/>
  <c r="E354" i="3"/>
  <c r="E284" i="3"/>
  <c r="E323" i="3"/>
  <c r="E311" i="3"/>
  <c r="E116" i="3"/>
  <c r="E507" i="3"/>
  <c r="E419" i="3"/>
  <c r="E119" i="3"/>
  <c r="L6" i="3"/>
  <c r="E137" i="3"/>
  <c r="AQ6" i="3"/>
  <c r="E364" i="3"/>
  <c r="E524" i="3"/>
  <c r="E257" i="3"/>
  <c r="E473" i="3"/>
  <c r="E249" i="3"/>
  <c r="E33" i="3"/>
  <c r="E81" i="3"/>
  <c r="E260" i="3"/>
  <c r="E134" i="3"/>
  <c r="T6" i="3"/>
  <c r="E556" i="3"/>
  <c r="E115" i="3"/>
  <c r="E356" i="3"/>
  <c r="E129" i="3"/>
  <c r="E342" i="3"/>
  <c r="E251" i="3"/>
  <c r="E308" i="3"/>
  <c r="E166" i="3"/>
  <c r="E316" i="3"/>
  <c r="E30" i="3"/>
  <c r="E467" i="3"/>
  <c r="E358" i="3"/>
  <c r="E193" i="3"/>
  <c r="E527" i="3"/>
  <c r="E450" i="3"/>
  <c r="E203" i="3"/>
  <c r="E580" i="3"/>
  <c r="E195" i="3"/>
  <c r="E584" i="3"/>
  <c r="E341" i="3"/>
  <c r="E373" i="3"/>
  <c r="E570" i="3"/>
  <c r="E105" i="3"/>
  <c r="E422" i="3"/>
  <c r="E483" i="3"/>
  <c r="E202" i="3"/>
  <c r="E60" i="3"/>
  <c r="E194" i="3"/>
  <c r="E52" i="3"/>
  <c r="E50" i="3"/>
  <c r="E101" i="3"/>
  <c r="E351" i="3"/>
  <c r="E455" i="3"/>
  <c r="E300" i="3"/>
  <c r="E144" i="3"/>
  <c r="E118" i="3"/>
  <c r="E388" i="3"/>
  <c r="E197" i="3"/>
  <c r="E469" i="3"/>
  <c r="E494" i="3"/>
  <c r="E198" i="3"/>
  <c r="AL6" i="3"/>
  <c r="E190" i="3"/>
  <c r="E522" i="3"/>
  <c r="E370" i="3"/>
  <c r="E326" i="3"/>
  <c r="E268" i="3"/>
  <c r="E567" i="3"/>
  <c r="E353" i="3"/>
  <c r="E434" i="3"/>
  <c r="E136" i="3"/>
  <c r="E304" i="3"/>
  <c r="E247" i="3"/>
  <c r="E380" i="3"/>
  <c r="E212" i="3"/>
  <c r="E585" i="3"/>
  <c r="E478" i="3"/>
  <c r="E477" i="3"/>
  <c r="E517" i="3"/>
  <c r="E479" i="3"/>
  <c r="E152" i="3"/>
  <c r="E241" i="3"/>
  <c r="E389" i="3"/>
  <c r="E462" i="3"/>
  <c r="O6" i="3"/>
  <c r="E120" i="3"/>
  <c r="E437" i="3"/>
  <c r="AE6" i="3"/>
  <c r="E175" i="3"/>
  <c r="E508" i="3"/>
  <c r="E280" i="3"/>
  <c r="AN6" i="3"/>
  <c r="E303" i="3"/>
  <c r="E228" i="3"/>
  <c r="E503" i="3"/>
  <c r="S6" i="3"/>
  <c r="E61" i="3"/>
  <c r="E164" i="3"/>
  <c r="E552" i="3"/>
  <c r="E398" i="3"/>
  <c r="E505" i="3"/>
  <c r="E476" i="3"/>
  <c r="E27" i="3"/>
  <c r="E186" i="3"/>
  <c r="E331" i="3"/>
  <c r="E44" i="3"/>
  <c r="E64" i="3"/>
  <c r="E551" i="3"/>
  <c r="E313" i="3"/>
  <c r="E438" i="3"/>
  <c r="E471" i="3"/>
  <c r="E171" i="3"/>
  <c r="E74" i="3"/>
  <c r="E163" i="3"/>
  <c r="E66" i="3"/>
  <c r="Y6" i="3"/>
  <c r="E82" i="3"/>
  <c r="AB6" i="3"/>
  <c r="E393" i="3"/>
  <c r="E440" i="3"/>
  <c r="E401" i="3"/>
  <c r="E242" i="3"/>
  <c r="E43" i="3"/>
  <c r="E234" i="3"/>
  <c r="E36" i="3"/>
  <c r="E20" i="3"/>
  <c r="E106" i="3"/>
  <c r="E357" i="3"/>
  <c r="E38" i="3"/>
  <c r="E371" i="3"/>
  <c r="E184" i="3"/>
  <c r="E264" i="3"/>
  <c r="E410" i="3"/>
  <c r="E223" i="3"/>
  <c r="E456" i="3"/>
  <c r="E452" i="3"/>
  <c r="E139" i="3"/>
  <c r="E42" i="3"/>
  <c r="E174" i="3"/>
  <c r="E35" i="3"/>
  <c r="AF6" i="3"/>
  <c r="E22" i="3"/>
  <c r="AD6" i="3"/>
  <c r="M6" i="3"/>
  <c r="E57" i="40"/>
  <c r="F57" i="40" s="1"/>
  <c r="E62" i="39"/>
  <c r="E58" i="40"/>
  <c r="F58" i="40" s="1"/>
  <c r="E63" i="39"/>
  <c r="E56" i="40"/>
  <c r="F56" i="40" s="1"/>
  <c r="E61" i="39"/>
  <c r="M19" i="6"/>
  <c r="K27" i="6"/>
  <c r="S6" i="1"/>
  <c r="S7" i="1"/>
  <c r="M20" i="6"/>
  <c r="I20" i="6" s="1"/>
  <c r="S20" i="6" s="1"/>
  <c r="E16" i="6"/>
  <c r="C17" i="15"/>
  <c r="C17" i="79"/>
  <c r="C17" i="80"/>
  <c r="C17" i="78"/>
  <c r="AY175" i="3" l="1"/>
  <c r="AY475" i="3"/>
  <c r="AY426" i="3"/>
  <c r="AY44" i="3"/>
  <c r="AY296" i="3"/>
  <c r="AY65" i="3"/>
  <c r="AY360" i="3"/>
  <c r="AY260" i="3"/>
  <c r="AY548" i="3"/>
  <c r="AY380" i="3"/>
  <c r="AY534" i="3"/>
  <c r="AY295" i="3"/>
  <c r="AY283" i="3"/>
  <c r="AY549" i="3"/>
  <c r="AY366" i="3"/>
  <c r="E7" i="70"/>
  <c r="E8" i="70"/>
  <c r="E9" i="70"/>
  <c r="AR8" i="1"/>
  <c r="AQ8" i="1"/>
  <c r="T8" i="1"/>
  <c r="AR9" i="1"/>
  <c r="AQ9" i="1"/>
  <c r="T9" i="1"/>
  <c r="T7" i="1"/>
  <c r="AQ7" i="1"/>
  <c r="AR7" i="1"/>
  <c r="E66" i="39"/>
  <c r="C39" i="11"/>
  <c r="C43" i="11" s="1"/>
  <c r="C42" i="11"/>
  <c r="D17" i="12"/>
  <c r="C17" i="12" s="1"/>
  <c r="C14" i="12"/>
  <c r="C16" i="12" s="1"/>
  <c r="H25" i="6"/>
  <c r="D10" i="6"/>
  <c r="D15" i="6"/>
  <c r="D13" i="6"/>
  <c r="D12" i="6"/>
  <c r="D5" i="6"/>
  <c r="H22" i="6"/>
  <c r="L19" i="9"/>
  <c r="D6" i="6"/>
  <c r="D25" i="6"/>
  <c r="D26" i="6"/>
  <c r="D24" i="6"/>
  <c r="D28" i="6"/>
  <c r="D21" i="6"/>
  <c r="D8" i="6"/>
  <c r="C18" i="4"/>
  <c r="H20" i="6"/>
  <c r="D11" i="6"/>
  <c r="H21" i="6"/>
  <c r="D29" i="6"/>
  <c r="D9" i="6"/>
  <c r="H24" i="6"/>
  <c r="H23" i="6"/>
  <c r="H26" i="6"/>
  <c r="D14" i="6"/>
  <c r="D23" i="6"/>
  <c r="D22" i="6"/>
  <c r="D20" i="6"/>
  <c r="M19" i="9"/>
  <c r="C118" i="9" s="1"/>
  <c r="C14" i="74" s="1"/>
  <c r="B2" i="74" s="1"/>
  <c r="D19" i="6"/>
  <c r="E61" i="40"/>
  <c r="F61" i="40" s="1"/>
  <c r="B2" i="40" s="1"/>
  <c r="B3" i="40" s="1"/>
  <c r="S16" i="1"/>
  <c r="AR6" i="1"/>
  <c r="AQ6" i="1"/>
  <c r="E6" i="70"/>
  <c r="E2" i="70" s="1"/>
  <c r="T6" i="1"/>
  <c r="I19" i="6"/>
  <c r="M27" i="6"/>
  <c r="D20" i="12"/>
  <c r="C20" i="12" s="1"/>
  <c r="C18" i="12" s="1"/>
  <c r="D10" i="11"/>
  <c r="C10" i="11" s="1"/>
  <c r="D10" i="69"/>
  <c r="D10" i="68"/>
  <c r="C20" i="11"/>
  <c r="C25" i="11" s="1"/>
  <c r="C24" i="11"/>
  <c r="C8" i="74"/>
  <c r="C7" i="74"/>
  <c r="H6" i="3"/>
  <c r="AC6" i="3"/>
  <c r="C14" i="80"/>
  <c r="C14" i="15"/>
  <c r="C14" i="79"/>
  <c r="C14" i="78"/>
  <c r="C18" i="80" l="1"/>
  <c r="C15" i="80"/>
  <c r="C18" i="79"/>
  <c r="C15" i="79"/>
  <c r="C18" i="78"/>
  <c r="C15" i="78"/>
  <c r="R20" i="6"/>
  <c r="R7" i="1" s="1"/>
  <c r="R23" i="6"/>
  <c r="R21" i="6"/>
  <c r="R8" i="1" s="1"/>
  <c r="C41" i="11"/>
  <c r="C46" i="11"/>
  <c r="C45" i="11" s="1"/>
  <c r="C15" i="15"/>
  <c r="C18" i="15"/>
  <c r="C10" i="68"/>
  <c r="D19" i="68"/>
  <c r="D37" i="68" s="1"/>
  <c r="C37" i="68" s="1"/>
  <c r="C33" i="68" s="1"/>
  <c r="T16" i="1"/>
  <c r="D27" i="6"/>
  <c r="A10" i="51"/>
  <c r="B9" i="72" s="1"/>
  <c r="C4" i="52"/>
  <c r="B45" i="72" s="1"/>
  <c r="A7" i="51"/>
  <c r="B7" i="72" s="1"/>
  <c r="D19" i="69"/>
  <c r="C10" i="69"/>
  <c r="C8" i="69" s="1"/>
  <c r="C5" i="69" s="1"/>
  <c r="S19" i="6"/>
  <c r="S27" i="6" s="1"/>
  <c r="I27" i="6"/>
  <c r="D8" i="74"/>
  <c r="D7" i="74"/>
  <c r="D30" i="6"/>
  <c r="R26" i="6"/>
  <c r="E6" i="3"/>
  <c r="C22" i="11"/>
  <c r="C28" i="11"/>
  <c r="C27" i="11" s="1"/>
  <c r="R22" i="6"/>
  <c r="R9" i="1" s="1"/>
  <c r="D16" i="6"/>
  <c r="H19" i="6"/>
  <c r="H27" i="6" s="1"/>
  <c r="R24" i="6"/>
  <c r="R25" i="6"/>
  <c r="C21" i="12"/>
  <c r="C19" i="78" l="1"/>
  <c r="C20" i="78" s="1"/>
  <c r="C19" i="79"/>
  <c r="C19" i="80"/>
  <c r="C20" i="80" s="1"/>
  <c r="C26" i="80" s="1"/>
  <c r="C20" i="79"/>
  <c r="C26" i="79" s="1"/>
  <c r="C19" i="15"/>
  <c r="C49" i="11"/>
  <c r="C51" i="11" s="1"/>
  <c r="C39" i="68"/>
  <c r="C43" i="68" s="1"/>
  <c r="C42" i="68"/>
  <c r="C20" i="15"/>
  <c r="C26" i="15" s="1"/>
  <c r="D31" i="6"/>
  <c r="C22" i="12"/>
  <c r="C23" i="69"/>
  <c r="C19" i="69"/>
  <c r="C24" i="69" s="1"/>
  <c r="D37" i="69"/>
  <c r="C37" i="69" s="1"/>
  <c r="C33" i="69" s="1"/>
  <c r="C31" i="11"/>
  <c r="R19" i="6"/>
  <c r="C23" i="79" l="1"/>
  <c r="C29" i="79" s="1"/>
  <c r="C36" i="79" s="1"/>
  <c r="C26" i="78"/>
  <c r="C23" i="78"/>
  <c r="C23" i="80"/>
  <c r="C29" i="80" s="1"/>
  <c r="C57" i="80" s="1"/>
  <c r="C64" i="80" s="1"/>
  <c r="C57" i="79"/>
  <c r="C64" i="79" s="1"/>
  <c r="C52" i="11"/>
  <c r="C56" i="11" s="1"/>
  <c r="C57" i="11" s="1"/>
  <c r="C41" i="68"/>
  <c r="I6" i="6"/>
  <c r="C11" i="39" s="1"/>
  <c r="I5" i="6"/>
  <c r="C20" i="69"/>
  <c r="C25" i="69" s="1"/>
  <c r="C22" i="69" s="1"/>
  <c r="C23" i="15"/>
  <c r="C29" i="15" s="1"/>
  <c r="B2" i="11"/>
  <c r="B3" i="11" s="1"/>
  <c r="R27" i="6"/>
  <c r="R6" i="1"/>
  <c r="C39" i="69"/>
  <c r="C43" i="69" s="1"/>
  <c r="C42" i="69"/>
  <c r="C46" i="68"/>
  <c r="C45" i="68" s="1"/>
  <c r="F35" i="15"/>
  <c r="F35" i="78"/>
  <c r="F35" i="79"/>
  <c r="F35" i="80"/>
  <c r="M21" i="15"/>
  <c r="M21" i="78"/>
  <c r="M21" i="79"/>
  <c r="M21" i="80"/>
  <c r="J19" i="79" l="1"/>
  <c r="J14" i="79"/>
  <c r="J13" i="79" s="1"/>
  <c r="J23" i="79" s="1"/>
  <c r="C13" i="79"/>
  <c r="C37" i="79" s="1"/>
  <c r="Q49" i="79"/>
  <c r="C29" i="78"/>
  <c r="J19" i="80"/>
  <c r="C36" i="80"/>
  <c r="C13" i="80"/>
  <c r="Q70" i="80" s="1"/>
  <c r="Q49" i="80"/>
  <c r="J14" i="80"/>
  <c r="J13" i="80" s="1"/>
  <c r="J23" i="80" s="1"/>
  <c r="Q70" i="79"/>
  <c r="F11" i="39"/>
  <c r="H11" i="39"/>
  <c r="J11" i="39"/>
  <c r="C28" i="69"/>
  <c r="C27" i="69" s="1"/>
  <c r="C31" i="69" s="1"/>
  <c r="J20" i="80"/>
  <c r="F63" i="80"/>
  <c r="C62" i="80" s="1"/>
  <c r="C59" i="80" s="1"/>
  <c r="C34" i="80"/>
  <c r="C31" i="80" s="1"/>
  <c r="J20" i="79"/>
  <c r="F63" i="79"/>
  <c r="C62" i="79" s="1"/>
  <c r="C59" i="79" s="1"/>
  <c r="C34" i="79"/>
  <c r="C31" i="79" s="1"/>
  <c r="J20" i="78"/>
  <c r="F63" i="78"/>
  <c r="C62" i="78" s="1"/>
  <c r="C59" i="78" s="1"/>
  <c r="C34" i="78"/>
  <c r="C31" i="78" s="1"/>
  <c r="C49" i="68"/>
  <c r="C51" i="68" s="1"/>
  <c r="C41" i="69"/>
  <c r="C46" i="69"/>
  <c r="C45" i="69" s="1"/>
  <c r="C34" i="15"/>
  <c r="F63" i="15"/>
  <c r="C62" i="15" s="1"/>
  <c r="J20" i="15"/>
  <c r="R16" i="1"/>
  <c r="Q49" i="15"/>
  <c r="J14" i="15"/>
  <c r="C36" i="15"/>
  <c r="J19" i="15"/>
  <c r="C13" i="15"/>
  <c r="C57" i="15"/>
  <c r="C33" i="15"/>
  <c r="J22" i="79" l="1"/>
  <c r="J17" i="79"/>
  <c r="J17" i="80"/>
  <c r="J22" i="80"/>
  <c r="C75" i="79"/>
  <c r="C30" i="79"/>
  <c r="C39" i="79" s="1"/>
  <c r="C40" i="79" s="1"/>
  <c r="C56" i="79"/>
  <c r="C65" i="79" s="1"/>
  <c r="C58" i="79" s="1"/>
  <c r="C67" i="79" s="1"/>
  <c r="C68" i="79" s="1"/>
  <c r="C71" i="79" s="1"/>
  <c r="C57" i="78"/>
  <c r="C64" i="78" s="1"/>
  <c r="C13" i="78"/>
  <c r="Q49" i="78"/>
  <c r="J19" i="78"/>
  <c r="J17" i="78" s="1"/>
  <c r="J14" i="78"/>
  <c r="C36" i="78"/>
  <c r="C37" i="80"/>
  <c r="C30" i="80" s="1"/>
  <c r="C39" i="80" s="1"/>
  <c r="C56" i="80"/>
  <c r="C65" i="80" s="1"/>
  <c r="C58" i="80" s="1"/>
  <c r="C67" i="80" s="1"/>
  <c r="C68" i="80" s="1"/>
  <c r="C71" i="80" s="1"/>
  <c r="C75" i="80"/>
  <c r="U11" i="39"/>
  <c r="AB11" i="39"/>
  <c r="T47" i="39" s="1"/>
  <c r="G47" i="39" s="1"/>
  <c r="W11" i="39"/>
  <c r="AC11" i="39"/>
  <c r="V47" i="39" s="1"/>
  <c r="I47" i="39" s="1"/>
  <c r="AA11" i="39"/>
  <c r="R47" i="39" s="1"/>
  <c r="S11" i="39"/>
  <c r="J17" i="15"/>
  <c r="C49" i="69"/>
  <c r="C51" i="69" s="1"/>
  <c r="C52" i="69" s="1"/>
  <c r="B2" i="69" s="1"/>
  <c r="B3" i="69" s="1"/>
  <c r="C31" i="15"/>
  <c r="C37" i="15"/>
  <c r="C56" i="15"/>
  <c r="C65" i="15" s="1"/>
  <c r="Q70" i="15"/>
  <c r="C75" i="15"/>
  <c r="C64" i="15"/>
  <c r="C61" i="15"/>
  <c r="C59" i="15" s="1"/>
  <c r="J22" i="15"/>
  <c r="J13" i="15"/>
  <c r="J23" i="15" s="1"/>
  <c r="L51" i="80"/>
  <c r="L51" i="79"/>
  <c r="J16" i="80" l="1"/>
  <c r="J25" i="80" s="1"/>
  <c r="J16" i="79"/>
  <c r="J25" i="79" s="1"/>
  <c r="Q67" i="79"/>
  <c r="C46" i="79"/>
  <c r="C80" i="79"/>
  <c r="C79" i="79" s="1"/>
  <c r="Q69" i="79"/>
  <c r="Q68" i="79" s="1"/>
  <c r="C75" i="78"/>
  <c r="C56" i="78"/>
  <c r="C65" i="78" s="1"/>
  <c r="C58" i="78" s="1"/>
  <c r="C67" i="78" s="1"/>
  <c r="C68" i="78" s="1"/>
  <c r="C71" i="78" s="1"/>
  <c r="Q70" i="78"/>
  <c r="C37" i="78"/>
  <c r="C30" i="78" s="1"/>
  <c r="C39" i="78" s="1"/>
  <c r="J22" i="78"/>
  <c r="J13" i="78"/>
  <c r="J23" i="78" s="1"/>
  <c r="Q67" i="80"/>
  <c r="C40" i="80"/>
  <c r="C46" i="80" s="1"/>
  <c r="Q69" i="80"/>
  <c r="Q68" i="80" s="1"/>
  <c r="C80" i="80"/>
  <c r="C79" i="80" s="1"/>
  <c r="I51" i="39"/>
  <c r="J51" i="39" s="1"/>
  <c r="G51" i="39"/>
  <c r="H51" i="39" s="1"/>
  <c r="G52" i="39"/>
  <c r="H52" i="39" s="1"/>
  <c r="E47" i="39"/>
  <c r="I52" i="39" s="1"/>
  <c r="J52" i="39" s="1"/>
  <c r="R48" i="39"/>
  <c r="Q65" i="79"/>
  <c r="Q75" i="79" s="1"/>
  <c r="Q56" i="79"/>
  <c r="Q62" i="79" s="1"/>
  <c r="Q47" i="79"/>
  <c r="Q53" i="79" s="1"/>
  <c r="C43" i="79"/>
  <c r="B2" i="79"/>
  <c r="C83" i="79"/>
  <c r="C82" i="79" s="1"/>
  <c r="C57" i="69"/>
  <c r="C56" i="69" s="1"/>
  <c r="C30" i="15"/>
  <c r="C39" i="15" s="1"/>
  <c r="C40" i="15" s="1"/>
  <c r="J16" i="15"/>
  <c r="J25" i="15" s="1"/>
  <c r="C58" i="15"/>
  <c r="C67" i="15" s="1"/>
  <c r="C68" i="15" s="1"/>
  <c r="C71" i="15" s="1"/>
  <c r="L51" i="15"/>
  <c r="L51" i="78"/>
  <c r="Q65" i="80" l="1"/>
  <c r="Q75" i="80" s="1"/>
  <c r="C83" i="80"/>
  <c r="C82" i="80" s="1"/>
  <c r="C43" i="80"/>
  <c r="J16" i="78"/>
  <c r="J25" i="78" s="1"/>
  <c r="Q67" i="78"/>
  <c r="C40" i="78"/>
  <c r="Q69" i="78"/>
  <c r="Q68" i="78" s="1"/>
  <c r="B2" i="80"/>
  <c r="B3" i="80" s="1"/>
  <c r="D6" i="12" s="1"/>
  <c r="Q47" i="80"/>
  <c r="Q53" i="80" s="1"/>
  <c r="C80" i="78"/>
  <c r="C79" i="78" s="1"/>
  <c r="Q69" i="15"/>
  <c r="Q68" i="15" s="1"/>
  <c r="Q56" i="80"/>
  <c r="Q62" i="80" s="1"/>
  <c r="C47" i="39"/>
  <c r="C48" i="39"/>
  <c r="E52" i="39"/>
  <c r="F52" i="39" s="1"/>
  <c r="E51" i="39"/>
  <c r="F51" i="39" s="1"/>
  <c r="B3" i="79"/>
  <c r="E6" i="12" s="1"/>
  <c r="E8" i="12"/>
  <c r="C80" i="15"/>
  <c r="C79" i="15" s="1"/>
  <c r="Q67" i="15"/>
  <c r="C46" i="15"/>
  <c r="C43" i="15"/>
  <c r="Q47" i="15"/>
  <c r="Q53" i="15" s="1"/>
  <c r="Q65" i="15"/>
  <c r="Q75" i="15" s="1"/>
  <c r="Q56" i="15"/>
  <c r="Q62" i="15" s="1"/>
  <c r="B2" i="15"/>
  <c r="C83" i="15"/>
  <c r="C82" i="15" s="1"/>
  <c r="AO7" i="1"/>
  <c r="AO8" i="1"/>
  <c r="AO6" i="1"/>
  <c r="D8" i="12" l="1"/>
  <c r="C46" i="78"/>
  <c r="Q65" i="78"/>
  <c r="Q75" i="78" s="1"/>
  <c r="Q47" i="78"/>
  <c r="Q53" i="78" s="1"/>
  <c r="B2" i="78"/>
  <c r="Q56" i="78"/>
  <c r="Q62" i="78" s="1"/>
  <c r="C43" i="78"/>
  <c r="C83" i="78"/>
  <c r="C82" i="78" s="1"/>
  <c r="B60" i="39"/>
  <c r="F60" i="39" s="1"/>
  <c r="B59" i="39"/>
  <c r="F59" i="39" s="1"/>
  <c r="B58" i="39"/>
  <c r="F58" i="39" s="1"/>
  <c r="B57" i="39"/>
  <c r="F57" i="39" s="1"/>
  <c r="B65" i="39"/>
  <c r="F65" i="39" s="1"/>
  <c r="B64" i="39"/>
  <c r="F64" i="39" s="1"/>
  <c r="B63" i="39"/>
  <c r="F63" i="39" s="1"/>
  <c r="B62" i="39"/>
  <c r="F62" i="39" s="1"/>
  <c r="B61" i="39"/>
  <c r="F61" i="39" s="1"/>
  <c r="B56" i="39"/>
  <c r="F56" i="39" s="1"/>
  <c r="B8" i="70"/>
  <c r="B7" i="70"/>
  <c r="B6" i="70"/>
  <c r="B3" i="15"/>
  <c r="C6" i="12" s="1"/>
  <c r="C8" i="12"/>
  <c r="AO9" i="1"/>
  <c r="F66" i="39" l="1"/>
  <c r="B2" i="39" s="1"/>
  <c r="B9" i="70"/>
  <c r="B2" i="70" s="1"/>
  <c r="B3" i="70" s="1"/>
  <c r="B3" i="78"/>
  <c r="F6" i="12" s="1"/>
  <c r="F8" i="12"/>
  <c r="B3" i="39"/>
  <c r="C7" i="68"/>
  <c r="C5" i="68" s="1"/>
  <c r="C23" i="68" l="1"/>
  <c r="C20" i="68"/>
  <c r="C25" i="68" s="1"/>
  <c r="C28" i="68"/>
  <c r="C27" i="68" s="1"/>
  <c r="C4" i="12"/>
  <c r="C23" i="12" s="1"/>
  <c r="C27" i="12" s="1"/>
  <c r="C25" i="12" s="1"/>
  <c r="C22" i="68" l="1"/>
  <c r="C31" i="68" s="1"/>
  <c r="C52" i="68" s="1"/>
  <c r="C30" i="12"/>
  <c r="C28" i="12" s="1"/>
  <c r="C31" i="12"/>
  <c r="B2" i="68" l="1"/>
  <c r="C57" i="68"/>
  <c r="C56" i="68" s="1"/>
  <c r="C32" i="12"/>
  <c r="B2" i="12" s="1"/>
  <c r="C19" i="9"/>
  <c r="D19" i="9"/>
  <c r="C102" i="9" l="1"/>
  <c r="C21" i="9"/>
  <c r="B3" i="68"/>
  <c r="D102" i="9"/>
  <c r="D21" i="9"/>
  <c r="G19" i="9"/>
  <c r="J19" i="9" s="1"/>
  <c r="D22" i="9"/>
  <c r="B3" i="12"/>
  <c r="C20" i="9"/>
  <c r="D20" i="9"/>
  <c r="G21" i="9" l="1"/>
  <c r="C103" i="9"/>
  <c r="C32" i="9"/>
  <c r="C35" i="9" s="1"/>
  <c r="F118" i="9" s="1"/>
  <c r="G118" i="9" s="1"/>
  <c r="G4" i="52" s="1"/>
  <c r="B52" i="72" s="1"/>
  <c r="D103" i="9"/>
  <c r="G20" i="9"/>
  <c r="H118" i="9" l="1"/>
  <c r="H4" i="52" s="1"/>
  <c r="F119" i="9"/>
  <c r="F5" i="52" s="1"/>
  <c r="B53" i="72" s="1"/>
  <c r="F4" i="52"/>
  <c r="B51" i="72" s="1"/>
  <c r="C34" i="9"/>
  <c r="D118" i="9" s="1"/>
  <c r="D4" i="52" s="1"/>
  <c r="B47" i="72" s="1"/>
  <c r="H119" i="9"/>
  <c r="H5" i="52" s="1"/>
  <c r="C104" i="9"/>
  <c r="H101" i="9"/>
  <c r="D14" i="74"/>
  <c r="B5" i="74" s="1"/>
  <c r="I118" i="9"/>
  <c r="E118" i="9" s="1"/>
  <c r="E4" i="52" s="1"/>
  <c r="B48" i="72" s="1"/>
  <c r="D45" i="9" l="1"/>
  <c r="M48" i="9"/>
  <c r="C93" i="9"/>
  <c r="C86" i="9" s="1"/>
  <c r="D119" i="9"/>
  <c r="D5" i="52" s="1"/>
  <c r="B49" i="72" s="1"/>
  <c r="I4" i="52"/>
  <c r="E14" i="74"/>
  <c r="C105" i="9"/>
  <c r="D5" i="53"/>
  <c r="B20" i="72" s="1"/>
  <c r="H102" i="9"/>
  <c r="D7" i="53" s="1"/>
  <c r="B21" i="72" s="1"/>
  <c r="H107" i="9"/>
  <c r="M49" i="9" s="1"/>
  <c r="F14" i="74"/>
  <c r="D5" i="74"/>
  <c r="C5" i="74"/>
  <c r="D6" i="53"/>
  <c r="B22" i="72" s="1"/>
  <c r="D13" i="53" l="1"/>
  <c r="D122" i="9"/>
  <c r="D8" i="52" s="1"/>
  <c r="D53" i="9"/>
  <c r="D48" i="9" s="1"/>
  <c r="M52" i="9" s="1"/>
  <c r="C64" i="9"/>
  <c r="C63" i="9" s="1"/>
  <c r="C67" i="9" s="1"/>
  <c r="C68" i="9" s="1"/>
  <c r="D54" i="9" s="1"/>
  <c r="C78" i="9"/>
  <c r="C73" i="9" s="1"/>
  <c r="C72" i="9"/>
  <c r="D55" i="9"/>
  <c r="M53" i="9" s="1"/>
  <c r="D52" i="9"/>
  <c r="C85" i="9"/>
  <c r="C95" i="9" s="1"/>
  <c r="C96" i="9" s="1"/>
  <c r="E96" i="9" s="1"/>
  <c r="E97" i="9" s="1"/>
  <c r="H108" i="9"/>
  <c r="D15" i="53" s="1"/>
  <c r="B31" i="72" s="1"/>
  <c r="B30" i="72"/>
  <c r="D14" i="53"/>
  <c r="B32" i="72" s="1"/>
  <c r="L66" i="9" l="1"/>
  <c r="M66" i="9" s="1"/>
  <c r="L67" i="9"/>
  <c r="M67" i="9" s="1"/>
  <c r="L63" i="9"/>
  <c r="M63" i="9" s="1"/>
  <c r="L65" i="9"/>
  <c r="M65" i="9" s="1"/>
  <c r="L64" i="9"/>
  <c r="M64" i="9" s="1"/>
  <c r="L68" i="9"/>
  <c r="M68" i="9" s="1"/>
  <c r="D123" i="9"/>
  <c r="D9" i="52" s="1"/>
  <c r="G14" i="74"/>
  <c r="B6" i="74" s="1"/>
  <c r="D6" i="74" s="1"/>
  <c r="C79" i="9"/>
  <c r="C97" i="9"/>
  <c r="D58" i="9" s="1"/>
  <c r="D56" i="9" s="1"/>
  <c r="M54" i="9" s="1"/>
  <c r="N57" i="9" s="1"/>
  <c r="N58" i="9" s="1"/>
  <c r="C80" i="9"/>
  <c r="E80" i="9" s="1"/>
  <c r="E81" i="9" s="1"/>
  <c r="C6" i="74"/>
  <c r="M69" i="9" l="1"/>
  <c r="N69" i="9" s="1"/>
  <c r="N59" i="9"/>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<sst xmlns="http://schemas.openxmlformats.org/spreadsheetml/2006/main" count="8829" uniqueCount="3241">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</sst>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35843;&#25972;&#20998;&#25674;&#22303;&#22320;&#38754;&#31215;&#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0822/P03&#65288;&#24736;&#26041;&#65289;/&#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B3">
            <v>44069.27</v>
          </cell>
        </row>
      </sheetData>
      <sheetData sheetId="12"/>
      <sheetData sheetId="13">
        <row r="3">
          <cell r="E3">
            <v>44069.27</v>
          </cell>
        </row>
      </sheetData>
      <sheetData sheetId="14"/>
      <sheetData sheetId="15"/>
      <sheetData sheetId="16">
        <row r="14">
          <cell r="B14">
            <v>44069.27</v>
          </cell>
          <cell r="C14">
            <v>3525.7</v>
          </cell>
          <cell r="D14">
            <v>49725</v>
          </cell>
          <cell r="G14">
            <v>49725</v>
          </cell>
        </row>
      </sheetData>
      <sheetData sheetId="17">
        <row r="19">
          <cell r="G19">
            <v>49725</v>
          </cell>
        </row>
        <row r="49">
          <cell r="M49">
            <v>49725</v>
          </cell>
        </row>
        <row r="101">
          <cell r="H101">
            <v>49725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50834</v>
      </c>
    </row>
    <row r="21" spans="1:2" s="1590" customFormat="1">
      <c r="A21" s="1588" t="s">
        <v>1235</v>
      </c>
      <c r="B21" s="1589">
        <f ca="1">'预评函-2'!D7</f>
        <v>10154</v>
      </c>
    </row>
    <row r="22" spans="1:2" s="1590" customFormat="1">
      <c r="A22" s="1588" t="s">
        <v>1236</v>
      </c>
      <c r="B22" s="1589" t="str">
        <f ca="1">'预评函-2'!D6</f>
        <v>伍亿零捌佰叁拾肆万元整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50834</v>
      </c>
    </row>
    <row r="31" spans="1:2" s="1590" customFormat="1">
      <c r="A31" s="1588" t="s">
        <v>1274</v>
      </c>
      <c r="B31" s="1589">
        <f ca="1">'预评函-2'!D15</f>
        <v>10154</v>
      </c>
    </row>
    <row r="32" spans="1:2" s="1590" customFormat="1">
      <c r="A32" s="1588" t="s">
        <v>1241</v>
      </c>
      <c r="B32" s="1589" t="str">
        <f ca="1">'预评函-2'!D14</f>
        <v>伍亿零捌佰叁拾肆万元整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4"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864</v>
      </c>
      <c r="C54" s="2016" t="s">
        <v>1281</v>
      </c>
    </row>
    <row r="55" spans="1:4">
      <c r="A55" s="3004"/>
      <c r="B55" s="2019" t="s">
        <v>865</v>
      </c>
      <c r="C55" s="2016" t="s">
        <v>1282</v>
      </c>
    </row>
    <row r="56" spans="1:4">
      <c r="A56" s="3004"/>
      <c r="B56" s="2019" t="s">
        <v>866</v>
      </c>
      <c r="C56" s="2016" t="s">
        <v>1286</v>
      </c>
    </row>
    <row r="57" spans="1:4">
      <c r="A57" s="3004"/>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13" t="str">
        <f>IF(B10="北京市","北京市",C10)&amp;F10&amp;IF(结果表!G1="在建","出让国有建设用地使用权及在建建筑物",IF(结果表!G1="土地","出让国有建设用地使用权",))&amp;B9&amp;"预评估"</f>
        <v>出让国有建设用地使用权及在建建筑物预评估</v>
      </c>
      <c r="C1" s="3014"/>
      <c r="D1" s="3014"/>
      <c r="E1" s="3014"/>
      <c r="F1" s="3014"/>
      <c r="G1" s="3014"/>
      <c r="H1" s="3014"/>
      <c r="I1" s="301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c r="C8" s="2053"/>
      <c r="D8" s="3016" t="s">
        <v>1785</v>
      </c>
      <c r="E8" s="2054" t="s">
        <v>3240</v>
      </c>
      <c r="F8" s="2055"/>
      <c r="G8" s="2023"/>
      <c r="H8" s="2023"/>
      <c r="I8" s="2023"/>
      <c r="J8" s="2039"/>
      <c r="K8" s="2040"/>
      <c r="L8" s="2025"/>
      <c r="M8" s="2025"/>
      <c r="N8" s="2026"/>
      <c r="O8" s="2027"/>
      <c r="P8" s="2026"/>
      <c r="Q8" s="2026"/>
      <c r="R8" s="2026"/>
    </row>
    <row r="9" spans="1:19" ht="18" customHeight="1" thickBot="1">
      <c r="A9" s="2037" t="s">
        <v>1786</v>
      </c>
      <c r="B9" s="2056"/>
      <c r="C9" s="2057"/>
      <c r="D9" s="3017"/>
      <c r="E9" s="2056"/>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40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23"/>
      <c r="C16" s="3024"/>
      <c r="D16" s="3025"/>
      <c r="E16" s="2083" t="s">
        <v>1802</v>
      </c>
      <c r="F16" s="3026"/>
      <c r="G16" s="3027"/>
      <c r="H16" s="3027"/>
      <c r="I16" s="3028"/>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29" t="s">
        <v>1806</v>
      </c>
      <c r="F17" s="3030"/>
      <c r="G17" s="3030"/>
      <c r="H17" s="3030"/>
      <c r="I17" s="3031"/>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32" t="s">
        <v>1809</v>
      </c>
      <c r="F18" s="3033"/>
      <c r="G18" s="3033"/>
      <c r="H18" s="3033"/>
      <c r="I18" s="3034"/>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19" t="s">
        <v>1814</v>
      </c>
      <c r="C20" s="3020"/>
      <c r="D20" s="3021" t="s">
        <v>1815</v>
      </c>
      <c r="E20" s="3022"/>
      <c r="F20" s="2095" t="s">
        <v>1816</v>
      </c>
      <c r="G20" s="2039"/>
      <c r="H20" s="2039"/>
      <c r="I20" s="2039"/>
      <c r="J20" s="2039"/>
      <c r="K20" s="301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6"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6"/>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6"/>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7"/>
      <c r="B30" s="2032" t="s">
        <v>1833</v>
      </c>
      <c r="C30" s="3008"/>
      <c r="D30" s="3009"/>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0"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1"/>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1"/>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05" t="s">
        <v>1843</v>
      </c>
      <c r="T34" s="2132" t="str">
        <f>NUMBERSTRING(7-K34,1)&amp;"通"</f>
        <v>七通</v>
      </c>
      <c r="U34" s="2026"/>
      <c r="V34" s="2026"/>
    </row>
    <row r="35" spans="1:22" ht="18" customHeight="1">
      <c r="A35" s="2133"/>
      <c r="B35" s="3012" t="s">
        <v>1844</v>
      </c>
      <c r="C35" s="3012"/>
      <c r="D35" s="3012"/>
      <c r="E35" s="3012"/>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6" t="s">
        <v>1940</v>
      </c>
      <c r="B2" s="3046"/>
      <c r="C2" s="3046"/>
      <c r="D2" s="965" t="s">
        <v>1916</v>
      </c>
      <c r="E2" s="2225" t="s">
        <v>1917</v>
      </c>
      <c r="F2" s="1390"/>
      <c r="G2" s="2226"/>
      <c r="H2" s="2227"/>
      <c r="I2" s="2228" t="s">
        <v>1941</v>
      </c>
      <c r="J2" s="1390"/>
      <c r="K2" s="1390"/>
      <c r="L2" s="1390"/>
      <c r="M2" s="1390"/>
      <c r="N2" s="1425"/>
      <c r="O2" s="1390"/>
      <c r="P2" s="1390"/>
    </row>
    <row r="3" spans="1:16" ht="15.75" thickBot="1">
      <c r="A3" s="3047" t="s">
        <v>1914</v>
      </c>
      <c r="B3" s="3047"/>
      <c r="C3" s="3047"/>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8"/>
      <c r="B4" s="3049"/>
      <c r="C4" s="3050"/>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1" t="s">
        <v>1919</v>
      </c>
      <c r="C5" s="3051"/>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1" t="s">
        <v>1920</v>
      </c>
      <c r="C6" s="3051"/>
      <c r="D6" s="48">
        <f>ROUND($D$3*E6/$E$3,2)</f>
        <v>4005.32</v>
      </c>
      <c r="E6" s="49">
        <f>E3-E5</f>
        <v>50064.18</v>
      </c>
      <c r="F6" s="1390"/>
      <c r="G6" s="2233" t="s">
        <v>1921</v>
      </c>
      <c r="H6" s="1397" t="s">
        <v>1922</v>
      </c>
      <c r="I6" s="937">
        <f>ROUND(F31/D31,2)</f>
        <v>8.32</v>
      </c>
      <c r="J6" s="1390"/>
      <c r="K6" s="1390"/>
      <c r="L6" s="1390"/>
      <c r="M6" s="1390"/>
      <c r="N6" s="1390"/>
      <c r="O6" s="1390"/>
      <c r="P6" s="1390"/>
    </row>
    <row r="7" spans="1:16" ht="15">
      <c r="A7" s="3043"/>
      <c r="B7" s="3044"/>
      <c r="C7" s="3045"/>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0" t="s">
        <v>1944</v>
      </c>
      <c r="L16" s="3041"/>
      <c r="M16" s="3041"/>
      <c r="N16" s="3041"/>
      <c r="O16" s="3041"/>
      <c r="P16" s="3042"/>
    </row>
    <row r="17" spans="1:19" ht="15">
      <c r="A17" s="2240" t="s">
        <v>1945</v>
      </c>
      <c r="B17" s="2241" t="s">
        <v>1946</v>
      </c>
      <c r="C17" s="2242" t="s">
        <v>1947</v>
      </c>
      <c r="D17" s="2243" t="s">
        <v>1935</v>
      </c>
      <c r="E17" s="2244" t="s">
        <v>1936</v>
      </c>
      <c r="F17" s="2245"/>
      <c r="G17" s="2246"/>
      <c r="H17" s="2247" t="s">
        <v>1948</v>
      </c>
      <c r="I17" s="2248" t="s">
        <v>1933</v>
      </c>
      <c r="J17" s="1390"/>
      <c r="K17" s="3037" t="s">
        <v>1949</v>
      </c>
      <c r="L17" s="3038"/>
      <c r="M17" s="3039"/>
      <c r="N17" s="3037" t="s">
        <v>1950</v>
      </c>
      <c r="O17" s="3038"/>
      <c r="P17" s="3039"/>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42"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1377</v>
      </c>
      <c r="D9" s="1049">
        <f>SUMIF(项目基本情况!D$12:I$12,C9,项目基本情况!D$14:I$14)</f>
        <v>40</v>
      </c>
      <c r="E9" s="1046">
        <f>IF(B9="","",SUMIF(项目基本情况!D$12:I$12,C9,项目基本情况!D$13:I$13))</f>
        <v>53900</v>
      </c>
      <c r="F9" s="72">
        <f>SUMIF(项目基本情况!D$12:I$12,C9,项目基本情况!D$15:I$15)</f>
        <v>28.97</v>
      </c>
      <c r="G9" s="73">
        <f t="shared" si="2"/>
        <v>0.88200000000000001</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27.97</v>
      </c>
      <c r="AF9" s="1801"/>
      <c r="AG9" s="147">
        <f t="shared" si="7"/>
        <v>0</v>
      </c>
      <c r="AH9" s="83"/>
      <c r="AI9" s="85">
        <v>365</v>
      </c>
      <c r="AJ9" s="86"/>
      <c r="AK9" s="87">
        <v>1.4999999999999999E-2</v>
      </c>
      <c r="AL9" s="88">
        <v>1.5E-3</v>
      </c>
      <c r="AM9" s="89">
        <v>0.01</v>
      </c>
      <c r="AN9" s="2306" t="s">
        <v>3187</v>
      </c>
      <c r="AO9" s="55">
        <f t="shared" ca="1" si="8"/>
        <v>2392</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0.88900000000000001</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220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2086</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1365</v>
      </c>
      <c r="B1" s="1740">
        <f>SUM(B14:B23)</f>
        <v>94133.45</v>
      </c>
      <c r="C1" s="1739"/>
      <c r="D1" s="1739"/>
      <c r="E1" s="1739"/>
      <c r="F1" s="1739"/>
      <c r="G1" s="1737"/>
    </row>
    <row r="2" spans="1:10" ht="16.5">
      <c r="A2" s="1740" t="s">
        <v>1353</v>
      </c>
      <c r="B2" s="1740">
        <f>SUM(C14:C23)</f>
        <v>7531.02</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100559</v>
      </c>
      <c r="C5" s="1740">
        <f ca="1">ROUND(B5*10000/$B$1,0)</f>
        <v>10683</v>
      </c>
      <c r="D5" s="1740">
        <f ca="1">ROUND(B5*10000/$B$2,0)</f>
        <v>133526</v>
      </c>
      <c r="E5" s="1739"/>
      <c r="F5" s="1737"/>
      <c r="G5" s="1737"/>
    </row>
    <row r="6" spans="1:10" ht="16.5">
      <c r="A6" s="1740" t="s">
        <v>1356</v>
      </c>
      <c r="B6" s="1740">
        <f ca="1">SUM(G14:G23)</f>
        <v>100559</v>
      </c>
      <c r="C6" s="1740">
        <f ca="1">ROUND(B6*10000/$B$1,0)</f>
        <v>10683</v>
      </c>
      <c r="D6" s="1740">
        <f ca="1">ROUND(B6*10000/$B$2,0)</f>
        <v>133526</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50834</v>
      </c>
      <c r="E14" s="1738">
        <f ca="1">ROUND(D14*10000/B14,0)</f>
        <v>10154</v>
      </c>
      <c r="F14" s="1738">
        <f ca="1">ROUND(D14*10000/C14,0)</f>
        <v>126916</v>
      </c>
      <c r="G14" s="1738">
        <f ca="1">结果表!D122</f>
        <v>50834</v>
      </c>
      <c r="H14" s="1738" t="str">
        <f>结果表!D124</f>
        <v>——</v>
      </c>
      <c r="I14" s="1738" t="str">
        <f>结果表!D126</f>
        <v>——</v>
      </c>
      <c r="J14" s="1737"/>
    </row>
    <row r="15" spans="1:10" ht="16.5">
      <c r="A15" s="1736" t="s">
        <v>1349</v>
      </c>
      <c r="B15" s="1743">
        <f>[1]系统读取表!$B$14</f>
        <v>44069.27</v>
      </c>
      <c r="C15" s="1743">
        <f>[1]系统读取表!$C$14</f>
        <v>3525.7</v>
      </c>
      <c r="D15" s="1743">
        <f ca="1">[1]系统读取表!$D$14</f>
        <v>49725</v>
      </c>
      <c r="E15" s="1738">
        <f t="shared" ref="E15:E23" ca="1" si="0">ROUND(D15*10000/B15,0)</f>
        <v>11283</v>
      </c>
      <c r="F15" s="1738">
        <f t="shared" ref="F15:F23" ca="1" si="1">ROUND(D15*10000/C15,0)</f>
        <v>141036</v>
      </c>
      <c r="G15" s="1744">
        <f ca="1">[1]系统读取表!$G$14</f>
        <v>49725</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9" zoomScaleSheetLayoutView="100" zoomScalePageLayoutView="80" workbookViewId="0">
      <selection activeCell="N62" sqref="N62"/>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087" t="str">
        <f>项目基本情况!S2</f>
        <v>出让国有建设用地使用权及在建建筑物房地产</v>
      </c>
      <c r="B2" s="3088"/>
      <c r="C2" s="3088"/>
      <c r="D2" s="3088"/>
      <c r="E2" s="3088"/>
      <c r="F2" s="3088"/>
      <c r="G2" s="3088"/>
      <c r="H2" s="3088"/>
      <c r="I2" s="3089"/>
    </row>
    <row r="3" spans="1:12" ht="12.75">
      <c r="A3" s="3091" t="s">
        <v>2126</v>
      </c>
      <c r="B3" s="3092"/>
      <c r="C3" s="3092"/>
      <c r="D3" s="3092"/>
      <c r="E3" s="3092"/>
      <c r="F3" s="3092"/>
      <c r="G3" s="3092"/>
      <c r="H3" s="3092"/>
      <c r="I3" s="3092"/>
    </row>
    <row r="4" spans="1:12" ht="14.25">
      <c r="A4" s="2423" t="s">
        <v>2127</v>
      </c>
      <c r="B4" s="2424" t="s">
        <v>2128</v>
      </c>
      <c r="C4" s="2425" t="s">
        <v>3172</v>
      </c>
      <c r="D4" s="2425" t="s">
        <v>3173</v>
      </c>
      <c r="E4" s="3084" t="s">
        <v>2129</v>
      </c>
      <c r="F4" s="3085"/>
      <c r="G4" s="3085"/>
      <c r="H4" s="3085"/>
      <c r="I4" s="309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67" t="s">
        <v>2130</v>
      </c>
      <c r="B5" s="3005">
        <v>25</v>
      </c>
      <c r="C5" s="3070"/>
      <c r="D5" s="3090"/>
      <c r="E5" s="140" t="s">
        <v>2131</v>
      </c>
      <c r="F5" s="2427"/>
      <c r="G5" s="2427"/>
      <c r="H5" s="2427"/>
      <c r="I5" s="1828"/>
    </row>
    <row r="6" spans="1:12" ht="12.75">
      <c r="A6" s="3067"/>
      <c r="B6" s="3005"/>
      <c r="C6" s="3071"/>
      <c r="D6" s="3090"/>
      <c r="E6" s="140" t="s">
        <v>2132</v>
      </c>
      <c r="F6" s="2427"/>
      <c r="G6" s="2427"/>
      <c r="H6" s="2427"/>
      <c r="I6" s="1828"/>
    </row>
    <row r="7" spans="1:12" ht="12.75">
      <c r="A7" s="3067"/>
      <c r="B7" s="3005"/>
      <c r="C7" s="3072"/>
      <c r="D7" s="3090"/>
      <c r="E7" s="140" t="s">
        <v>2133</v>
      </c>
      <c r="F7" s="2427"/>
      <c r="G7" s="2427"/>
      <c r="H7" s="2427"/>
      <c r="I7" s="1828"/>
    </row>
    <row r="8" spans="1:12" ht="12.75">
      <c r="A8" s="3067" t="s">
        <v>2134</v>
      </c>
      <c r="B8" s="3005">
        <v>15</v>
      </c>
      <c r="C8" s="3070"/>
      <c r="D8" s="3090"/>
      <c r="E8" s="140" t="s">
        <v>2135</v>
      </c>
      <c r="F8" s="2427"/>
      <c r="G8" s="2427"/>
      <c r="H8" s="2427"/>
      <c r="I8" s="1828"/>
    </row>
    <row r="9" spans="1:12" ht="12.75">
      <c r="A9" s="3067"/>
      <c r="B9" s="3005"/>
      <c r="C9" s="3072"/>
      <c r="D9" s="3090"/>
      <c r="E9" s="140" t="s">
        <v>2136</v>
      </c>
      <c r="F9" s="2427"/>
      <c r="G9" s="2427"/>
      <c r="H9" s="2427"/>
      <c r="I9" s="1828"/>
    </row>
    <row r="10" spans="1:12" ht="12.75">
      <c r="A10" s="3067" t="s">
        <v>2137</v>
      </c>
      <c r="B10" s="3005">
        <v>15</v>
      </c>
      <c r="C10" s="3070"/>
      <c r="D10" s="3090"/>
      <c r="E10" s="140" t="s">
        <v>2138</v>
      </c>
      <c r="F10" s="2427"/>
      <c r="G10" s="2427"/>
      <c r="H10" s="2427"/>
      <c r="I10" s="1828"/>
    </row>
    <row r="11" spans="1:12" ht="12.75">
      <c r="A11" s="3067"/>
      <c r="B11" s="3005"/>
      <c r="C11" s="3072"/>
      <c r="D11" s="3090"/>
      <c r="E11" s="140" t="s">
        <v>2139</v>
      </c>
      <c r="F11" s="2427"/>
      <c r="G11" s="2427"/>
      <c r="H11" s="2427"/>
      <c r="I11" s="1828"/>
    </row>
    <row r="12" spans="1:12" ht="12.75">
      <c r="A12" s="3067" t="s">
        <v>2140</v>
      </c>
      <c r="B12" s="3005">
        <v>15</v>
      </c>
      <c r="C12" s="3070"/>
      <c r="D12" s="3090"/>
      <c r="E12" s="140" t="s">
        <v>2141</v>
      </c>
      <c r="F12" s="2427"/>
      <c r="G12" s="2427"/>
      <c r="H12" s="2427"/>
      <c r="I12" s="1828"/>
    </row>
    <row r="13" spans="1:12" ht="12.75">
      <c r="A13" s="3067"/>
      <c r="B13" s="3005"/>
      <c r="C13" s="3072"/>
      <c r="D13" s="3090"/>
      <c r="E13" s="140" t="s">
        <v>2142</v>
      </c>
      <c r="F13" s="2427"/>
      <c r="G13" s="2427"/>
      <c r="H13" s="2427"/>
      <c r="I13" s="1828"/>
    </row>
    <row r="14" spans="1:12" ht="12.75">
      <c r="A14" s="3067" t="s">
        <v>2143</v>
      </c>
      <c r="B14" s="3005">
        <v>30</v>
      </c>
      <c r="C14" s="3070">
        <v>5</v>
      </c>
      <c r="D14" s="3090">
        <v>5</v>
      </c>
      <c r="E14" s="140" t="s">
        <v>2144</v>
      </c>
      <c r="F14" s="2427"/>
      <c r="G14" s="2427"/>
      <c r="H14" s="2427"/>
      <c r="I14" s="1828"/>
    </row>
    <row r="15" spans="1:12" ht="12.75">
      <c r="A15" s="3067"/>
      <c r="B15" s="3005"/>
      <c r="C15" s="3071"/>
      <c r="D15" s="3090"/>
      <c r="E15" s="140" t="s">
        <v>2145</v>
      </c>
      <c r="F15" s="2427"/>
      <c r="G15" s="2427"/>
      <c r="H15" s="2427"/>
      <c r="I15" s="1828"/>
    </row>
    <row r="16" spans="1:12" ht="12.75">
      <c r="A16" s="3067"/>
      <c r="B16" s="3005"/>
      <c r="C16" s="3072"/>
      <c r="D16" s="3090"/>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50646</v>
      </c>
      <c r="D19" s="144">
        <f ca="1">SUMIF(INDIRECT("'"&amp;D4&amp;"'"&amp;"!A:A"),结果表!B19,INDIRECT("'"&amp;D4&amp;"'"&amp;"!B:B"))</f>
        <v>51021</v>
      </c>
      <c r="E19" s="2432" t="s">
        <v>2154</v>
      </c>
      <c r="F19" s="2433" t="s">
        <v>2153</v>
      </c>
      <c r="G19" s="145">
        <f ca="1">ROUND(C19*$C$18+D19*$D$18,0)</f>
        <v>50834</v>
      </c>
      <c r="H19" s="2434" t="s">
        <v>2155</v>
      </c>
      <c r="I19" s="138"/>
      <c r="J19" s="795">
        <f ca="1">G19+[1]结果表!$G$19</f>
        <v>100559</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10116</v>
      </c>
      <c r="D20" s="147">
        <f ca="1">SUMIF(INDIRECT("'"&amp;D4&amp;"'"&amp;"!A:A"),结果表!B20,INDIRECT("'"&amp;D4&amp;"'"&amp;"!B:B"))</f>
        <v>10191</v>
      </c>
      <c r="E20" s="2435"/>
      <c r="F20" s="1245" t="s">
        <v>2157</v>
      </c>
      <c r="G20" s="148">
        <f ca="1">ROUND(C20*$C$18+D20*$D$18,0)</f>
        <v>10154</v>
      </c>
      <c r="H20" s="978" t="s">
        <v>2158</v>
      </c>
      <c r="I20" s="138"/>
      <c r="J20" s="795">
        <f>52337+48086</f>
        <v>100423</v>
      </c>
    </row>
    <row r="21" spans="1:35" ht="15" customHeight="1" thickBot="1">
      <c r="A21" s="998"/>
      <c r="B21" s="2436" t="s">
        <v>2159</v>
      </c>
      <c r="C21" s="789">
        <f ca="1">ROUND(C19*10000/L19,0)</f>
        <v>126447</v>
      </c>
      <c r="D21" s="790">
        <f ca="1">ROUND(D19*10000/L19,0)</f>
        <v>127383</v>
      </c>
      <c r="E21" s="998"/>
      <c r="F21" s="2436" t="s">
        <v>2159</v>
      </c>
      <c r="G21" s="149">
        <f ca="1">ROUND(G19*10000/L19,0)</f>
        <v>126916</v>
      </c>
      <c r="H21" s="2437" t="s">
        <v>2158</v>
      </c>
      <c r="I21" s="138"/>
    </row>
    <row r="22" spans="1:35" ht="15" thickBot="1">
      <c r="A22" s="2278" t="s">
        <v>2160</v>
      </c>
      <c r="B22" s="2438"/>
      <c r="C22" s="2439"/>
      <c r="D22" s="791">
        <f ca="1">IF(C19&lt;D19,D19/C19-1,C19/D19-1)</f>
        <v>7.4043359791493568E-3</v>
      </c>
      <c r="E22" s="138"/>
      <c r="F22" s="138"/>
      <c r="G22" s="138"/>
      <c r="H22" s="138"/>
      <c r="I22" s="138"/>
    </row>
    <row r="23" spans="1:35" ht="13.5" thickBot="1">
      <c r="A23" s="2416"/>
      <c r="B23" s="2416"/>
      <c r="C23" s="2416"/>
      <c r="D23" s="2416"/>
      <c r="E23" s="138"/>
      <c r="F23" s="138"/>
      <c r="G23" s="138"/>
      <c r="H23" s="138"/>
      <c r="I23" s="138"/>
    </row>
    <row r="24" spans="1:35" ht="14.25">
      <c r="A24" s="3061" t="s">
        <v>2161</v>
      </c>
      <c r="B24" s="2433" t="s">
        <v>2153</v>
      </c>
      <c r="C24" s="145">
        <f>IF(B30=0,0,D30)</f>
        <v>0</v>
      </c>
      <c r="D24" s="2440"/>
      <c r="E24" s="138"/>
      <c r="F24" s="138"/>
      <c r="G24" s="138"/>
      <c r="H24" s="138"/>
      <c r="I24" s="138"/>
    </row>
    <row r="25" spans="1:35" ht="14.25">
      <c r="A25" s="3062"/>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50834</v>
      </c>
      <c r="D32" s="2447" t="s">
        <v>2168</v>
      </c>
      <c r="E32" s="138"/>
      <c r="F32" s="138"/>
      <c r="G32" s="138"/>
      <c r="H32" s="138"/>
      <c r="I32" s="138"/>
    </row>
    <row r="33" spans="1:15" ht="15">
      <c r="A33" s="955"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2172</v>
      </c>
      <c r="F34" s="1733"/>
      <c r="G34" s="138"/>
      <c r="H34" s="138"/>
      <c r="I34" s="138"/>
    </row>
    <row r="35" spans="1:15" ht="15.75" thickBot="1">
      <c r="A35" s="2456"/>
      <c r="B35" s="2457" t="s">
        <v>2173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079" t="s">
        <v>2175</v>
      </c>
      <c r="B36" s="2459" t="s">
        <v>2176</v>
      </c>
      <c r="C36" s="154"/>
      <c r="D36" s="2460"/>
      <c r="E36" s="2461"/>
      <c r="F36" s="2462"/>
      <c r="G36" s="138"/>
      <c r="H36" s="138"/>
      <c r="I36" s="138"/>
    </row>
    <row r="37" spans="1:15" ht="15.75" thickBot="1">
      <c r="A37" s="3080"/>
      <c r="B37" s="2264" t="s">
        <v>2177</v>
      </c>
      <c r="C37" s="156"/>
      <c r="D37" s="1390"/>
      <c r="E37" s="1390"/>
      <c r="F37" s="2462"/>
      <c r="G37" s="138"/>
      <c r="H37" s="138"/>
      <c r="I37" s="138"/>
    </row>
    <row r="38" spans="1:15" ht="15.75" thickBot="1">
      <c r="A38" s="3081"/>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058" t="s">
        <v>2189</v>
      </c>
      <c r="B45" s="3059"/>
      <c r="C45" s="3060"/>
      <c r="D45" s="164">
        <f ca="1">ROUND(H101*F45,0)+ROUND([1]结果表!$H$101*F45,0)</f>
        <v>100559</v>
      </c>
      <c r="E45" s="165" t="s">
        <v>2190</v>
      </c>
      <c r="F45" s="166">
        <v>1</v>
      </c>
      <c r="G45" s="167" t="s">
        <v>2191</v>
      </c>
      <c r="H45" s="138"/>
      <c r="I45" s="138"/>
      <c r="J45" s="3118" t="s">
        <v>2192</v>
      </c>
      <c r="K45" s="3118"/>
      <c r="L45" s="3118"/>
      <c r="M45" s="3118"/>
      <c r="N45" s="3118"/>
      <c r="O45" s="3118"/>
    </row>
    <row r="46" spans="1:15" ht="14.25" customHeight="1">
      <c r="A46" s="3055" t="s">
        <v>2193</v>
      </c>
      <c r="B46" s="3056"/>
      <c r="C46" s="3056"/>
      <c r="D46" s="3056"/>
      <c r="E46" s="3056"/>
      <c r="F46" s="3056"/>
      <c r="G46" s="3057"/>
      <c r="H46" s="2478"/>
      <c r="I46" s="168"/>
      <c r="J46" s="1806">
        <v>1</v>
      </c>
      <c r="K46" s="3118" t="s">
        <v>2194</v>
      </c>
      <c r="L46" s="3118"/>
      <c r="M46" s="3138"/>
      <c r="N46" s="3138"/>
      <c r="O46" s="3138"/>
    </row>
    <row r="47" spans="1:15" ht="12" customHeight="1">
      <c r="A47" s="169" t="s">
        <v>2195</v>
      </c>
      <c r="B47" s="170"/>
      <c r="C47" s="171"/>
      <c r="D47" s="172" t="s">
        <v>2196</v>
      </c>
      <c r="E47" s="24" t="s">
        <v>2197</v>
      </c>
      <c r="F47" s="173" t="s">
        <v>2198</v>
      </c>
      <c r="G47" s="174" t="s">
        <v>2199</v>
      </c>
      <c r="H47" s="2478"/>
      <c r="I47" s="168"/>
      <c r="J47" s="1806">
        <v>2</v>
      </c>
      <c r="K47" s="3118" t="s">
        <v>2200</v>
      </c>
      <c r="L47" s="3118"/>
      <c r="M47" s="3139">
        <f>'数据-取费表'!B2</f>
        <v>43324</v>
      </c>
      <c r="N47" s="3139"/>
      <c r="O47" s="3139"/>
    </row>
    <row r="48" spans="1:15" ht="25.5">
      <c r="A48" s="3086" t="s">
        <v>2201</v>
      </c>
      <c r="B48" s="3069"/>
      <c r="C48" s="3069"/>
      <c r="D48" s="140">
        <f ca="1">IF(H48="情况1",0,IF(H48="情况2",D52,IF(H48="情况3",D53,IF(H48="情况4",D54))))</f>
        <v>5363</v>
      </c>
      <c r="E48" s="1795" t="str">
        <f>IF(H48="情况4","(销售额-原购置价)×税（费）率","销售额×税（费）率")</f>
        <v>销售额×税（费）率</v>
      </c>
      <c r="F48" s="175">
        <f>IF(H48="情况1","免征",'数据-取费表'!B41)</f>
        <v>5.6000000000000001E-2</v>
      </c>
      <c r="G48" s="2479" t="s">
        <v>2202</v>
      </c>
      <c r="H48" s="2480" t="s">
        <v>3238</v>
      </c>
      <c r="I48" s="2478"/>
      <c r="J48" s="1806">
        <v>3</v>
      </c>
      <c r="K48" s="3118" t="s">
        <v>2203</v>
      </c>
      <c r="L48" s="3118"/>
      <c r="M48" s="3140">
        <f ca="1">H101+[1]结果表!$H$101</f>
        <v>100559</v>
      </c>
      <c r="N48" s="3140"/>
      <c r="O48" s="3140"/>
    </row>
    <row r="49" spans="1:35" ht="25.5" customHeight="1">
      <c r="A49" s="176" t="s">
        <v>2204</v>
      </c>
      <c r="B49" s="3054" t="s">
        <v>2205</v>
      </c>
      <c r="C49" s="3054"/>
      <c r="D49" s="177">
        <v>0</v>
      </c>
      <c r="E49" s="23" t="s">
        <v>2206</v>
      </c>
      <c r="F49" s="28" t="s">
        <v>34</v>
      </c>
      <c r="G49" s="3124"/>
      <c r="H49" s="138"/>
      <c r="I49" s="2481"/>
      <c r="J49" s="1806">
        <v>4</v>
      </c>
      <c r="K49" s="3118" t="str">
        <f>IF(项目基本情况!E8="房地产抵押价值","房地产抵押价值","抵押担保权已注销时的房地产抵押价值")</f>
        <v>房地产抵押价值</v>
      </c>
      <c r="L49" s="3118"/>
      <c r="M49" s="3140">
        <f ca="1">IF(项目基本情况!E8="房地产抵押价值",H107,H109)+[1]结果表!$M$49:$O$49</f>
        <v>100559</v>
      </c>
      <c r="N49" s="3140"/>
      <c r="O49" s="3140"/>
    </row>
    <row r="50" spans="1:35" ht="25.5" customHeight="1">
      <c r="A50" s="178"/>
      <c r="B50" s="3054" t="s">
        <v>2207</v>
      </c>
      <c r="C50" s="3054"/>
      <c r="D50" s="179"/>
      <c r="E50" s="31"/>
      <c r="F50" s="180"/>
      <c r="G50" s="3125"/>
      <c r="H50" s="138"/>
      <c r="I50" s="2481"/>
      <c r="J50" s="3118" t="s">
        <v>2208</v>
      </c>
      <c r="K50" s="3118"/>
      <c r="L50" s="3118"/>
      <c r="M50" s="3118"/>
      <c r="N50" s="3118"/>
      <c r="O50" s="3118"/>
    </row>
    <row r="51" spans="1:35" ht="12" customHeight="1">
      <c r="A51" s="181"/>
      <c r="B51" s="3054" t="s">
        <v>2209</v>
      </c>
      <c r="C51" s="3054"/>
      <c r="D51" s="182"/>
      <c r="E51" s="30"/>
      <c r="F51" s="180"/>
      <c r="G51" s="3126"/>
      <c r="H51" s="138"/>
      <c r="I51" s="2481"/>
      <c r="J51" s="2482" t="s">
        <v>2210</v>
      </c>
      <c r="K51" s="3118" t="s">
        <v>2211</v>
      </c>
      <c r="L51" s="3118"/>
      <c r="M51" s="2482" t="s">
        <v>2212</v>
      </c>
      <c r="N51" s="2482" t="s">
        <v>2213</v>
      </c>
      <c r="O51" s="2482" t="s">
        <v>2214</v>
      </c>
    </row>
    <row r="52" spans="1:35" ht="24" customHeight="1">
      <c r="A52" s="183" t="s">
        <v>2215</v>
      </c>
      <c r="B52" s="3054" t="s">
        <v>2216</v>
      </c>
      <c r="C52" s="3054"/>
      <c r="D52" s="182">
        <f ca="1">ROUND(D45*'数据-取费表'!B41/(1+'数据-取费表'!C42),0)</f>
        <v>5363</v>
      </c>
      <c r="E52" s="11" t="s">
        <v>2217</v>
      </c>
      <c r="F52" s="184">
        <f>'数据-取费表'!B41</f>
        <v>5.6000000000000001E-2</v>
      </c>
      <c r="G52" s="2483"/>
      <c r="H52" s="138"/>
      <c r="I52" s="2481"/>
      <c r="J52" s="1806">
        <v>1</v>
      </c>
      <c r="K52" s="3119" t="s">
        <v>2218</v>
      </c>
      <c r="L52" s="3119"/>
      <c r="M52" s="1748">
        <f ca="1">D48</f>
        <v>5363</v>
      </c>
      <c r="N52" s="1806" t="str">
        <f>E48</f>
        <v>销售额×税（费）率</v>
      </c>
      <c r="O52" s="1749">
        <f>F48</f>
        <v>5.6000000000000001E-2</v>
      </c>
    </row>
    <row r="53" spans="1:35" ht="12" customHeight="1">
      <c r="A53" s="183" t="s">
        <v>2219</v>
      </c>
      <c r="B53" s="3077" t="s">
        <v>2220</v>
      </c>
      <c r="C53" s="3078"/>
      <c r="D53" s="182">
        <f ca="1">ROUND(D45*'数据-取费表'!B41/(1+'数据-取费表'!C42),0)</f>
        <v>5363</v>
      </c>
      <c r="E53" s="11" t="s">
        <v>2217</v>
      </c>
      <c r="F53" s="184">
        <f>'数据-取费表'!B41</f>
        <v>5.6000000000000001E-2</v>
      </c>
      <c r="G53" s="2483"/>
      <c r="H53" s="138"/>
      <c r="I53" s="2481"/>
      <c r="J53" s="1806">
        <v>2</v>
      </c>
      <c r="K53" s="3119" t="s">
        <v>2221</v>
      </c>
      <c r="L53" s="3119"/>
      <c r="M53" s="1748">
        <f t="shared" ref="M53:O54" ca="1" si="0">D55</f>
        <v>50</v>
      </c>
      <c r="N53" s="1806" t="str">
        <f t="shared" si="0"/>
        <v>销售额×税（费）率</v>
      </c>
      <c r="O53" s="1749">
        <f t="shared" si="0"/>
        <v>5.0000000000000001E-4</v>
      </c>
    </row>
    <row r="54" spans="1:35" ht="12" customHeight="1">
      <c r="A54" s="183" t="s">
        <v>2222</v>
      </c>
      <c r="B54" s="3077" t="s">
        <v>2223</v>
      </c>
      <c r="C54" s="3078"/>
      <c r="D54" s="182">
        <f ca="1">C68</f>
        <v>5363</v>
      </c>
      <c r="E54" s="30" t="s">
        <v>2224</v>
      </c>
      <c r="F54" s="184">
        <f>'数据-取费表'!B41</f>
        <v>5.6000000000000001E-2</v>
      </c>
      <c r="G54" s="2483"/>
      <c r="H54" s="2484"/>
      <c r="I54" s="2481"/>
      <c r="J54" s="1806">
        <v>3</v>
      </c>
      <c r="K54" s="3119" t="s">
        <v>2225</v>
      </c>
      <c r="L54" s="3119"/>
      <c r="M54" s="1748">
        <f t="shared" ca="1" si="0"/>
        <v>3339</v>
      </c>
      <c r="N54" s="1806" t="str">
        <f t="shared" si="0"/>
        <v>增值额×税（费）率</v>
      </c>
      <c r="O54" s="1750" t="str">
        <f t="shared" si="0"/>
        <v>——</v>
      </c>
    </row>
    <row r="55" spans="1:35" ht="24" customHeight="1">
      <c r="A55" s="3068" t="s">
        <v>2226</v>
      </c>
      <c r="B55" s="3069"/>
      <c r="C55" s="3069"/>
      <c r="D55" s="185">
        <f ca="1">IF(H55="个人住宅",0,ROUND(D45*I55,0))</f>
        <v>50</v>
      </c>
      <c r="E55" s="11" t="s">
        <v>2227</v>
      </c>
      <c r="F55" s="184">
        <f>IF(H55="正常",I55,"免征")</f>
        <v>5.0000000000000001E-4</v>
      </c>
      <c r="G55" s="2483"/>
      <c r="H55" s="2480" t="s">
        <v>2228</v>
      </c>
      <c r="I55" s="186">
        <f>'数据-取费表'!B49</f>
        <v>5.0000000000000001E-4</v>
      </c>
      <c r="J55" s="1806" t="str">
        <f>IF(H59="非个人房产","",4)</f>
        <v/>
      </c>
      <c r="K55" s="3119" t="str">
        <f>IF(H59="非个人房产","——","个人所得税")</f>
        <v>——</v>
      </c>
      <c r="L55" s="3119"/>
      <c r="M55" s="1751" t="str">
        <f>D59</f>
        <v>——</v>
      </c>
      <c r="N55" s="1804" t="str">
        <f>E59</f>
        <v>——</v>
      </c>
      <c r="O55" s="1752" t="str">
        <f>F59</f>
        <v>——</v>
      </c>
    </row>
    <row r="56" spans="1:35" ht="24.75">
      <c r="A56" s="3068" t="s">
        <v>2229</v>
      </c>
      <c r="B56" s="3069"/>
      <c r="C56" s="3069"/>
      <c r="D56" s="185">
        <f ca="1">IF(H56="个人住宅",D57,D58)</f>
        <v>3339</v>
      </c>
      <c r="E56" s="11" t="s">
        <v>2230</v>
      </c>
      <c r="F56" s="184" t="str">
        <f>IF(H56="正常",F58,"免征")</f>
        <v>——</v>
      </c>
      <c r="G56" s="2485" t="s">
        <v>2231</v>
      </c>
      <c r="H56" s="2486" t="s">
        <v>2228</v>
      </c>
      <c r="I56" s="2487"/>
      <c r="J56" s="1806" t="str">
        <f>IF(项目基本情况!K6="上海银行",IF(J55="",4,J55+1),"")</f>
        <v/>
      </c>
      <c r="K56" s="3142" t="str">
        <f>IF(项目基本情况!K6="上海银行","其他处置费用","")</f>
        <v/>
      </c>
      <c r="L56" s="3143"/>
      <c r="M56" s="1748" t="str">
        <f>IF(项目基本情况!K6="上海银行",M69,"")</f>
        <v/>
      </c>
      <c r="N56" s="3145" t="str">
        <f>IF(项目基本情况!K6="上海银行","包含处置中涉及的律师、诉讼、拍卖、评估等费用","")</f>
        <v/>
      </c>
      <c r="O56" s="3146"/>
    </row>
    <row r="57" spans="1:35" ht="12.75">
      <c r="A57" s="183" t="s">
        <v>2204</v>
      </c>
      <c r="B57" s="3084" t="s">
        <v>2232</v>
      </c>
      <c r="C57" s="3093"/>
      <c r="D57" s="187">
        <v>0</v>
      </c>
      <c r="E57" s="23" t="s">
        <v>2206</v>
      </c>
      <c r="F57" s="155"/>
      <c r="G57" s="2483"/>
      <c r="H57" s="2487"/>
      <c r="I57" s="2487"/>
      <c r="J57" s="3119">
        <f>IF(AND(J55="",J56=""),4,IF(项目基本情况!K6="上海银行",结果表!J56+1,结果表!J55+1))</f>
        <v>4</v>
      </c>
      <c r="K57" s="3119" t="s">
        <v>2233</v>
      </c>
      <c r="L57" s="2488" t="s">
        <v>2234</v>
      </c>
      <c r="M57" s="1753"/>
      <c r="N57" s="1754">
        <f ca="1">SUMIF(M52:M56,"&lt;9e307")</f>
        <v>8752</v>
      </c>
      <c r="O57" s="2489"/>
      <c r="P57" s="1747">
        <f ca="1">N57/M49</f>
        <v>8.7033482830974854E-2</v>
      </c>
    </row>
    <row r="58" spans="1:35" ht="24.75">
      <c r="A58" s="183" t="s">
        <v>2215</v>
      </c>
      <c r="B58" s="3084" t="s">
        <v>2235</v>
      </c>
      <c r="C58" s="3085"/>
      <c r="D58" s="185">
        <f ca="1">IF(H58="转让取得",C81,C97)</f>
        <v>3339</v>
      </c>
      <c r="E58" s="11" t="s">
        <v>2230</v>
      </c>
      <c r="F58" s="24" t="s">
        <v>34</v>
      </c>
      <c r="G58" s="2483"/>
      <c r="H58" s="2486" t="s">
        <v>2236</v>
      </c>
      <c r="I58" s="2487"/>
      <c r="J58" s="3119"/>
      <c r="K58" s="3119"/>
      <c r="L58" s="2488" t="s">
        <v>2237</v>
      </c>
      <c r="M58" s="1755"/>
      <c r="N58" s="2490" t="str">
        <f ca="1">NUMBERSTRING(INT(N57*10000),2)&amp;"元整"</f>
        <v>捌仟柒佰伍拾贰万元整</v>
      </c>
      <c r="O58" s="2491"/>
    </row>
    <row r="59" spans="1:35" ht="24.75" thickBot="1">
      <c r="A59" s="3122" t="s">
        <v>2238</v>
      </c>
      <c r="B59" s="3123"/>
      <c r="C59" s="3123"/>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120">
        <f>J57+1</f>
        <v>5</v>
      </c>
      <c r="K59" s="3119" t="s">
        <v>2240</v>
      </c>
      <c r="L59" s="1806" t="s">
        <v>2234</v>
      </c>
      <c r="M59" s="1756"/>
      <c r="N59" s="1757">
        <f ca="1">M49-N57</f>
        <v>91807</v>
      </c>
      <c r="O59" s="2493"/>
    </row>
    <row r="60" spans="1:35" ht="12" customHeight="1">
      <c r="A60" s="2494"/>
      <c r="B60" s="2416"/>
      <c r="C60" s="2416"/>
      <c r="D60" s="2416"/>
      <c r="E60" s="2164"/>
      <c r="F60" s="2487"/>
      <c r="G60" s="2487"/>
      <c r="H60" s="2495"/>
      <c r="I60" s="138"/>
      <c r="J60" s="3121"/>
      <c r="K60" s="3119"/>
      <c r="L60" s="2488" t="s">
        <v>2237</v>
      </c>
      <c r="M60" s="1755"/>
      <c r="N60" s="2490" t="str">
        <f ca="1">NUMBERSTRING(INT(N59*10000),2)&amp;"元整"</f>
        <v>玖亿壹仟捌佰零柒万元整</v>
      </c>
      <c r="O60" s="2491"/>
    </row>
    <row r="61" spans="1:35" ht="13.5" thickBot="1">
      <c r="A61" s="3066" t="s">
        <v>2241</v>
      </c>
      <c r="B61" s="3066"/>
      <c r="C61" s="3066"/>
      <c r="D61" s="3066"/>
      <c r="E61" s="3066"/>
      <c r="F61" s="2487"/>
      <c r="G61" s="2487"/>
      <c r="H61" s="2495"/>
      <c r="I61" s="138"/>
      <c r="J61" s="1806">
        <f>J59+1</f>
        <v>6</v>
      </c>
      <c r="K61" s="3119" t="s">
        <v>2242</v>
      </c>
      <c r="L61" s="3119"/>
      <c r="M61" s="1758"/>
      <c r="N61" s="1759">
        <f ca="1">ROUND(N59*10000/('数据-汇总表'!E3+'[1]数据-汇总表'!$E$3),0)</f>
        <v>9753</v>
      </c>
      <c r="O61" s="2496"/>
    </row>
    <row r="62" spans="1:35" ht="12.75">
      <c r="A62" s="3082" t="s">
        <v>2243</v>
      </c>
      <c r="B62" s="3083"/>
      <c r="C62" s="1798"/>
      <c r="D62" s="1798" t="s">
        <v>2244</v>
      </c>
      <c r="E62" s="192" t="s">
        <v>2245</v>
      </c>
      <c r="F62" s="2487"/>
      <c r="G62" s="2487"/>
      <c r="H62" s="2495"/>
      <c r="I62" s="138"/>
    </row>
    <row r="63" spans="1:35" ht="12.75">
      <c r="A63" s="203" t="s">
        <v>775</v>
      </c>
      <c r="B63" s="193" t="s">
        <v>2246</v>
      </c>
      <c r="C63" s="194">
        <f ca="1">ROUND((C64+C65)/(1+'数据-取费表'!C42),0)</f>
        <v>95770</v>
      </c>
      <c r="D63" s="195"/>
      <c r="E63" s="196"/>
      <c r="F63" s="2487"/>
      <c r="G63" s="2487"/>
      <c r="H63" s="2495"/>
      <c r="I63" s="138"/>
      <c r="J63" s="3144" t="s">
        <v>2247</v>
      </c>
      <c r="K63" s="2497" t="s">
        <v>2248</v>
      </c>
      <c r="L63" s="1746">
        <f ca="1">IF(M49&gt;10000,M49*0.5%,IF(AND(M49&gt;1000,M49&lt;=10000),M49*1%,IF(AND(M49&gt;100,M49&lt;=1000),M49*3%,IF(AND(M49&gt;10,M49&lt;=100),M49*5%,M49*8%))))</f>
        <v>502.79500000000002</v>
      </c>
      <c r="M63" s="24">
        <f ca="1">ROUND(L63,1)</f>
        <v>502.8</v>
      </c>
      <c r="Z63" s="2421"/>
      <c r="AI63" s="2422"/>
    </row>
    <row r="64" spans="1:35" ht="14.25" customHeight="1">
      <c r="A64" s="197" t="s">
        <v>770</v>
      </c>
      <c r="B64" s="198" t="s">
        <v>2249</v>
      </c>
      <c r="C64" s="199">
        <f ca="1">D45</f>
        <v>100559</v>
      </c>
      <c r="D64" s="200" t="s">
        <v>32</v>
      </c>
      <c r="E64" s="201"/>
      <c r="F64" s="2487"/>
      <c r="G64" s="2487"/>
      <c r="H64" s="2495"/>
      <c r="I64" s="138"/>
      <c r="J64" s="3144"/>
      <c r="K64" s="2497" t="s">
        <v>2250</v>
      </c>
      <c r="L64" s="1746">
        <f ca="1">IF(M49&gt;2000,M49*0.5%,IF(AND(M49&gt;1000,M49&lt;=2000),M49*0.6%,IF(AND(M49&gt;500,M49&lt;=1000),M49*0.7%,IF(AND(M49&gt;200,M49&lt;=500),M49*0.8%,IF(AND(M49&gt;100,M49&lt;=200),M49*0.9%,IF(AND(M49&gt;50,M49&lt;=100),M49*1%,IF(AND(M49&gt;20,M49&lt;=50),M49*1.5%,IF(AND(M49&gt;10,M49&lt;=20),M49*2%,IF(AND(M49&gt;1,M49&lt;=10),M49*2.5%)))))))))</f>
        <v>502.79500000000002</v>
      </c>
      <c r="M64" s="24">
        <f t="shared" ref="M64:M65" ca="1" si="1">ROUND(L64,1)</f>
        <v>502.8</v>
      </c>
      <c r="N64" s="138" t="s">
        <v>2251</v>
      </c>
      <c r="Z64" s="2421"/>
      <c r="AI64" s="2422"/>
    </row>
    <row r="65" spans="1:35" ht="14.25" customHeight="1">
      <c r="A65" s="197" t="s">
        <v>771</v>
      </c>
      <c r="B65" s="198" t="s">
        <v>2252</v>
      </c>
      <c r="C65" s="202"/>
      <c r="D65" s="200"/>
      <c r="E65" s="201"/>
      <c r="F65" s="2487"/>
      <c r="G65" s="2487"/>
      <c r="H65" s="2495"/>
      <c r="I65" s="138"/>
      <c r="J65" s="3144"/>
      <c r="K65" s="2497" t="s">
        <v>2253</v>
      </c>
      <c r="L65" s="1746">
        <f ca="1">IF(M49&gt;1000,M49*0.1%,IF(AND(M49&gt;500,M49&lt;=1000),M49*0.5%,IF(AND(M49&gt;50,M49&lt;=500),M49*1%,IF(AND(M49&gt;1,M49&lt;=50),M49*1.5%))))</f>
        <v>100.559</v>
      </c>
      <c r="M65" s="24">
        <f t="shared" ca="1" si="1"/>
        <v>100.6</v>
      </c>
      <c r="N65" s="138" t="s">
        <v>2251</v>
      </c>
      <c r="Z65" s="2421"/>
      <c r="AI65" s="2422"/>
    </row>
    <row r="66" spans="1:35" ht="14.25" customHeight="1">
      <c r="A66" s="203" t="s">
        <v>772</v>
      </c>
      <c r="B66" s="204" t="s">
        <v>2254</v>
      </c>
      <c r="C66" s="205"/>
      <c r="D66" s="206" t="s">
        <v>32</v>
      </c>
      <c r="E66" s="1770" t="s">
        <v>1371</v>
      </c>
      <c r="F66" s="2487"/>
      <c r="G66" s="2487"/>
      <c r="H66" s="2495"/>
      <c r="I66" s="138"/>
      <c r="J66" s="3144"/>
      <c r="K66" s="2497" t="s">
        <v>2255</v>
      </c>
      <c r="L66" s="1746">
        <f ca="1">M49*0.5%</f>
        <v>502.79500000000002</v>
      </c>
      <c r="M66" s="24">
        <f ca="1">IF(L66&gt;0.5,0.5,ROUND(L66,0))</f>
        <v>0.5</v>
      </c>
      <c r="N66" s="138" t="s">
        <v>2256</v>
      </c>
      <c r="Z66" s="2421"/>
      <c r="AI66" s="2422"/>
    </row>
    <row r="67" spans="1:35" ht="14.25" customHeight="1">
      <c r="A67" s="203" t="s">
        <v>773</v>
      </c>
      <c r="B67" s="204" t="s">
        <v>2257</v>
      </c>
      <c r="C67" s="207">
        <f ca="1">C63-C66</f>
        <v>95770</v>
      </c>
      <c r="D67" s="200" t="s">
        <v>32</v>
      </c>
      <c r="E67" s="201"/>
      <c r="F67" s="2487"/>
      <c r="G67" s="2487"/>
      <c r="H67" s="2495"/>
      <c r="I67" s="138"/>
      <c r="J67" s="3144"/>
      <c r="K67" s="2497" t="s">
        <v>2258</v>
      </c>
      <c r="L67" s="1746">
        <f ca="1">IF(M49&gt;=10000,(8.25+(M49-10000)*0.01%),IF(AND(M49&gt;=8000,M49&lt;10000),(7.85+(M49-8000)*0.02%),IF(AND(M49&gt;=5000,M49&lt;8000),(6.65+(M49-5000)*0.04%),IF(AND(M49&gt;=2000,M49&lt;5000),(4.25+(PM49-2000)*0.08%),IF(AND(M49&gt;=1000,M49&lt;2000),(2.75+(M49-1000)*0.15%),IF(AND(M49&gt;=100,M49&lt;1000),(0.5+(M49-100)*0.25%),IF(AND(M49&gt;0,M49&lt;100),M49*0.5%)))))))</f>
        <v>17.305900000000001</v>
      </c>
      <c r="M67" s="24">
        <f ca="1">ROUND(L67*0.9,1)</f>
        <v>15.6</v>
      </c>
      <c r="Z67" s="2421"/>
      <c r="AI67" s="2422"/>
    </row>
    <row r="68" spans="1:35" ht="14.25" customHeight="1" thickBot="1">
      <c r="A68" s="208" t="s">
        <v>774</v>
      </c>
      <c r="B68" s="209" t="s">
        <v>2259</v>
      </c>
      <c r="C68" s="210">
        <f ca="1">IF(C67&lt;=0,0,ROUND(C67*D68,0))</f>
        <v>5363</v>
      </c>
      <c r="D68" s="211">
        <f>'数据-取费表'!B41</f>
        <v>5.6000000000000001E-2</v>
      </c>
      <c r="E68" s="212"/>
      <c r="F68" s="2487"/>
      <c r="G68" s="2487"/>
      <c r="H68" s="2495"/>
      <c r="I68" s="138"/>
      <c r="J68" s="3144"/>
      <c r="K68" s="2497" t="s">
        <v>2260</v>
      </c>
      <c r="L68" s="1746">
        <f ca="1">IF(M49&gt;10000,M49*0.5%,IF(AND(M49&gt;5000,M49&lt;=10000),M49*1%,IF(AND(M49&gt;1000,M49&lt;=5000),M49*2%,IF(AND(M49&gt;200,M49&lt;=1000),M49*3%,M49*5%))))</f>
        <v>502.79500000000002</v>
      </c>
      <c r="M68" s="24">
        <f ca="1">ROUND(L68,1)</f>
        <v>502.8</v>
      </c>
      <c r="Z68" s="2421"/>
      <c r="AI68" s="2422"/>
    </row>
    <row r="69" spans="1:35" s="2444" customFormat="1" ht="16.5" customHeight="1">
      <c r="A69" s="2498"/>
      <c r="B69" s="2499"/>
      <c r="C69" s="2500"/>
      <c r="D69" s="2501"/>
      <c r="E69" s="2502"/>
      <c r="F69" s="2164"/>
      <c r="G69" s="2164"/>
      <c r="H69" s="2163"/>
      <c r="I69" s="2416"/>
      <c r="J69" s="3144"/>
      <c r="K69" s="2497" t="s">
        <v>2261</v>
      </c>
      <c r="L69" s="2503"/>
      <c r="M69" s="24">
        <f ca="1">ROUND(SUM(M63:M68),0)</f>
        <v>1625</v>
      </c>
      <c r="N69" s="1747">
        <f ca="1">M69/M49</f>
        <v>1.6159667458904722E-2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3" t="s">
        <v>2262</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2" t="s">
        <v>2243</v>
      </c>
      <c r="B71" s="3083"/>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95770</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575</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077" t="s">
        <v>2271</v>
      </c>
      <c r="F76" s="3054"/>
      <c r="G76" s="3054"/>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575</v>
      </c>
      <c r="D78" s="226">
        <f>'数据-取费表'!B43</f>
        <v>6.000000000000001E-3</v>
      </c>
      <c r="E78" s="3063" t="s">
        <v>2276</v>
      </c>
      <c r="F78" s="3064"/>
      <c r="G78" s="3064"/>
      <c r="H78" s="30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95195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165.55652173913043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56916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2280</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2" t="s">
        <v>2243</v>
      </c>
      <c r="B84" s="3083"/>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95770</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84641</v>
      </c>
      <c r="D86" s="235"/>
      <c r="E86" s="1797"/>
      <c r="F86" s="1791"/>
      <c r="G86" s="1791"/>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0</v>
      </c>
      <c r="D87" s="226"/>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c r="D88" s="226"/>
      <c r="E88" s="237" t="s">
        <v>2283</v>
      </c>
      <c r="F88" s="1794"/>
      <c r="G88" s="238" t="s">
        <v>2284</v>
      </c>
      <c r="H88" s="2515" t="s">
        <v>3239</v>
      </c>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0</v>
      </c>
      <c r="D89" s="226">
        <f>'数据-取费表'!B48+'数据-取费表'!B49</f>
        <v>3.0499999999999999E-2</v>
      </c>
      <c r="E89" s="237" t="s">
        <v>2285</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IF(H91="——",成本法!C33,I91)</f>
        <v>64666</v>
      </c>
      <c r="D91" s="226"/>
      <c r="E91" s="3063" t="s">
        <v>2289</v>
      </c>
      <c r="F91" s="3064"/>
      <c r="G91" s="3064"/>
      <c r="H91" s="2516" t="s">
        <v>2290</v>
      </c>
      <c r="I91" s="2517">
        <f>ROUND(('数据-汇总表'!E3+'[1]数据-汇总表'!$E$3)/107061.04*73546.22,0)</f>
        <v>64666</v>
      </c>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ROUND((C87+C90+C91)*D92,0)</f>
        <v>6467</v>
      </c>
      <c r="D92" s="226">
        <v>0.1</v>
      </c>
      <c r="E92" s="3063" t="s">
        <v>2293</v>
      </c>
      <c r="F92" s="3064"/>
      <c r="G92" s="3064"/>
      <c r="H92" s="30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575</v>
      </c>
      <c r="D93" s="226">
        <f>'数据-取费表'!B43</f>
        <v>6.000000000000001E-3</v>
      </c>
      <c r="E93" s="3063" t="s">
        <v>2276</v>
      </c>
      <c r="F93" s="3064"/>
      <c r="G93" s="3064"/>
      <c r="H93" s="30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ROUND((C87+C90+C91)*D94,0)</f>
        <v>12933</v>
      </c>
      <c r="D94" s="226">
        <v>0.2</v>
      </c>
      <c r="E94" s="3074" t="s">
        <v>2297</v>
      </c>
      <c r="F94" s="3075"/>
      <c r="G94" s="3075"/>
      <c r="H94" s="30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11129</v>
      </c>
      <c r="D95" s="200" t="s">
        <v>32</v>
      </c>
      <c r="E95" s="1797"/>
      <c r="F95" s="1791"/>
      <c r="G95" s="1791"/>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0.13148474143736488</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3339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8" t="s">
        <v>2299</v>
      </c>
      <c r="B100" s="3049"/>
      <c r="C100" s="3049"/>
      <c r="D100" s="3065"/>
      <c r="E100" s="3049" t="s">
        <v>2300</v>
      </c>
      <c r="F100" s="3049"/>
      <c r="G100" s="3049"/>
      <c r="H100" s="3065"/>
      <c r="I100" s="138"/>
    </row>
    <row r="101" spans="1:35" ht="18.75" customHeight="1">
      <c r="A101" s="3127" t="s">
        <v>2301</v>
      </c>
      <c r="B101" s="3128"/>
      <c r="C101" s="736" t="str">
        <f>C4</f>
        <v>成本法</v>
      </c>
      <c r="D101" s="737" t="str">
        <f>D4</f>
        <v>假设开发法</v>
      </c>
      <c r="E101" s="3141" t="s">
        <v>2302</v>
      </c>
      <c r="F101" s="3095"/>
      <c r="G101" s="2518" t="s">
        <v>2303</v>
      </c>
      <c r="H101" s="1043">
        <f ca="1">H118</f>
        <v>50834</v>
      </c>
      <c r="I101" s="138"/>
    </row>
    <row r="102" spans="1:35" ht="18.75" customHeight="1">
      <c r="A102" s="3097" t="s">
        <v>2304</v>
      </c>
      <c r="B102" s="2518" t="s">
        <v>2303</v>
      </c>
      <c r="C102" s="736">
        <f ca="1">C19</f>
        <v>50646</v>
      </c>
      <c r="D102" s="737">
        <f ca="1">D19</f>
        <v>51021</v>
      </c>
      <c r="E102" s="3141"/>
      <c r="F102" s="3095"/>
      <c r="G102" s="2518" t="s">
        <v>2305</v>
      </c>
      <c r="H102" s="371">
        <f ca="1">I118</f>
        <v>10154</v>
      </c>
      <c r="I102" s="138"/>
    </row>
    <row r="103" spans="1:35" ht="42.75" customHeight="1">
      <c r="A103" s="3097"/>
      <c r="B103" s="2518" t="s">
        <v>2305</v>
      </c>
      <c r="C103" s="738">
        <f ca="1">C20</f>
        <v>10116</v>
      </c>
      <c r="D103" s="739">
        <f ca="1">D20</f>
        <v>10191</v>
      </c>
      <c r="E103" s="3136" t="s">
        <v>2306</v>
      </c>
      <c r="F103" s="3137"/>
      <c r="G103" s="2519" t="s">
        <v>2307</v>
      </c>
      <c r="H103" s="1043">
        <f>IF(D36="正常操作",H104+H105+H106,H105+H106)</f>
        <v>0</v>
      </c>
      <c r="I103" s="138"/>
    </row>
    <row r="104" spans="1:35" ht="18.75" customHeight="1">
      <c r="A104" s="3097" t="s">
        <v>2308</v>
      </c>
      <c r="B104" s="2520" t="s">
        <v>2303</v>
      </c>
      <c r="C104" s="740">
        <f ca="1">H118</f>
        <v>50834</v>
      </c>
      <c r="D104" s="741"/>
      <c r="E104" s="2264" t="s">
        <v>2309</v>
      </c>
      <c r="F104" s="2256"/>
      <c r="G104" s="2519" t="s">
        <v>2307</v>
      </c>
      <c r="H104" s="1044">
        <f>IF(D36="同一抵押权人同一抵押物续贷",C36&amp;"（未扣减，详见特别提示）",C36)</f>
        <v>0</v>
      </c>
      <c r="I104" s="138"/>
    </row>
    <row r="105" spans="1:35" ht="18.75" customHeight="1" thickBot="1">
      <c r="A105" s="3098"/>
      <c r="B105" s="2521" t="s">
        <v>2305</v>
      </c>
      <c r="C105" s="742">
        <f ca="1">I118</f>
        <v>10154</v>
      </c>
      <c r="D105" s="743"/>
      <c r="E105" s="2264" t="s">
        <v>2310</v>
      </c>
      <c r="F105" s="2256"/>
      <c r="G105" s="2519" t="s">
        <v>2307</v>
      </c>
      <c r="H105" s="1044">
        <f>C37</f>
        <v>0</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4" t="str">
        <f>IF(项目基本情况!E8="已注销","——","3.房地产抵押价值")</f>
        <v>3.房地产抵押价值</v>
      </c>
      <c r="F107" s="3095"/>
      <c r="G107" s="2518" t="s">
        <v>2303</v>
      </c>
      <c r="H107" s="1043">
        <f ca="1">IF(E107="——","——",H101-H103)</f>
        <v>50834</v>
      </c>
      <c r="I107" s="138"/>
    </row>
    <row r="108" spans="1:35" ht="18.75" customHeight="1">
      <c r="A108" s="138"/>
      <c r="B108" s="138"/>
      <c r="C108" s="138"/>
      <c r="D108" s="138"/>
      <c r="E108" s="3094"/>
      <c r="F108" s="3095"/>
      <c r="G108" s="2518" t="s">
        <v>2305</v>
      </c>
      <c r="H108" s="371">
        <f ca="1">ROUND(H107*10000/'数据-汇总表'!E3,0)</f>
        <v>10154</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8" t="s">
        <v>2303</v>
      </c>
      <c r="H109" s="348" t="str">
        <f>IF(E109="——","——",H101-H105-H106)</f>
        <v>——</v>
      </c>
      <c r="I109" s="138"/>
    </row>
    <row r="110" spans="1:35" ht="18.75" customHeight="1">
      <c r="A110" s="138"/>
      <c r="B110" s="138"/>
      <c r="C110" s="138"/>
      <c r="D110" s="138"/>
      <c r="E110" s="3094"/>
      <c r="F110" s="3095"/>
      <c r="G110" s="2518" t="s">
        <v>2305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8" t="s">
        <v>2303</v>
      </c>
      <c r="H111" s="1043" t="str">
        <f>IF(E111="——","——",N59)</f>
        <v>——</v>
      </c>
      <c r="I111" s="138"/>
    </row>
    <row r="112" spans="1:35" ht="18.75" customHeight="1" thickBot="1">
      <c r="A112" s="138"/>
      <c r="B112" s="138"/>
      <c r="C112" s="138"/>
      <c r="D112" s="138"/>
      <c r="E112" s="3131"/>
      <c r="F112" s="3132"/>
      <c r="G112" s="2523" t="s">
        <v>2305</v>
      </c>
      <c r="H112" s="790" t="str">
        <f>IF(E111="——","——",N61)</f>
        <v>——</v>
      </c>
      <c r="I112" s="138"/>
    </row>
    <row r="113" spans="1:11" ht="18.75" customHeight="1">
      <c r="A113" s="138"/>
      <c r="B113" s="138"/>
      <c r="C113" s="138"/>
      <c r="D113" s="138"/>
      <c r="E113" s="3099" t="s">
        <v>2311</v>
      </c>
      <c r="F113" s="3099"/>
      <c r="G113" s="3099"/>
      <c r="H113" s="3099"/>
      <c r="I113" s="138"/>
    </row>
    <row r="114" spans="1:11" ht="3.75" customHeight="1">
      <c r="A114" s="2416"/>
      <c r="B114" s="2416"/>
      <c r="C114" s="2416"/>
      <c r="D114" s="2416"/>
      <c r="E114" s="2494"/>
      <c r="F114" s="2494"/>
      <c r="G114" s="2494"/>
      <c r="H114" s="2494"/>
      <c r="I114" s="2416"/>
    </row>
    <row r="115" spans="1:11" ht="18.75" customHeight="1">
      <c r="A115" s="3112" t="s">
        <v>2313</v>
      </c>
      <c r="B115" s="3113"/>
      <c r="C115" s="3113"/>
      <c r="D115" s="3113"/>
      <c r="E115" s="3113"/>
      <c r="F115" s="3113"/>
      <c r="G115" s="3113"/>
      <c r="H115" s="3113"/>
      <c r="I115" s="3114"/>
    </row>
    <row r="116" spans="1:11" ht="27" customHeight="1">
      <c r="A116" s="3005" t="s">
        <v>2314</v>
      </c>
      <c r="B116" s="3100" t="s">
        <v>2315</v>
      </c>
      <c r="C116" s="3100" t="s">
        <v>2316</v>
      </c>
      <c r="D116" s="3116" t="s">
        <v>2317</v>
      </c>
      <c r="E116" s="3117"/>
      <c r="F116" s="3108" t="s">
        <v>2318</v>
      </c>
      <c r="G116" s="3108"/>
      <c r="H116" s="3005" t="s">
        <v>2319</v>
      </c>
      <c r="I116" s="3005"/>
    </row>
    <row r="117" spans="1:11" ht="18.75" customHeight="1">
      <c r="A117" s="3005"/>
      <c r="B117" s="3101"/>
      <c r="C117" s="3101"/>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50834</v>
      </c>
      <c r="I118" s="1792">
        <f ca="1">ROUND(IF(D32="楼面单价",C32,H118*10000/B118),0)</f>
        <v>10154</v>
      </c>
    </row>
    <row r="119" spans="1:11" ht="18.75" customHeight="1">
      <c r="A119" s="3005" t="s">
        <v>2323</v>
      </c>
      <c r="B119" s="3005"/>
      <c r="C119" s="3005"/>
      <c r="D119" s="3105" t="e">
        <f ca="1">NUMBERSTRING(INT(D118*10000),2)&amp;"元整"</f>
        <v>#REF!</v>
      </c>
      <c r="E119" s="3107"/>
      <c r="F119" s="3105" t="e">
        <f ca="1">NUMBERSTRING(INT(F118*10000),2)&amp;"元整"</f>
        <v>#REF!</v>
      </c>
      <c r="G119" s="3107"/>
      <c r="H119" s="3105" t="str">
        <f ca="1">NUMBERSTRING(INT(H118*10000),2)&amp;"元整"</f>
        <v>伍亿零捌佰叁拾肆万元整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1" t="str">
        <f>IF(D120=0,"故，本次评估不存在"&amp;A120,"故，本次评估"&amp;A120&amp;"为人民币"&amp;D120&amp;"万元整。")</f>
        <v>故，本次评估不存在估价师知悉的法定优先受偿款</v>
      </c>
    </row>
    <row r="121" spans="1:11" ht="18.75" customHeight="1">
      <c r="A121" s="3109" t="s">
        <v>2323</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50834</v>
      </c>
      <c r="E122" s="3134"/>
      <c r="F122" s="3134"/>
      <c r="G122" s="3134"/>
      <c r="H122" s="3134"/>
      <c r="I122" s="3135"/>
    </row>
    <row r="123" spans="1:11" ht="18.75" customHeight="1">
      <c r="A123" s="3005" t="s">
        <v>2323</v>
      </c>
      <c r="B123" s="3005"/>
      <c r="C123" s="3005"/>
      <c r="D123" s="3105" t="str">
        <f ca="1">NUMBERSTRING(INT(D122*10000),2)&amp;"元整"</f>
        <v>伍亿零捌佰叁拾肆万元整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2323</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2323</v>
      </c>
      <c r="B127" s="3005"/>
      <c r="C127" s="3005"/>
      <c r="D127" s="3105" t="e">
        <f>NUMBERSTRING(INT(D126*10000),2)&amp;"元整"</f>
        <v>#VALUE!</v>
      </c>
      <c r="E127" s="3106"/>
      <c r="F127" s="3106"/>
      <c r="G127" s="3106"/>
      <c r="H127" s="3106"/>
      <c r="I127" s="3107"/>
    </row>
    <row r="128" spans="1:11" ht="21.75" customHeight="1">
      <c r="A128" s="3115" t="s">
        <v>2324</v>
      </c>
      <c r="B128" s="3115"/>
      <c r="C128" s="3115"/>
      <c r="D128" s="3115"/>
      <c r="E128" s="3115"/>
      <c r="F128" s="3115"/>
      <c r="G128" s="3115"/>
      <c r="H128" s="3115"/>
      <c r="I128" s="3115"/>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50646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10116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22152.789570000001</v>
      </c>
      <c r="D5" s="255" t="s">
        <v>2340</v>
      </c>
      <c r="E5" s="256" t="s">
        <v>2341</v>
      </c>
      <c r="F5" s="256" t="s">
        <v>2342</v>
      </c>
      <c r="G5" s="257"/>
    </row>
    <row r="6" spans="1:9" s="258" customFormat="1" ht="13.5" customHeight="1">
      <c r="A6" s="947" t="s">
        <v>2343</v>
      </c>
      <c r="B6" s="259" t="s">
        <v>2344</v>
      </c>
      <c r="C6" s="260">
        <f>'[2]土地比较法-住宅、综合'!$C$48*'土地比较法-住宅、综合'!E56/10000</f>
        <v>21496.789570000001</v>
      </c>
      <c r="D6" s="261"/>
      <c r="E6" s="262"/>
      <c r="F6" s="262"/>
      <c r="G6" s="263"/>
    </row>
    <row r="7" spans="1:9" s="258" customFormat="1" ht="13.5" customHeight="1">
      <c r="A7" s="947" t="s">
        <v>2345</v>
      </c>
      <c r="B7" s="259" t="s">
        <v>2346</v>
      </c>
      <c r="C7" s="264">
        <f>ROUND(C6*F7,0)</f>
        <v>656</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1101</v>
      </c>
      <c r="D10" s="1030">
        <f ca="1">IF(B1="",'数据-汇总表'!E6,IF(INDIRECT("'数据-取费表'!c"&amp;$G$1)="住宅",INDIRECT("'数据-取费表'!s"&amp;$G$1),INDIRECT("'数据-取费表'!k"&amp;$G$1)+INDIRECT("'数据-取费表'!s"&amp;$G$1)))</f>
        <v>50064.18</v>
      </c>
      <c r="E10" s="269">
        <f>'数据-取费表'!B28</f>
        <v>220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2175</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2154</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2260</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2260</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29629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7" t="s">
        <v>2415</v>
      </c>
    </row>
    <row r="43" spans="1:7" ht="13.5" customHeight="1">
      <c r="A43" s="949" t="s">
        <v>792</v>
      </c>
      <c r="B43" s="259" t="s">
        <v>2416</v>
      </c>
      <c r="C43" s="282">
        <f ca="1">ROUND(IF('数据-取费表'!B22&lt;=1,C39*F22*'数据-取费表'!B21/2,C39*(POWER((1+F22),'数据-取费表'!B21/2)-1)),0)</f>
        <v>15</v>
      </c>
      <c r="D43" s="282"/>
      <c r="E43" s="282"/>
      <c r="F43" s="283"/>
      <c r="G43" s="3148"/>
    </row>
    <row r="44" spans="1:7" ht="13.5" customHeight="1">
      <c r="A44" s="949" t="s">
        <v>793</v>
      </c>
      <c r="B44" s="259" t="s">
        <v>2417</v>
      </c>
      <c r="C44" s="282">
        <f ca="1">ROUND(IF('数据-取费表'!B22&lt;=1,C40*F22*'数据-取费表'!B21/2,C40*(POWER((1+F22),'数据-取费表'!B21/2)-1)),4)</f>
        <v>1.4E-3</v>
      </c>
      <c r="D44" s="282"/>
      <c r="E44" s="282"/>
      <c r="F44" s="283"/>
      <c r="G44" s="3149"/>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50646</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出让国有建设用地使用权及在建建筑物预评估</v>
      </c>
      <c r="C37" s="2961"/>
      <c r="D37" s="2961"/>
      <c r="E37" s="2961"/>
      <c r="F37" s="2961"/>
      <c r="G37" s="2961"/>
      <c r="H37" s="2961"/>
      <c r="I37" s="296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76276</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15236</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11014120</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11014120</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11014120</v>
      </c>
      <c r="D10" s="1030">
        <f ca="1">IF(B1="",'数据-汇总表'!E6,IF(INDIRECT("'数据-取费表'!c"&amp;$G$1)="住宅",INDIRECT("'数据-取费表'!s"&amp;$G$1),INDIRECT("'数据-取费表'!k"&amp;$G$1)+INDIRECT("'数据-取费表'!s"&amp;$G$1)))</f>
        <v>50064.18</v>
      </c>
      <c r="E10" s="269">
        <f>'数据-取费表'!B28</f>
        <v>220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420539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3171237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1645244</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30316</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3217124</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3217124</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30588853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7" t="s">
        <v>2462</v>
      </c>
    </row>
    <row r="43" spans="1:7" ht="13.5" customHeight="1">
      <c r="A43" s="949" t="s">
        <v>792</v>
      </c>
      <c r="B43" s="259" t="s">
        <v>2416</v>
      </c>
      <c r="C43" s="282">
        <f ca="1">ROUND(IF('数据-取费表'!B22&lt;=1,C39*F22*'数据-取费表'!B20/2,C39*(POWER((1+F22),'数据-取费表'!B20/2)-1)),0)</f>
        <v>770645</v>
      </c>
      <c r="D43" s="282"/>
      <c r="E43" s="282"/>
      <c r="F43" s="283"/>
      <c r="G43" s="3148"/>
    </row>
    <row r="44" spans="1:7" ht="13.5" customHeight="1">
      <c r="A44" s="949" t="s">
        <v>793</v>
      </c>
      <c r="B44" s="259" t="s">
        <v>2417</v>
      </c>
      <c r="C44" s="282">
        <f ca="1">ROUND(IF('数据-取费表'!B22&lt;=1,C40*F22*'数据-取费表'!B20/2,C40*(POWER((1+F22),'数据-取费表'!B20/2)-1)),4)</f>
        <v>2.2000000000000001E-3</v>
      </c>
      <c r="D44" s="282"/>
      <c r="E44" s="282"/>
      <c r="F44" s="283"/>
      <c r="G44" s="3149"/>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762762928</v>
      </c>
      <c r="D52" s="310"/>
      <c r="E52" s="310"/>
      <c r="F52" s="310"/>
      <c r="G52" s="312"/>
    </row>
    <row r="55" spans="1:7" ht="15">
      <c r="B55" s="314" t="s">
        <v>2433</v>
      </c>
      <c r="C55" s="315"/>
    </row>
    <row r="56" spans="1:7">
      <c r="B56" s="317" t="s">
        <v>1513</v>
      </c>
      <c r="C56" s="319">
        <f ca="1">1-C57</f>
        <v>4.0000000000000036E-2</v>
      </c>
    </row>
    <row r="57" spans="1:7">
      <c r="B57" s="317" t="s">
        <v>1514</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54" t="s">
        <v>2649</v>
      </c>
      <c r="D4" s="3167"/>
      <c r="E4" s="3168" t="s">
        <v>2650</v>
      </c>
      <c r="F4" s="3169"/>
      <c r="G4" s="3154" t="s">
        <v>2651</v>
      </c>
      <c r="H4" s="3167"/>
      <c r="I4" s="3154" t="s">
        <v>2652</v>
      </c>
      <c r="J4" s="3167"/>
      <c r="K4" s="610" t="s">
        <v>2653</v>
      </c>
      <c r="L4" s="1128"/>
      <c r="M4" s="1129"/>
      <c r="N4" s="1129"/>
      <c r="O4" s="1129"/>
      <c r="P4" s="3170" t="s">
        <v>2654</v>
      </c>
      <c r="Q4" s="3171"/>
      <c r="R4" s="3176" t="s">
        <v>2650</v>
      </c>
      <c r="S4" s="3177"/>
      <c r="T4" s="3176" t="s">
        <v>2651</v>
      </c>
      <c r="U4" s="3177"/>
      <c r="V4" s="3163" t="s">
        <v>2652</v>
      </c>
      <c r="W4" s="3163"/>
      <c r="X4" s="1810"/>
      <c r="Y4" s="3176" t="s">
        <v>2654</v>
      </c>
      <c r="Z4" s="3177"/>
      <c r="AA4" s="3164" t="s">
        <v>2650</v>
      </c>
      <c r="AB4" s="3165" t="s">
        <v>2651</v>
      </c>
      <c r="AC4" s="3164" t="s">
        <v>2652</v>
      </c>
    </row>
    <row r="5" spans="1:30" ht="15">
      <c r="A5" s="404"/>
      <c r="B5" s="405"/>
      <c r="C5" s="3184" t="s">
        <v>2545</v>
      </c>
      <c r="D5" s="3185"/>
      <c r="E5" s="3192" t="s">
        <v>3190</v>
      </c>
      <c r="F5" s="3193"/>
      <c r="G5" s="3184" t="s">
        <v>3191</v>
      </c>
      <c r="H5" s="3185"/>
      <c r="I5" s="3184" t="s">
        <v>3192</v>
      </c>
      <c r="J5" s="3185"/>
      <c r="K5" s="610"/>
      <c r="L5" s="1128"/>
      <c r="M5" s="1129"/>
      <c r="N5" s="1129"/>
      <c r="O5" s="1129"/>
      <c r="P5" s="3172"/>
      <c r="Q5" s="3173"/>
      <c r="R5" s="3178"/>
      <c r="S5" s="3179"/>
      <c r="T5" s="3178"/>
      <c r="U5" s="3179"/>
      <c r="V5" s="3163"/>
      <c r="W5" s="3163"/>
      <c r="X5" s="1810"/>
      <c r="Y5" s="3178"/>
      <c r="Z5" s="3179"/>
      <c r="AA5" s="3165"/>
      <c r="AB5" s="3165"/>
      <c r="AC5" s="3165"/>
    </row>
    <row r="6" spans="1:30" ht="15.75" thickBot="1">
      <c r="A6" s="406"/>
      <c r="B6" s="407"/>
      <c r="C6" s="3189" t="s">
        <v>2549</v>
      </c>
      <c r="D6" s="3183"/>
      <c r="E6" s="3190" t="s">
        <v>3193</v>
      </c>
      <c r="F6" s="3191"/>
      <c r="G6" s="3182" t="s">
        <v>3194</v>
      </c>
      <c r="H6" s="3183"/>
      <c r="I6" s="3182" t="s">
        <v>3195</v>
      </c>
      <c r="J6" s="3183"/>
      <c r="K6" s="610" t="s">
        <v>2550</v>
      </c>
      <c r="L6" s="1128"/>
      <c r="M6" s="1129"/>
      <c r="N6" s="1129"/>
      <c r="O6" s="1129"/>
      <c r="P6" s="3174"/>
      <c r="Q6" s="3175"/>
      <c r="R6" s="3178"/>
      <c r="S6" s="3179"/>
      <c r="T6" s="3180"/>
      <c r="U6" s="3181"/>
      <c r="V6" s="3163"/>
      <c r="W6" s="3163"/>
      <c r="X6" s="1810"/>
      <c r="Y6" s="3180"/>
      <c r="Z6" s="3181"/>
      <c r="AA6" s="3166"/>
      <c r="AB6" s="3166"/>
      <c r="AC6" s="3166"/>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86" t="s">
        <v>2552</v>
      </c>
      <c r="Q7" s="3188"/>
      <c r="R7" s="770" t="s">
        <v>17</v>
      </c>
      <c r="S7" s="771">
        <f t="shared" ref="S7:S15" si="0">F7</f>
        <v>99</v>
      </c>
      <c r="T7" s="770" t="s">
        <v>17</v>
      </c>
      <c r="U7" s="771">
        <f t="shared" ref="U7:U15" si="1">H7</f>
        <v>98</v>
      </c>
      <c r="V7" s="770" t="s">
        <v>17</v>
      </c>
      <c r="W7" s="771">
        <f t="shared" ref="W7:W15" si="2">J7</f>
        <v>97</v>
      </c>
      <c r="X7" s="772"/>
      <c r="Y7" s="3186" t="s">
        <v>2552</v>
      </c>
      <c r="Z7" s="3187"/>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86" t="s">
        <v>2555</v>
      </c>
      <c r="Q8" s="3187"/>
      <c r="R8" s="770" t="s">
        <v>17</v>
      </c>
      <c r="S8" s="771">
        <f t="shared" si="0"/>
        <v>100</v>
      </c>
      <c r="T8" s="770" t="s">
        <v>17</v>
      </c>
      <c r="U8" s="771">
        <f t="shared" si="1"/>
        <v>100</v>
      </c>
      <c r="V8" s="770" t="s">
        <v>17</v>
      </c>
      <c r="W8" s="771">
        <f t="shared" si="2"/>
        <v>100</v>
      </c>
      <c r="X8" s="772"/>
      <c r="Y8" s="3186" t="s">
        <v>2555</v>
      </c>
      <c r="Z8" s="3187"/>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7" t="s">
        <v>2558</v>
      </c>
      <c r="Q9" s="1792"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57"/>
      <c r="Q10" s="1792" t="str">
        <f t="shared" si="6"/>
        <v>土地使用年限（年）</v>
      </c>
      <c r="R10" s="770" t="s">
        <v>17</v>
      </c>
      <c r="S10" s="771">
        <f t="shared" si="0"/>
        <v>112</v>
      </c>
      <c r="T10" s="770" t="s">
        <v>17</v>
      </c>
      <c r="U10" s="771">
        <f t="shared" si="1"/>
        <v>112</v>
      </c>
      <c r="V10" s="770" t="s">
        <v>17</v>
      </c>
      <c r="W10" s="771">
        <f t="shared" si="2"/>
        <v>112</v>
      </c>
      <c r="X10" s="772"/>
      <c r="Y10" s="3005"/>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57"/>
      <c r="Q11" s="1792" t="str">
        <f t="shared" si="6"/>
        <v>容积率</v>
      </c>
      <c r="R11" s="770" t="s">
        <v>17</v>
      </c>
      <c r="S11" s="771">
        <f t="shared" si="0"/>
        <v>112</v>
      </c>
      <c r="T11" s="770" t="s">
        <v>17</v>
      </c>
      <c r="U11" s="771">
        <f t="shared" si="1"/>
        <v>110</v>
      </c>
      <c r="V11" s="770" t="s">
        <v>17</v>
      </c>
      <c r="W11" s="771">
        <f t="shared" si="2"/>
        <v>104</v>
      </c>
      <c r="X11" s="772"/>
      <c r="Y11" s="3005"/>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7"/>
      <c r="Q12" s="1792"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7"/>
      <c r="Q13" s="1792">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7"/>
      <c r="Q14" s="1792">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59" t="s">
        <v>2563</v>
      </c>
      <c r="Q15" s="1807" t="str">
        <f t="shared" si="6"/>
        <v>居住社区成熟度</v>
      </c>
      <c r="R15" s="774" t="s">
        <v>17</v>
      </c>
      <c r="S15" s="775">
        <f t="shared" si="0"/>
        <v>100</v>
      </c>
      <c r="T15" s="774" t="s">
        <v>17</v>
      </c>
      <c r="U15" s="775">
        <f t="shared" si="1"/>
        <v>100</v>
      </c>
      <c r="V15" s="774" t="s">
        <v>17</v>
      </c>
      <c r="W15" s="775">
        <f t="shared" si="2"/>
        <v>100</v>
      </c>
      <c r="X15" s="1810"/>
      <c r="Y15" s="3159"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60"/>
      <c r="Q16" s="1807"/>
      <c r="R16" s="774"/>
      <c r="S16" s="775"/>
      <c r="T16" s="774"/>
      <c r="U16" s="775"/>
      <c r="V16" s="774"/>
      <c r="W16" s="775"/>
      <c r="X16" s="1810"/>
      <c r="Y16" s="3160"/>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60"/>
      <c r="Q17" s="1807" t="str">
        <f>B17</f>
        <v>商业繁华度</v>
      </c>
      <c r="R17" s="774" t="s">
        <v>17</v>
      </c>
      <c r="S17" s="775">
        <f>F17</f>
        <v>97</v>
      </c>
      <c r="T17" s="774" t="s">
        <v>17</v>
      </c>
      <c r="U17" s="775">
        <f>H17</f>
        <v>97</v>
      </c>
      <c r="V17" s="774" t="s">
        <v>17</v>
      </c>
      <c r="W17" s="775">
        <f>J17</f>
        <v>100</v>
      </c>
      <c r="X17" s="1810"/>
      <c r="Y17" s="3160"/>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60"/>
      <c r="Q18" s="1807"/>
      <c r="R18" s="774"/>
      <c r="S18" s="775"/>
      <c r="T18" s="774"/>
      <c r="U18" s="775"/>
      <c r="V18" s="774"/>
      <c r="W18" s="775"/>
      <c r="X18" s="1810"/>
      <c r="Y18" s="3160"/>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0"/>
      <c r="Q19" s="1807" t="str">
        <f>B19</f>
        <v>办公集聚程度</v>
      </c>
      <c r="R19" s="774" t="s">
        <v>17</v>
      </c>
      <c r="S19" s="775">
        <f>F19</f>
        <v>100</v>
      </c>
      <c r="T19" s="774" t="s">
        <v>17</v>
      </c>
      <c r="U19" s="775">
        <f>H19</f>
        <v>100</v>
      </c>
      <c r="V19" s="774" t="s">
        <v>17</v>
      </c>
      <c r="W19" s="775">
        <f>J19</f>
        <v>100</v>
      </c>
      <c r="X19" s="1810"/>
      <c r="Y19" s="3160"/>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60"/>
      <c r="Q20" s="1807"/>
      <c r="R20" s="774"/>
      <c r="S20" s="775"/>
      <c r="T20" s="774"/>
      <c r="U20" s="775"/>
      <c r="V20" s="774"/>
      <c r="W20" s="775"/>
      <c r="X20" s="1810"/>
      <c r="Y20" s="3160"/>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60"/>
      <c r="Q21" s="1807" t="str">
        <f>B21</f>
        <v>交通便捷度</v>
      </c>
      <c r="R21" s="774" t="s">
        <v>17</v>
      </c>
      <c r="S21" s="775">
        <f>F21</f>
        <v>100</v>
      </c>
      <c r="T21" s="774" t="s">
        <v>17</v>
      </c>
      <c r="U21" s="775">
        <f>H21</f>
        <v>100</v>
      </c>
      <c r="V21" s="774" t="s">
        <v>17</v>
      </c>
      <c r="W21" s="775">
        <f>J21</f>
        <v>100</v>
      </c>
      <c r="X21" s="1810"/>
      <c r="Y21" s="3160"/>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60"/>
      <c r="Q22" s="1807"/>
      <c r="R22" s="774"/>
      <c r="S22" s="775"/>
      <c r="T22" s="774"/>
      <c r="U22" s="775"/>
      <c r="V22" s="774"/>
      <c r="W22" s="775"/>
      <c r="X22" s="1810"/>
      <c r="Y22" s="3160"/>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60"/>
      <c r="Q23" s="1807" t="str">
        <f t="shared" ref="Q23:Q37" si="8">B23</f>
        <v>区域土地利用方向</v>
      </c>
      <c r="R23" s="774" t="s">
        <v>17</v>
      </c>
      <c r="S23" s="775">
        <f>F23</f>
        <v>95</v>
      </c>
      <c r="T23" s="774" t="s">
        <v>17</v>
      </c>
      <c r="U23" s="775">
        <f>H23</f>
        <v>95</v>
      </c>
      <c r="V23" s="774" t="s">
        <v>17</v>
      </c>
      <c r="W23" s="775">
        <f>J23</f>
        <v>95</v>
      </c>
      <c r="X23" s="1810"/>
      <c r="Y23" s="3160"/>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60"/>
      <c r="Q24" s="1807"/>
      <c r="R24" s="774"/>
      <c r="S24" s="775"/>
      <c r="T24" s="774"/>
      <c r="U24" s="775"/>
      <c r="V24" s="774"/>
      <c r="W24" s="775"/>
      <c r="X24" s="1810"/>
      <c r="Y24" s="3160"/>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60"/>
      <c r="Q25" s="1807" t="str">
        <f t="shared" si="8"/>
        <v>自然及人文环境状况</v>
      </c>
      <c r="R25" s="774" t="s">
        <v>17</v>
      </c>
      <c r="S25" s="775">
        <f>F25</f>
        <v>100</v>
      </c>
      <c r="T25" s="774" t="s">
        <v>17</v>
      </c>
      <c r="U25" s="775">
        <f>H25</f>
        <v>100</v>
      </c>
      <c r="V25" s="774" t="s">
        <v>17</v>
      </c>
      <c r="W25" s="775">
        <f>J25</f>
        <v>100</v>
      </c>
      <c r="X25" s="1810"/>
      <c r="Y25" s="3160"/>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60"/>
      <c r="Q26" s="1807"/>
      <c r="R26" s="774"/>
      <c r="S26" s="775"/>
      <c r="T26" s="774"/>
      <c r="U26" s="775"/>
      <c r="V26" s="774"/>
      <c r="W26" s="775"/>
      <c r="X26" s="1810"/>
      <c r="Y26" s="3160"/>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60"/>
      <c r="Q27" s="1792" t="str">
        <f t="shared" si="8"/>
        <v>公共配套设施</v>
      </c>
      <c r="R27" s="770" t="s">
        <v>17</v>
      </c>
      <c r="S27" s="771">
        <f>F27</f>
        <v>100</v>
      </c>
      <c r="T27" s="770" t="s">
        <v>17</v>
      </c>
      <c r="U27" s="771">
        <f>H27</f>
        <v>100</v>
      </c>
      <c r="V27" s="770" t="s">
        <v>17</v>
      </c>
      <c r="W27" s="771">
        <f>J27</f>
        <v>100</v>
      </c>
      <c r="X27" s="772"/>
      <c r="Y27" s="3160"/>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60"/>
      <c r="Q28" s="1792"/>
      <c r="R28" s="770"/>
      <c r="S28" s="771"/>
      <c r="T28" s="770"/>
      <c r="U28" s="771"/>
      <c r="V28" s="770"/>
      <c r="W28" s="771"/>
      <c r="X28" s="772"/>
      <c r="Y28" s="3160"/>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60"/>
      <c r="Q29" s="1792" t="str">
        <f t="shared" ref="Q29" si="9">B29</f>
        <v>基础设施水平</v>
      </c>
      <c r="R29" s="770" t="s">
        <v>17</v>
      </c>
      <c r="S29" s="771">
        <f>F29</f>
        <v>100</v>
      </c>
      <c r="T29" s="770" t="s">
        <v>17</v>
      </c>
      <c r="U29" s="771">
        <f>H29</f>
        <v>100</v>
      </c>
      <c r="V29" s="770" t="s">
        <v>17</v>
      </c>
      <c r="W29" s="771">
        <f>J29</f>
        <v>100</v>
      </c>
      <c r="X29" s="772"/>
      <c r="Y29" s="3160"/>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60"/>
      <c r="Q30" s="1792"/>
      <c r="R30" s="770"/>
      <c r="S30" s="771"/>
      <c r="T30" s="770"/>
      <c r="U30" s="771"/>
      <c r="V30" s="770"/>
      <c r="W30" s="771"/>
      <c r="X30" s="772"/>
      <c r="Y30" s="3160"/>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60"/>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60"/>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60"/>
      <c r="Q32" s="1807" t="str">
        <f t="shared" si="8"/>
        <v>毗邻道路的类型与等级</v>
      </c>
      <c r="R32" s="774" t="s">
        <v>17</v>
      </c>
      <c r="S32" s="775">
        <f t="shared" si="10"/>
        <v>100</v>
      </c>
      <c r="T32" s="774" t="s">
        <v>17</v>
      </c>
      <c r="U32" s="775">
        <f t="shared" si="11"/>
        <v>100</v>
      </c>
      <c r="V32" s="774" t="s">
        <v>17</v>
      </c>
      <c r="W32" s="775">
        <f t="shared" si="12"/>
        <v>102</v>
      </c>
      <c r="X32" s="1810"/>
      <c r="Y32" s="3160"/>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60"/>
      <c r="Q33" s="1807"/>
      <c r="R33" s="774"/>
      <c r="S33" s="775"/>
      <c r="T33" s="774"/>
      <c r="U33" s="775"/>
      <c r="V33" s="774"/>
      <c r="W33" s="775"/>
      <c r="X33" s="1810"/>
      <c r="Y33" s="3160"/>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0"/>
      <c r="Q34" s="1807" t="str">
        <f t="shared" si="8"/>
        <v>土地级别</v>
      </c>
      <c r="R34" s="774" t="s">
        <v>17</v>
      </c>
      <c r="S34" s="775">
        <f t="shared" si="10"/>
        <v>100</v>
      </c>
      <c r="T34" s="774" t="s">
        <v>17</v>
      </c>
      <c r="U34" s="775">
        <f t="shared" si="11"/>
        <v>100</v>
      </c>
      <c r="V34" s="774" t="s">
        <v>17</v>
      </c>
      <c r="W34" s="775">
        <f t="shared" si="12"/>
        <v>100</v>
      </c>
      <c r="X34" s="1810"/>
      <c r="Y34" s="3160"/>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0"/>
      <c r="Q35" s="1807">
        <f t="shared" si="8"/>
        <v>111</v>
      </c>
      <c r="R35" s="774" t="s">
        <v>17</v>
      </c>
      <c r="S35" s="775">
        <f t="shared" si="10"/>
        <v>100</v>
      </c>
      <c r="T35" s="774" t="s">
        <v>17</v>
      </c>
      <c r="U35" s="775">
        <f t="shared" si="11"/>
        <v>100</v>
      </c>
      <c r="V35" s="774" t="s">
        <v>17</v>
      </c>
      <c r="W35" s="775">
        <f t="shared" si="12"/>
        <v>100</v>
      </c>
      <c r="X35" s="1810"/>
      <c r="Y35" s="3160"/>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61" t="s">
        <v>2568</v>
      </c>
      <c r="Q36" s="1807">
        <f t="shared" si="8"/>
        <v>111</v>
      </c>
      <c r="R36" s="774" t="s">
        <v>17</v>
      </c>
      <c r="S36" s="775">
        <f t="shared" si="10"/>
        <v>100</v>
      </c>
      <c r="T36" s="774" t="s">
        <v>17</v>
      </c>
      <c r="U36" s="775">
        <f t="shared" si="11"/>
        <v>100</v>
      </c>
      <c r="V36" s="774" t="s">
        <v>17</v>
      </c>
      <c r="W36" s="775">
        <f t="shared" si="12"/>
        <v>100</v>
      </c>
      <c r="X36" s="1810"/>
      <c r="Y36" s="3162"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2"/>
      <c r="Q37" s="1807">
        <f t="shared" si="8"/>
        <v>111</v>
      </c>
      <c r="R37" s="777" t="s">
        <v>17</v>
      </c>
      <c r="S37" s="778">
        <f t="shared" si="10"/>
        <v>100</v>
      </c>
      <c r="T37" s="777" t="s">
        <v>17</v>
      </c>
      <c r="U37" s="778">
        <f t="shared" si="11"/>
        <v>100</v>
      </c>
      <c r="V37" s="777" t="s">
        <v>17</v>
      </c>
      <c r="W37" s="778">
        <f t="shared" si="12"/>
        <v>100</v>
      </c>
      <c r="X37" s="779"/>
      <c r="Y37" s="3162"/>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62"/>
      <c r="Q38" s="1807" t="str">
        <f>B38</f>
        <v>宗地面积</v>
      </c>
      <c r="R38" s="774" t="s">
        <v>17</v>
      </c>
      <c r="S38" s="775">
        <f t="shared" si="10"/>
        <v>98.5</v>
      </c>
      <c r="T38" s="774" t="s">
        <v>17</v>
      </c>
      <c r="U38" s="775">
        <f t="shared" si="11"/>
        <v>98.5</v>
      </c>
      <c r="V38" s="774" t="s">
        <v>17</v>
      </c>
      <c r="W38" s="775">
        <f t="shared" si="12"/>
        <v>99</v>
      </c>
      <c r="X38" s="1810"/>
      <c r="Y38" s="3162"/>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62"/>
      <c r="Q39" s="1807" t="str">
        <f t="shared" ref="Q39:Q45" si="14">B39</f>
        <v>宗地形状</v>
      </c>
      <c r="R39" s="774" t="s">
        <v>17</v>
      </c>
      <c r="S39" s="775">
        <f t="shared" si="10"/>
        <v>100</v>
      </c>
      <c r="T39" s="774" t="s">
        <v>17</v>
      </c>
      <c r="U39" s="775">
        <f t="shared" si="11"/>
        <v>100</v>
      </c>
      <c r="V39" s="774" t="s">
        <v>17</v>
      </c>
      <c r="W39" s="775">
        <f t="shared" si="12"/>
        <v>100</v>
      </c>
      <c r="X39" s="1810"/>
      <c r="Y39" s="3162"/>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2"/>
      <c r="Q40" s="1807" t="str">
        <f t="shared" si="14"/>
        <v>临街宽度及深度</v>
      </c>
      <c r="R40" s="774" t="s">
        <v>17</v>
      </c>
      <c r="S40" s="775">
        <f t="shared" si="10"/>
        <v>100</v>
      </c>
      <c r="T40" s="774" t="s">
        <v>17</v>
      </c>
      <c r="U40" s="775">
        <f t="shared" si="11"/>
        <v>100</v>
      </c>
      <c r="V40" s="774" t="s">
        <v>17</v>
      </c>
      <c r="W40" s="775">
        <f t="shared" si="12"/>
        <v>100</v>
      </c>
      <c r="X40" s="1810"/>
      <c r="Y40" s="3162"/>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62"/>
      <c r="Q41" s="1807" t="str">
        <f t="shared" si="14"/>
        <v>宗地开发程度</v>
      </c>
      <c r="R41" s="770" t="s">
        <v>17</v>
      </c>
      <c r="S41" s="771">
        <f t="shared" si="10"/>
        <v>98</v>
      </c>
      <c r="T41" s="770" t="s">
        <v>17</v>
      </c>
      <c r="U41" s="771">
        <f t="shared" si="11"/>
        <v>98</v>
      </c>
      <c r="V41" s="770" t="s">
        <v>17</v>
      </c>
      <c r="W41" s="771">
        <f t="shared" si="12"/>
        <v>98</v>
      </c>
      <c r="X41" s="772"/>
      <c r="Y41" s="3162"/>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2" t="s">
        <v>2568</v>
      </c>
      <c r="Q42" s="1807" t="str">
        <f t="shared" si="14"/>
        <v>工程地质条件</v>
      </c>
      <c r="R42" s="774" t="s">
        <v>17</v>
      </c>
      <c r="S42" s="775">
        <f t="shared" si="10"/>
        <v>100</v>
      </c>
      <c r="T42" s="774" t="s">
        <v>17</v>
      </c>
      <c r="U42" s="775">
        <f t="shared" si="11"/>
        <v>100</v>
      </c>
      <c r="V42" s="774" t="s">
        <v>17</v>
      </c>
      <c r="W42" s="775">
        <f t="shared" si="12"/>
        <v>100</v>
      </c>
      <c r="X42" s="1810"/>
      <c r="Y42" s="3162"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2"/>
      <c r="Q43" s="1807">
        <f t="shared" si="14"/>
        <v>111</v>
      </c>
      <c r="R43" s="774" t="s">
        <v>17</v>
      </c>
      <c r="S43" s="775">
        <f t="shared" si="10"/>
        <v>100</v>
      </c>
      <c r="T43" s="774" t="s">
        <v>17</v>
      </c>
      <c r="U43" s="775">
        <f t="shared" si="11"/>
        <v>100</v>
      </c>
      <c r="V43" s="774" t="s">
        <v>17</v>
      </c>
      <c r="W43" s="775">
        <f t="shared" si="12"/>
        <v>100</v>
      </c>
      <c r="X43" s="1810"/>
      <c r="Y43" s="3162"/>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2"/>
      <c r="Q44" s="1807">
        <f t="shared" si="14"/>
        <v>111</v>
      </c>
      <c r="R44" s="774" t="s">
        <v>17</v>
      </c>
      <c r="S44" s="775">
        <f t="shared" si="10"/>
        <v>100</v>
      </c>
      <c r="T44" s="774" t="s">
        <v>17</v>
      </c>
      <c r="U44" s="775">
        <f t="shared" si="11"/>
        <v>100</v>
      </c>
      <c r="V44" s="774" t="s">
        <v>17</v>
      </c>
      <c r="W44" s="775">
        <f t="shared" si="12"/>
        <v>100</v>
      </c>
      <c r="X44" s="1810"/>
      <c r="Y44" s="3162"/>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2"/>
      <c r="Q45" s="1807">
        <f t="shared" si="14"/>
        <v>111</v>
      </c>
      <c r="R45" s="777" t="s">
        <v>17</v>
      </c>
      <c r="S45" s="778">
        <f t="shared" si="10"/>
        <v>100</v>
      </c>
      <c r="T45" s="777" t="s">
        <v>17</v>
      </c>
      <c r="U45" s="778">
        <f t="shared" si="11"/>
        <v>100</v>
      </c>
      <c r="V45" s="777" t="s">
        <v>17</v>
      </c>
      <c r="W45" s="778">
        <f t="shared" si="12"/>
        <v>100</v>
      </c>
      <c r="X45" s="779"/>
      <c r="Y45" s="3162"/>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57" t="str">
        <f>A46</f>
        <v>成交单价</v>
      </c>
      <c r="Q46" s="3157"/>
      <c r="R46" s="3163">
        <f>E46</f>
        <v>7010</v>
      </c>
      <c r="S46" s="3163"/>
      <c r="T46" s="3163">
        <f>G46</f>
        <v>6900</v>
      </c>
      <c r="U46" s="3163"/>
      <c r="V46" s="3163">
        <f>I46</f>
        <v>7120</v>
      </c>
      <c r="W46" s="3163"/>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57" t="str">
        <f>A47</f>
        <v>比较价值（元/平方米）</v>
      </c>
      <c r="Q47" s="3157"/>
      <c r="R47" s="3150">
        <f>ROUND(PRODUCT(R46,AA7:AA45),0)</f>
        <v>6751</v>
      </c>
      <c r="S47" s="3150"/>
      <c r="T47" s="3150">
        <f>ROUND(PRODUCT(T46,AB7:AB45),0)</f>
        <v>6623</v>
      </c>
      <c r="U47" s="3150"/>
      <c r="V47" s="3150">
        <f>ROUND(PRODUCT(V46,AC7:AC45),0)</f>
        <v>6703</v>
      </c>
      <c r="W47" s="3150"/>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51" t="str">
        <f>A48</f>
        <v>估价对象XX用房的比较价值（楼面单价，元/平方米）</v>
      </c>
      <c r="Q48" s="3152"/>
      <c r="R48" s="3153">
        <f>ROUND(AVERAGE(R47:V47),0)</f>
        <v>6692</v>
      </c>
      <c r="S48" s="3153"/>
      <c r="T48" s="3153"/>
      <c r="U48" s="3153"/>
      <c r="V48" s="3153"/>
      <c r="W48" s="3153"/>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54" t="s">
        <v>2767</v>
      </c>
      <c r="H55" s="3155"/>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56"/>
      <c r="H56" s="3157"/>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58"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58"/>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58"/>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58"/>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H29" sqref="H29"/>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51021</v>
      </c>
      <c r="C2" s="320" t="s">
        <v>2466</v>
      </c>
      <c r="D2" s="320"/>
      <c r="E2" s="320"/>
      <c r="F2" s="320"/>
      <c r="G2" s="320"/>
      <c r="H2" s="320"/>
      <c r="I2" s="320"/>
      <c r="J2" s="320"/>
      <c r="K2" s="320"/>
    </row>
    <row r="3" spans="1:33" ht="18" customHeight="1" thickBot="1">
      <c r="A3" s="247" t="s">
        <v>2335</v>
      </c>
      <c r="B3" s="248">
        <f ca="1">ROUND(B2*10000/IF(C1="",'数据-汇总表'!E3,INDIRECT("'数据-取费表'!K"&amp;$K$1)),0)</f>
        <v>10191</v>
      </c>
      <c r="C3" s="320" t="s">
        <v>2467</v>
      </c>
      <c r="D3" s="320"/>
      <c r="E3" s="320"/>
      <c r="F3" s="320"/>
      <c r="G3" s="320"/>
      <c r="H3" s="320"/>
      <c r="I3" s="320"/>
      <c r="J3" s="320"/>
      <c r="K3" s="320"/>
    </row>
    <row r="4" spans="1:33" s="954" customFormat="1" ht="16.5" customHeight="1">
      <c r="A4" s="951" t="s">
        <v>2468</v>
      </c>
      <c r="B4" s="952"/>
      <c r="C4" s="994">
        <f ca="1">SUM(C8:K8)</f>
        <v>112999</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3439</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2392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1101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1101</v>
      </c>
      <c r="D20" s="1031">
        <f ca="1">IF(C1="",'数据-汇总表'!E6,IF(INDIRECT("'数据-取费表'!c"&amp;$K$1)="住宅",INDIRECT("'数据-取费表'!s"&amp;$K$1),INDIRECT("'数据-取费表'!k"&amp;$K$1)+INDIRECT("'数据-取费表'!s"&amp;$K$1)))</f>
        <v>50064.18</v>
      </c>
      <c r="E20" s="24">
        <f>'数据-取费表'!B28</f>
        <v>220</v>
      </c>
      <c r="F20" s="974"/>
      <c r="G20" s="15"/>
      <c r="H20" s="979"/>
      <c r="I20" s="979"/>
      <c r="J20" s="979"/>
      <c r="K20" s="980"/>
    </row>
    <row r="21" spans="1:33" s="973" customFormat="1" ht="13.5" customHeight="1">
      <c r="A21" s="959" t="s">
        <v>802</v>
      </c>
      <c r="B21" s="983" t="s">
        <v>2499</v>
      </c>
      <c r="C21" s="984">
        <f ca="1">C16+C17+C18</f>
        <v>38879</v>
      </c>
      <c r="D21" s="985"/>
      <c r="E21" s="325"/>
      <c r="F21" s="325"/>
      <c r="G21" s="140" t="s">
        <v>2500</v>
      </c>
      <c r="H21" s="977"/>
      <c r="I21" s="977"/>
      <c r="J21" s="977"/>
      <c r="K21" s="978"/>
    </row>
    <row r="22" spans="1:33" s="973" customFormat="1" ht="13.5" customHeight="1">
      <c r="A22" s="959" t="s">
        <v>2472</v>
      </c>
      <c r="B22" s="983" t="s">
        <v>2501</v>
      </c>
      <c r="C22" s="984">
        <f ca="1">ROUND(C21*F22,0)</f>
        <v>778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2397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987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987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6308</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6308</v>
      </c>
      <c r="D30" s="328"/>
      <c r="E30" s="329"/>
      <c r="F30" s="334"/>
      <c r="G30" s="140"/>
      <c r="H30" s="977"/>
      <c r="I30" s="977"/>
      <c r="J30" s="977"/>
      <c r="K30" s="978"/>
    </row>
    <row r="31" spans="1:33" s="973" customFormat="1" ht="13.5" customHeight="1" thickBot="1">
      <c r="A31" s="2560" t="s">
        <v>2517</v>
      </c>
      <c r="B31" s="1003" t="s">
        <v>2518</v>
      </c>
      <c r="C31" s="1004">
        <f ca="1">ROUND(C4*F31/(1+'数据-取费表'!C42),0)</f>
        <v>6027</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51021</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7628</v>
      </c>
      <c r="D6" s="164" t="s">
        <v>3036</v>
      </c>
      <c r="E6" s="347" t="s">
        <v>1405</v>
      </c>
      <c r="F6" s="348">
        <f ca="1">INDIRECT("'数据-取费表'!u"&amp;$G$1)</f>
        <v>7</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1296" t="s">
        <v>1406</v>
      </c>
      <c r="F7" s="348">
        <f ca="1">IF(INDIRECT("'数据-取费表'!ah"&amp;$G$1)="",INDIRECT("'数据-取费表'!k"&amp;$G$1),INDIRECT("'数据-取费表'!ah"&amp;$G$1))</f>
        <v>33173.370000000003</v>
      </c>
      <c r="G7" s="1848"/>
      <c r="H7" s="349"/>
      <c r="I7" s="3197"/>
      <c r="J7" s="351"/>
      <c r="K7" s="352"/>
      <c r="L7" s="347" t="s">
        <v>1406</v>
      </c>
      <c r="M7" s="348">
        <f ca="1">F7</f>
        <v>33173.370000000003</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6" t="s">
        <v>1403</v>
      </c>
      <c r="C6" s="1294">
        <f ca="1">ROUND(F6*F8*F7*(1-F9),0)</f>
        <v>0</v>
      </c>
      <c r="D6" s="164" t="s">
        <v>3033</v>
      </c>
      <c r="E6" s="347" t="s">
        <v>1405</v>
      </c>
      <c r="F6" s="348">
        <f ca="1">INDIRECT("'数据-取费表'!u"&amp;$G$1)</f>
        <v>0</v>
      </c>
      <c r="G6" s="1848"/>
      <c r="H6" s="1289" t="s">
        <v>1035</v>
      </c>
      <c r="I6" s="3196" t="s">
        <v>1403</v>
      </c>
      <c r="J6" s="346">
        <f ca="1">ROUND(M6*M8*M7*(1-M9),0)</f>
        <v>0</v>
      </c>
      <c r="K6" s="1831" t="s">
        <v>3034</v>
      </c>
      <c r="L6" s="347" t="s">
        <v>1405</v>
      </c>
      <c r="M6" s="348">
        <f ca="1">INDIRECT("'数据-取费表'!z"&amp;$G$1)</f>
        <v>0</v>
      </c>
    </row>
    <row r="7" spans="1:37" ht="18" customHeight="1">
      <c r="A7" s="1293"/>
      <c r="B7" s="3197"/>
      <c r="C7" s="1295"/>
      <c r="D7" s="352"/>
      <c r="E7" s="1296" t="s">
        <v>1406</v>
      </c>
      <c r="F7" s="348">
        <f ca="1">IF(INDIRECT("'数据-取费表'!ah"&amp;$G$1)="",INDIRECT("'数据-取费表'!k"&amp;$G$1),INDIRECT("'数据-取费表'!ah"&amp;$G$1))</f>
        <v>0</v>
      </c>
      <c r="G7" s="1848"/>
      <c r="H7" s="349"/>
      <c r="I7" s="3197"/>
      <c r="J7" s="351"/>
      <c r="K7" s="352"/>
      <c r="L7" s="347" t="s">
        <v>1406</v>
      </c>
      <c r="M7" s="348">
        <f ca="1">F7</f>
        <v>0</v>
      </c>
    </row>
    <row r="8" spans="1:37" ht="18" customHeight="1">
      <c r="A8" s="349"/>
      <c r="B8" s="3197"/>
      <c r="C8" s="351"/>
      <c r="D8" s="352"/>
      <c r="E8" s="347" t="s">
        <v>1407</v>
      </c>
      <c r="F8" s="348">
        <f ca="1">INDIRECT("'数据-取费表'!ai"&amp;$G$1)</f>
        <v>0</v>
      </c>
      <c r="G8" s="1848"/>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4" t="s">
        <v>1548</v>
      </c>
      <c r="L53" s="3195"/>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112999</v>
      </c>
      <c r="C2" s="2566" t="s">
        <v>2522</v>
      </c>
      <c r="D2" s="2567" t="s">
        <v>2523</v>
      </c>
      <c r="E2" s="2568">
        <f>SUM(E6:E13)</f>
        <v>50064.17</v>
      </c>
    </row>
    <row r="3" spans="1:6" ht="15.75">
      <c r="A3" s="2564" t="s">
        <v>1395</v>
      </c>
      <c r="B3" s="2565">
        <f ca="1">ROUND(B2*10000/E2,0)</f>
        <v>22571</v>
      </c>
      <c r="C3" s="2566" t="s">
        <v>2530</v>
      </c>
      <c r="D3" s="2569"/>
      <c r="E3" s="2570"/>
    </row>
    <row r="4" spans="1:6" ht="15.75">
      <c r="A4" s="2571"/>
      <c r="B4" s="2569"/>
      <c r="C4" s="2569"/>
      <c r="D4" s="2569"/>
      <c r="E4" s="2570"/>
    </row>
    <row r="5" spans="1:6" ht="15">
      <c r="A5" s="2572" t="s">
        <v>2524</v>
      </c>
      <c r="B5" s="3199" t="s">
        <v>2525</v>
      </c>
      <c r="C5" s="3199"/>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2392</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0"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42</v>
      </c>
      <c r="D6" s="164" t="s">
        <v>3036</v>
      </c>
      <c r="E6" s="347" t="s">
        <v>1405</v>
      </c>
      <c r="F6" s="348">
        <f ca="1">INDIRECT("'数据-取费表'!u"&amp;$G$1)</f>
        <v>10</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2949" t="s">
        <v>1406</v>
      </c>
      <c r="F7" s="348">
        <f ca="1">IF(INDIRECT("'数据-取费表'!ah"&amp;$G$1)="",INDIRECT("'数据-取费表'!k"&amp;$G$1),INDIRECT("'数据-取费表'!ah"&amp;$G$1))</f>
        <v>129.16999999999999</v>
      </c>
      <c r="G7" s="1848"/>
      <c r="H7" s="349"/>
      <c r="I7" s="3197"/>
      <c r="J7" s="351"/>
      <c r="K7" s="352"/>
      <c r="L7" s="347" t="s">
        <v>1406</v>
      </c>
      <c r="M7" s="348">
        <f ca="1">F7</f>
        <v>129.16999999999999</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1123</v>
      </c>
      <c r="D6" s="164" t="s">
        <v>3036</v>
      </c>
      <c r="E6" s="347" t="s">
        <v>1405</v>
      </c>
      <c r="F6" s="348">
        <f ca="1">INDIRECT("'数据-取费表'!u"&amp;$G$1)</f>
        <v>3.5</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2949" t="s">
        <v>1406</v>
      </c>
      <c r="F7" s="348">
        <f ca="1">IF(INDIRECT("'数据-取费表'!ah"&amp;$G$1)="",INDIRECT("'数据-取费表'!k"&amp;$G$1),INDIRECT("'数据-取费表'!ah"&amp;$G$1))</f>
        <v>9767.31</v>
      </c>
      <c r="G7" s="1848"/>
      <c r="H7" s="349"/>
      <c r="I7" s="3197"/>
      <c r="J7" s="351"/>
      <c r="K7" s="352"/>
      <c r="L7" s="347" t="s">
        <v>1406</v>
      </c>
      <c r="M7" s="348">
        <f ca="1">F7</f>
        <v>9767.31</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27.97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2392</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228</v>
      </c>
      <c r="D6" s="164" t="s">
        <v>3036</v>
      </c>
      <c r="E6" s="347" t="s">
        <v>1405</v>
      </c>
      <c r="F6" s="348">
        <f ca="1">INDIRECT("'数据-取费表'!u"&amp;$G$1)</f>
        <v>1</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2949" t="s">
        <v>1406</v>
      </c>
      <c r="F7" s="348">
        <f ca="1">IF(INDIRECT("'数据-取费表'!ah"&amp;$G$1)="",INDIRECT("'数据-取费表'!k"&amp;$G$1),INDIRECT("'数据-取费表'!ah"&amp;$G$1))</f>
        <v>6954.59</v>
      </c>
      <c r="G7" s="1848"/>
      <c r="H7" s="349"/>
      <c r="I7" s="3197"/>
      <c r="J7" s="351"/>
      <c r="K7" s="352"/>
      <c r="L7" s="347" t="s">
        <v>1406</v>
      </c>
      <c r="M7" s="348">
        <f ca="1">F7</f>
        <v>6954.59</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2392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3439</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-3142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2392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-2361</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2392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2392</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2392</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2392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-2361</v>
      </c>
      <c r="R67" s="1883" t="s">
        <v>1582</v>
      </c>
    </row>
    <row r="68" spans="1:18" s="1839" customFormat="1" ht="16.5" thickBot="1">
      <c r="A68" s="1164" t="s">
        <v>1032</v>
      </c>
      <c r="B68" s="1165" t="s">
        <v>1485</v>
      </c>
      <c r="C68" s="346">
        <f ca="1">ROUND(C67*(1-((1+F70)/(1+F68))^F69)/(F68-F70),0)</f>
        <v>-750</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27.97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-1078</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2392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-0.40700000000000003</v>
      </c>
    </row>
    <row r="83" spans="2:3">
      <c r="B83" s="317" t="s">
        <v>1514</v>
      </c>
      <c r="C83" s="318">
        <f ca="1">ROUND(C13/C40,3)</f>
        <v>1.407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15866</v>
      </c>
      <c r="E1" s="3219"/>
      <c r="F1" s="3219"/>
      <c r="G1" s="3219"/>
      <c r="H1" s="3219"/>
      <c r="I1" s="3220"/>
    </row>
    <row r="2" spans="1:9">
      <c r="A2" s="3206" t="s">
        <v>1077</v>
      </c>
      <c r="B2" s="3207" t="s">
        <v>1078</v>
      </c>
      <c r="C2" s="3207"/>
      <c r="D2" s="1299" t="s">
        <v>1079</v>
      </c>
      <c r="E2" s="1299" t="s">
        <v>1080</v>
      </c>
      <c r="F2" s="1299" t="s">
        <v>1081</v>
      </c>
      <c r="G2" s="1299" t="s">
        <v>1082</v>
      </c>
      <c r="H2" s="1299" t="s">
        <v>1083</v>
      </c>
      <c r="I2" s="1300" t="s">
        <v>1084</v>
      </c>
    </row>
    <row r="3" spans="1:9">
      <c r="A3" s="3206"/>
      <c r="B3" s="3207" t="s">
        <v>1085</v>
      </c>
      <c r="C3" s="3207"/>
      <c r="D3" s="1301">
        <v>1</v>
      </c>
      <c r="E3" s="2945">
        <f>29999*0.7</f>
        <v>20999.3</v>
      </c>
      <c r="F3" s="1302">
        <v>0.6</v>
      </c>
      <c r="G3" s="1302">
        <v>0.4</v>
      </c>
      <c r="H3" s="1303">
        <v>365</v>
      </c>
      <c r="I3" s="1304">
        <f>ROUND(D3*E3*F3*G3*H3/10000,0)</f>
        <v>184</v>
      </c>
    </row>
    <row r="4" spans="1:9">
      <c r="A4" s="3206"/>
      <c r="B4" s="3207" t="s">
        <v>1086</v>
      </c>
      <c r="C4" s="3207"/>
      <c r="D4" s="1301">
        <v>36</v>
      </c>
      <c r="E4" s="2945">
        <f>8000*0.7</f>
        <v>5600</v>
      </c>
      <c r="F4" s="1302">
        <v>0.7</v>
      </c>
      <c r="G4" s="1302">
        <v>0.6</v>
      </c>
      <c r="H4" s="1303">
        <v>365</v>
      </c>
      <c r="I4" s="1304">
        <f t="shared" ref="I4:I6" si="0">ROUND(D4*E4*F4*G4*H4/10000,0)</f>
        <v>3091</v>
      </c>
    </row>
    <row r="5" spans="1:9">
      <c r="A5" s="3206"/>
      <c r="B5" s="3207" t="s">
        <v>1087</v>
      </c>
      <c r="C5" s="3207"/>
      <c r="D5" s="1301"/>
      <c r="E5" s="2945"/>
      <c r="F5" s="1302"/>
      <c r="G5" s="1302"/>
      <c r="H5" s="1303"/>
      <c r="I5" s="1304">
        <f t="shared" si="0"/>
        <v>0</v>
      </c>
    </row>
    <row r="6" spans="1:9">
      <c r="A6" s="3206"/>
      <c r="B6" s="3207" t="s">
        <v>1088</v>
      </c>
      <c r="C6" s="3207"/>
      <c r="D6" s="1301">
        <f>279-D3-D4</f>
        <v>242</v>
      </c>
      <c r="E6" s="2945">
        <f>2000*0.7</f>
        <v>1400</v>
      </c>
      <c r="F6" s="1302">
        <v>0.8</v>
      </c>
      <c r="G6" s="1302">
        <v>0.8</v>
      </c>
      <c r="H6" s="1303">
        <v>365</v>
      </c>
      <c r="I6" s="1304">
        <f t="shared" si="0"/>
        <v>7914</v>
      </c>
    </row>
    <row r="7" spans="1:9">
      <c r="A7" s="3206"/>
      <c r="B7" s="3207" t="s">
        <v>1089</v>
      </c>
      <c r="C7" s="3207"/>
      <c r="D7" s="1301"/>
      <c r="E7" s="1299"/>
      <c r="F7" s="1302"/>
      <c r="G7" s="1302"/>
      <c r="H7" s="1303"/>
      <c r="I7" s="1304">
        <f t="shared" ref="I7:I9" si="1">ROUND(D7*E7*F7*G7*H7/10000,0)</f>
        <v>0</v>
      </c>
    </row>
    <row r="8" spans="1:9">
      <c r="A8" s="3206"/>
      <c r="B8" s="3207" t="s">
        <v>1090</v>
      </c>
      <c r="C8" s="3207"/>
      <c r="D8" s="1301"/>
      <c r="E8" s="1299"/>
      <c r="F8" s="1302"/>
      <c r="G8" s="1302"/>
      <c r="H8" s="1303"/>
      <c r="I8" s="1304">
        <f t="shared" si="1"/>
        <v>0</v>
      </c>
    </row>
    <row r="9" spans="1:9">
      <c r="A9" s="3206"/>
      <c r="B9" s="3207" t="s">
        <v>1091</v>
      </c>
      <c r="C9" s="3207"/>
      <c r="D9" s="1301"/>
      <c r="E9" s="1299"/>
      <c r="F9" s="1302"/>
      <c r="G9" s="1302"/>
      <c r="H9" s="1303"/>
      <c r="I9" s="1304">
        <f t="shared" si="1"/>
        <v>0</v>
      </c>
    </row>
    <row r="10" spans="1:9">
      <c r="A10" s="3206"/>
      <c r="B10" s="3208" t="s">
        <v>1092</v>
      </c>
      <c r="C10" s="3208"/>
      <c r="D10" s="1305"/>
      <c r="E10" s="1305" t="e">
        <f>ROUND(D1*10000/D10/H9,0)</f>
        <v>#DIV/0!</v>
      </c>
      <c r="F10" s="1306"/>
      <c r="G10" s="1306"/>
      <c r="H10" s="1307"/>
      <c r="I10" s="1308">
        <f>SUM(I3:I9)</f>
        <v>11189</v>
      </c>
    </row>
    <row r="11" spans="1:9" ht="14.25">
      <c r="A11" s="3206" t="s">
        <v>1093</v>
      </c>
      <c r="B11" s="3207" t="s">
        <v>1094</v>
      </c>
      <c r="C11" s="3207"/>
      <c r="D11" s="1301" t="s">
        <v>1095</v>
      </c>
      <c r="E11" s="1301" t="s">
        <v>1096</v>
      </c>
      <c r="F11" s="1302" t="s">
        <v>1097</v>
      </c>
      <c r="G11" s="1302" t="s">
        <v>1083</v>
      </c>
      <c r="H11" s="1309" t="s">
        <v>1098</v>
      </c>
      <c r="I11" s="1300" t="s">
        <v>1084</v>
      </c>
    </row>
    <row r="12" spans="1:9">
      <c r="A12" s="3206"/>
      <c r="B12" s="3207" t="s">
        <v>1099</v>
      </c>
      <c r="C12" s="3207"/>
      <c r="D12" s="1301">
        <f>200</f>
        <v>200</v>
      </c>
      <c r="E12" s="1301">
        <v>200</v>
      </c>
      <c r="F12" s="1302">
        <v>0.5</v>
      </c>
      <c r="G12" s="1303">
        <v>365</v>
      </c>
      <c r="H12" s="1310"/>
      <c r="I12" s="1300">
        <f>ROUND(D12*E12*F12*G12/10000,0)</f>
        <v>730</v>
      </c>
    </row>
    <row r="13" spans="1:9">
      <c r="A13" s="3206"/>
      <c r="B13" s="3207" t="s">
        <v>1100</v>
      </c>
      <c r="C13" s="3207"/>
      <c r="D13" s="1301">
        <v>300</v>
      </c>
      <c r="E13" s="1301">
        <v>150</v>
      </c>
      <c r="F13" s="1302">
        <v>0.6</v>
      </c>
      <c r="G13" s="1303">
        <v>365</v>
      </c>
      <c r="H13" s="1310"/>
      <c r="I13" s="1300">
        <f>ROUND(D13*E13*F13*G13/10000,0)</f>
        <v>986</v>
      </c>
    </row>
    <row r="14" spans="1:9">
      <c r="A14" s="3206"/>
      <c r="B14" s="3207" t="s">
        <v>1101</v>
      </c>
      <c r="C14" s="3207"/>
      <c r="D14" s="1301"/>
      <c r="E14" s="1301"/>
      <c r="F14" s="1302"/>
      <c r="G14" s="1303"/>
      <c r="H14" s="1310"/>
      <c r="I14" s="1300">
        <f>ROUND(D14*E14*F14*G14/10000,0)</f>
        <v>0</v>
      </c>
    </row>
    <row r="15" spans="1:9">
      <c r="A15" s="3206"/>
      <c r="B15" s="3208" t="s">
        <v>1092</v>
      </c>
      <c r="C15" s="3208"/>
      <c r="D15" s="1305"/>
      <c r="E15" s="1305">
        <f>SUM(E12:E14)</f>
        <v>350</v>
      </c>
      <c r="F15" s="1306"/>
      <c r="G15" s="1303"/>
      <c r="H15" s="1310"/>
      <c r="I15" s="1311">
        <f>SUM(I12:I14)</f>
        <v>1716</v>
      </c>
    </row>
    <row r="16" spans="1:9" ht="24">
      <c r="A16" s="3206" t="s">
        <v>1102</v>
      </c>
      <c r="B16" s="3207" t="s">
        <v>1103</v>
      </c>
      <c r="C16" s="3207"/>
      <c r="D16" s="1301" t="s">
        <v>1079</v>
      </c>
      <c r="E16" s="1312" t="s">
        <v>1104</v>
      </c>
      <c r="F16" s="1302" t="s">
        <v>1105</v>
      </c>
      <c r="G16" s="1303" t="s">
        <v>1083</v>
      </c>
      <c r="H16" s="1309" t="s">
        <v>1098</v>
      </c>
      <c r="I16" s="1300" t="s">
        <v>1084</v>
      </c>
    </row>
    <row r="17" spans="1:9" ht="14.25">
      <c r="A17" s="3206"/>
      <c r="B17" s="3207" t="s">
        <v>1106</v>
      </c>
      <c r="C17" s="3207"/>
      <c r="D17" s="1301">
        <v>2</v>
      </c>
      <c r="E17" s="1301">
        <f>10000*0.9</f>
        <v>9000</v>
      </c>
      <c r="F17" s="1302">
        <v>0.5</v>
      </c>
      <c r="G17" s="1303">
        <v>365</v>
      </c>
      <c r="H17" s="1313"/>
      <c r="I17" s="1314">
        <f>ROUND(D17*E17*F17*G17/10000,0)</f>
        <v>329</v>
      </c>
    </row>
    <row r="18" spans="1:9" ht="14.25">
      <c r="A18" s="3206"/>
      <c r="B18" s="3207" t="s">
        <v>1107</v>
      </c>
      <c r="C18" s="3207"/>
      <c r="D18" s="1301">
        <v>2</v>
      </c>
      <c r="E18" s="1301">
        <f>3000*0.9</f>
        <v>2700</v>
      </c>
      <c r="F18" s="1302">
        <v>0.6</v>
      </c>
      <c r="G18" s="1303">
        <v>365</v>
      </c>
      <c r="H18" s="1313"/>
      <c r="I18" s="1314">
        <f>ROUND(D18*E18*F18*G18/10000,0)</f>
        <v>118</v>
      </c>
    </row>
    <row r="19" spans="1:9" ht="14.25">
      <c r="A19" s="3206"/>
      <c r="B19" s="3207" t="s">
        <v>1108</v>
      </c>
      <c r="C19" s="3207"/>
      <c r="D19" s="1301">
        <v>8</v>
      </c>
      <c r="E19" s="1301">
        <f>1500*0.9</f>
        <v>1350</v>
      </c>
      <c r="F19" s="1302">
        <v>0.7</v>
      </c>
      <c r="G19" s="1303">
        <v>365</v>
      </c>
      <c r="H19" s="1313"/>
      <c r="I19" s="1314">
        <f>ROUND(D19*E19*F19*G19/10000,0)</f>
        <v>276</v>
      </c>
    </row>
    <row r="20" spans="1:9">
      <c r="A20" s="3206"/>
      <c r="B20" s="3208" t="s">
        <v>1092</v>
      </c>
      <c r="C20" s="3208"/>
      <c r="D20" s="1305">
        <f>SUM(D17:D19)</f>
        <v>12</v>
      </c>
      <c r="E20" s="1305"/>
      <c r="F20" s="1306"/>
      <c r="G20" s="1303"/>
      <c r="H20" s="1310"/>
      <c r="I20" s="1311">
        <f>SUM(I17:I19)</f>
        <v>723</v>
      </c>
    </row>
    <row r="21" spans="1:9">
      <c r="A21" s="3206" t="s">
        <v>1109</v>
      </c>
      <c r="B21" s="3209"/>
      <c r="C21" s="3209"/>
      <c r="D21" s="3209"/>
      <c r="E21" s="3209"/>
      <c r="F21" s="3209"/>
      <c r="G21" s="3209"/>
      <c r="H21" s="1762">
        <v>0.2</v>
      </c>
      <c r="I21" s="1308">
        <f>ROUND(I10*H21,0)</f>
        <v>2238</v>
      </c>
    </row>
    <row r="22" spans="1:9" ht="14.25">
      <c r="A22" s="3210" t="s">
        <v>1110</v>
      </c>
      <c r="B22" s="3211"/>
      <c r="C22" s="3212"/>
      <c r="D22" s="1315" t="s">
        <v>1111</v>
      </c>
      <c r="E22" s="1315" t="s">
        <v>1112</v>
      </c>
      <c r="F22" s="1316" t="s">
        <v>1113</v>
      </c>
      <c r="G22" s="1316" t="s">
        <v>1114</v>
      </c>
      <c r="H22" s="1309" t="s">
        <v>1115</v>
      </c>
      <c r="I22" s="1300" t="s">
        <v>1116</v>
      </c>
    </row>
    <row r="23" spans="1:9" ht="14.25" thickBot="1">
      <c r="A23" s="3213"/>
      <c r="B23" s="3214"/>
      <c r="C23" s="3215"/>
      <c r="D23" s="1317"/>
      <c r="E23" s="1317"/>
      <c r="F23" s="1317"/>
      <c r="G23" s="1318"/>
      <c r="H23" s="1319"/>
      <c r="I23" s="1320">
        <f>ROUND(E23*D23*F23*(1-G23)/10000,0)</f>
        <v>0</v>
      </c>
    </row>
    <row r="26" spans="1:9">
      <c r="A26" s="1321" t="s">
        <v>1117</v>
      </c>
      <c r="B26" s="1321"/>
      <c r="C26" s="1321"/>
      <c r="D26" s="1321"/>
      <c r="E26" s="3203">
        <f>C27-C30-C31-C32</f>
        <v>8726.2999999999993</v>
      </c>
      <c r="F26" s="3203"/>
      <c r="G26" s="3203"/>
      <c r="H26" s="1734" t="s">
        <v>1340</v>
      </c>
    </row>
    <row r="27" spans="1:9">
      <c r="A27" s="1322">
        <v>1</v>
      </c>
      <c r="B27" s="1323" t="s">
        <v>1118</v>
      </c>
      <c r="C27" s="1323">
        <f>D1</f>
        <v>15866</v>
      </c>
      <c r="D27" s="1323"/>
      <c r="E27" s="3204"/>
      <c r="F27" s="3204"/>
      <c r="G27" s="3204"/>
    </row>
    <row r="28" spans="1:9">
      <c r="A28" s="1324" t="s">
        <v>1119</v>
      </c>
      <c r="B28" s="1323" t="s">
        <v>1120</v>
      </c>
      <c r="C28" s="1323"/>
      <c r="D28" s="1323"/>
      <c r="E28" s="3204"/>
      <c r="F28" s="3204"/>
      <c r="G28" s="3204"/>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5"/>
      <c r="F32" s="3205"/>
      <c r="G32" s="3205"/>
    </row>
    <row r="33" spans="1:7" hidden="1">
      <c r="A33" s="3200" t="s">
        <v>1129</v>
      </c>
      <c r="B33" s="3201"/>
      <c r="C33" s="3201"/>
      <c r="D33" s="3202"/>
      <c r="E33" s="3203"/>
      <c r="F33" s="3203"/>
      <c r="G33" s="3203"/>
    </row>
    <row r="34" spans="1:7" hidden="1">
      <c r="A34" s="1326">
        <v>1</v>
      </c>
      <c r="B34" s="1323" t="s">
        <v>1130</v>
      </c>
      <c r="C34" s="1323"/>
      <c r="D34" s="1323"/>
      <c r="E34" s="3204"/>
      <c r="F34" s="3204"/>
      <c r="G34" s="3204"/>
    </row>
    <row r="35" spans="1:7" hidden="1">
      <c r="A35" s="1326">
        <v>2</v>
      </c>
      <c r="B35" s="1323" t="s">
        <v>1131</v>
      </c>
      <c r="C35" s="1323"/>
      <c r="D35" s="1323"/>
      <c r="E35" s="3204"/>
      <c r="F35" s="3204"/>
      <c r="G35" s="3204"/>
    </row>
    <row r="36" spans="1:7" hidden="1">
      <c r="A36" s="1326">
        <v>3</v>
      </c>
      <c r="B36" s="1323" t="s">
        <v>1132</v>
      </c>
      <c r="C36" s="1323"/>
      <c r="D36" s="1323"/>
      <c r="E36" s="3204"/>
      <c r="F36" s="3204"/>
      <c r="G36" s="3204"/>
    </row>
    <row r="37" spans="1:7" hidden="1">
      <c r="A37" s="1326">
        <v>4</v>
      </c>
      <c r="B37" s="1323" t="s">
        <v>1133</v>
      </c>
      <c r="C37" s="1323"/>
      <c r="D37" s="1323"/>
      <c r="E37" s="3204"/>
      <c r="F37" s="3204"/>
      <c r="G37" s="3204"/>
    </row>
    <row r="38" spans="1:7" hidden="1">
      <c r="A38" s="3200" t="s">
        <v>1134</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54" t="s">
        <v>2539</v>
      </c>
      <c r="D4" s="3167"/>
      <c r="E4" s="3168" t="s">
        <v>2540</v>
      </c>
      <c r="F4" s="3169"/>
      <c r="G4" s="3154" t="s">
        <v>2541</v>
      </c>
      <c r="H4" s="3167"/>
      <c r="I4" s="3154" t="s">
        <v>2542</v>
      </c>
      <c r="J4" s="3167"/>
      <c r="K4" s="2596" t="s">
        <v>2543</v>
      </c>
      <c r="L4" s="1128"/>
      <c r="M4" s="1129"/>
      <c r="N4" s="1129"/>
      <c r="O4" s="1129"/>
      <c r="P4" s="3170" t="s">
        <v>2544</v>
      </c>
      <c r="Q4" s="3171"/>
      <c r="R4" s="3176" t="s">
        <v>2540</v>
      </c>
      <c r="S4" s="3177"/>
      <c r="T4" s="3176" t="s">
        <v>2541</v>
      </c>
      <c r="U4" s="3177"/>
      <c r="V4" s="3163" t="s">
        <v>2542</v>
      </c>
      <c r="W4" s="3163"/>
      <c r="X4" s="1810"/>
      <c r="Y4" s="3176" t="s">
        <v>2544</v>
      </c>
      <c r="Z4" s="3177"/>
      <c r="AA4" s="3164" t="s">
        <v>2540</v>
      </c>
      <c r="AB4" s="3164" t="s">
        <v>2541</v>
      </c>
      <c r="AC4" s="3164" t="s">
        <v>2542</v>
      </c>
    </row>
    <row r="5" spans="1:29" ht="15">
      <c r="A5" s="404"/>
      <c r="B5" s="405"/>
      <c r="C5" s="3184" t="s">
        <v>2545</v>
      </c>
      <c r="D5" s="3185"/>
      <c r="E5" s="3192" t="s">
        <v>2546</v>
      </c>
      <c r="F5" s="3193"/>
      <c r="G5" s="3184" t="s">
        <v>2547</v>
      </c>
      <c r="H5" s="3185"/>
      <c r="I5" s="3184" t="s">
        <v>2548</v>
      </c>
      <c r="J5" s="3185"/>
      <c r="K5" s="2597"/>
      <c r="L5" s="1128"/>
      <c r="M5" s="1129"/>
      <c r="N5" s="1129"/>
      <c r="O5" s="1129"/>
      <c r="P5" s="3172"/>
      <c r="Q5" s="3173"/>
      <c r="R5" s="3178"/>
      <c r="S5" s="3179"/>
      <c r="T5" s="3178"/>
      <c r="U5" s="3179"/>
      <c r="V5" s="3163"/>
      <c r="W5" s="3163"/>
      <c r="X5" s="1810"/>
      <c r="Y5" s="3178"/>
      <c r="Z5" s="3179"/>
      <c r="AA5" s="3165"/>
      <c r="AB5" s="3165"/>
      <c r="AC5" s="3165"/>
    </row>
    <row r="6" spans="1:29" ht="15.75" thickBot="1">
      <c r="A6" s="406"/>
      <c r="B6" s="407"/>
      <c r="C6" s="3189" t="s">
        <v>2549</v>
      </c>
      <c r="D6" s="3183"/>
      <c r="E6" s="3229" t="s">
        <v>2549</v>
      </c>
      <c r="F6" s="3191"/>
      <c r="G6" s="3189" t="s">
        <v>2549</v>
      </c>
      <c r="H6" s="3183"/>
      <c r="I6" s="3189" t="s">
        <v>2549</v>
      </c>
      <c r="J6" s="3183"/>
      <c r="K6" s="2597" t="s">
        <v>2550</v>
      </c>
      <c r="L6" s="1128"/>
      <c r="M6" s="1129"/>
      <c r="N6" s="1129"/>
      <c r="O6" s="1129"/>
      <c r="P6" s="3174"/>
      <c r="Q6" s="3175"/>
      <c r="R6" s="3178"/>
      <c r="S6" s="3179"/>
      <c r="T6" s="3180"/>
      <c r="U6" s="3181"/>
      <c r="V6" s="3163"/>
      <c r="W6" s="3163"/>
      <c r="X6" s="1810"/>
      <c r="Y6" s="3180"/>
      <c r="Z6" s="3181"/>
      <c r="AA6" s="3166"/>
      <c r="AB6" s="3166"/>
      <c r="AC6" s="3166"/>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86" t="s">
        <v>2552</v>
      </c>
      <c r="Q7" s="3188"/>
      <c r="R7" s="770" t="s">
        <v>23</v>
      </c>
      <c r="S7" s="771">
        <f t="shared" ref="S7:S15" si="0">F7</f>
        <v>0</v>
      </c>
      <c r="T7" s="770" t="s">
        <v>23</v>
      </c>
      <c r="U7" s="771">
        <f t="shared" ref="U7:U15" si="1">H7</f>
        <v>0</v>
      </c>
      <c r="V7" s="770" t="s">
        <v>23</v>
      </c>
      <c r="W7" s="771">
        <f t="shared" ref="W7:W15" si="2">J7</f>
        <v>0</v>
      </c>
      <c r="X7" s="772"/>
      <c r="Y7" s="3186" t="s">
        <v>2552</v>
      </c>
      <c r="Z7" s="3187"/>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86" t="s">
        <v>2555</v>
      </c>
      <c r="Q8" s="3187"/>
      <c r="R8" s="770" t="s">
        <v>23</v>
      </c>
      <c r="S8" s="771">
        <f t="shared" si="0"/>
        <v>0</v>
      </c>
      <c r="T8" s="770" t="s">
        <v>23</v>
      </c>
      <c r="U8" s="771">
        <f t="shared" si="1"/>
        <v>0</v>
      </c>
      <c r="V8" s="770" t="s">
        <v>23</v>
      </c>
      <c r="W8" s="771">
        <f t="shared" si="2"/>
        <v>0</v>
      </c>
      <c r="X8" s="772"/>
      <c r="Y8" s="3186" t="s">
        <v>2555</v>
      </c>
      <c r="Z8" s="3187"/>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6" t="s">
        <v>2558</v>
      </c>
      <c r="Q9" s="1792"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6"/>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6"/>
      <c r="Q11" s="1792"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6"/>
      <c r="Q12" s="1792">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6"/>
      <c r="Q13" s="1792">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6"/>
      <c r="Q14" s="1792">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7" t="s">
        <v>2563</v>
      </c>
      <c r="Q15" s="1807" t="str">
        <f t="shared" si="6"/>
        <v>居住社区成熟度</v>
      </c>
      <c r="R15" s="774" t="s">
        <v>21</v>
      </c>
      <c r="S15" s="775">
        <f t="shared" si="0"/>
        <v>100</v>
      </c>
      <c r="T15" s="774" t="s">
        <v>21</v>
      </c>
      <c r="U15" s="775">
        <f t="shared" si="1"/>
        <v>100</v>
      </c>
      <c r="V15" s="774" t="s">
        <v>21</v>
      </c>
      <c r="W15" s="775">
        <f t="shared" si="2"/>
        <v>100</v>
      </c>
      <c r="X15" s="1810"/>
      <c r="Y15" s="3159"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28"/>
      <c r="Q16" s="1807"/>
      <c r="R16" s="774"/>
      <c r="S16" s="775"/>
      <c r="T16" s="774"/>
      <c r="U16" s="775"/>
      <c r="V16" s="774"/>
      <c r="W16" s="775"/>
      <c r="X16" s="1810"/>
      <c r="Y16" s="3160"/>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8"/>
      <c r="Q17" s="1807" t="str">
        <f>B17</f>
        <v>交通便捷度</v>
      </c>
      <c r="R17" s="774" t="s">
        <v>21</v>
      </c>
      <c r="S17" s="775">
        <f>F17</f>
        <v>100</v>
      </c>
      <c r="T17" s="774" t="s">
        <v>21</v>
      </c>
      <c r="U17" s="775">
        <f>H17</f>
        <v>100</v>
      </c>
      <c r="V17" s="774" t="s">
        <v>21</v>
      </c>
      <c r="W17" s="775">
        <f>J17</f>
        <v>100</v>
      </c>
      <c r="X17" s="1810"/>
      <c r="Y17" s="3160"/>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28"/>
      <c r="Q18" s="1807"/>
      <c r="R18" s="774"/>
      <c r="S18" s="775"/>
      <c r="T18" s="774"/>
      <c r="U18" s="775"/>
      <c r="V18" s="774"/>
      <c r="W18" s="775"/>
      <c r="X18" s="1810"/>
      <c r="Y18" s="3160"/>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8"/>
      <c r="Q19" s="1807" t="str">
        <f>B19</f>
        <v>公共配套设施</v>
      </c>
      <c r="R19" s="774" t="s">
        <v>21</v>
      </c>
      <c r="S19" s="775">
        <f>F19</f>
        <v>100</v>
      </c>
      <c r="T19" s="774" t="s">
        <v>21</v>
      </c>
      <c r="U19" s="775">
        <f>H19</f>
        <v>100</v>
      </c>
      <c r="V19" s="774" t="s">
        <v>21</v>
      </c>
      <c r="W19" s="775">
        <f>J19</f>
        <v>100</v>
      </c>
      <c r="X19" s="1810"/>
      <c r="Y19" s="3160"/>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28"/>
      <c r="Q20" s="1807"/>
      <c r="R20" s="774"/>
      <c r="S20" s="775"/>
      <c r="T20" s="774"/>
      <c r="U20" s="775"/>
      <c r="V20" s="774"/>
      <c r="W20" s="775"/>
      <c r="X20" s="1810"/>
      <c r="Y20" s="3160"/>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8"/>
      <c r="Q21" s="1807" t="str">
        <f>B21</f>
        <v>基础设施水平</v>
      </c>
      <c r="R21" s="774" t="s">
        <v>17</v>
      </c>
      <c r="S21" s="775">
        <f>F21</f>
        <v>100</v>
      </c>
      <c r="T21" s="774" t="s">
        <v>17</v>
      </c>
      <c r="U21" s="775">
        <f>H21</f>
        <v>100</v>
      </c>
      <c r="V21" s="774" t="s">
        <v>17</v>
      </c>
      <c r="W21" s="775">
        <f>J21</f>
        <v>100</v>
      </c>
      <c r="X21" s="1810"/>
      <c r="Y21" s="3160"/>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28"/>
      <c r="Q22" s="1807"/>
      <c r="R22" s="774"/>
      <c r="S22" s="775"/>
      <c r="T22" s="774"/>
      <c r="U22" s="775"/>
      <c r="V22" s="774"/>
      <c r="W22" s="775"/>
      <c r="X22" s="1810"/>
      <c r="Y22" s="3160"/>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8"/>
      <c r="Q23" s="1807" t="str">
        <f>B23</f>
        <v>自然及人文环境</v>
      </c>
      <c r="R23" s="774" t="s">
        <v>21</v>
      </c>
      <c r="S23" s="775">
        <f>F23</f>
        <v>100</v>
      </c>
      <c r="T23" s="774" t="s">
        <v>21</v>
      </c>
      <c r="U23" s="775">
        <f>H23</f>
        <v>100</v>
      </c>
      <c r="V23" s="774" t="s">
        <v>21</v>
      </c>
      <c r="W23" s="775">
        <f>J23</f>
        <v>100</v>
      </c>
      <c r="X23" s="1810"/>
      <c r="Y23" s="3160"/>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28"/>
      <c r="Q24" s="1807"/>
      <c r="R24" s="774"/>
      <c r="S24" s="775"/>
      <c r="T24" s="774"/>
      <c r="U24" s="775"/>
      <c r="V24" s="774"/>
      <c r="W24" s="775"/>
      <c r="X24" s="1810"/>
      <c r="Y24" s="3160"/>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28"/>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60"/>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28"/>
      <c r="Q26" s="1807" t="str">
        <f t="shared" si="11"/>
        <v>朝向</v>
      </c>
      <c r="R26" s="774" t="s">
        <v>21</v>
      </c>
      <c r="S26" s="775">
        <f t="shared" si="12"/>
        <v>100</v>
      </c>
      <c r="T26" s="774" t="s">
        <v>21</v>
      </c>
      <c r="U26" s="775">
        <f t="shared" si="13"/>
        <v>100</v>
      </c>
      <c r="V26" s="774" t="s">
        <v>21</v>
      </c>
      <c r="W26" s="775">
        <f t="shared" si="14"/>
        <v>100</v>
      </c>
      <c r="X26" s="1810"/>
      <c r="Y26" s="3160"/>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28"/>
      <c r="Q27" s="1792">
        <f t="shared" si="11"/>
        <v>111</v>
      </c>
      <c r="R27" s="770" t="s">
        <v>21</v>
      </c>
      <c r="S27" s="771">
        <f t="shared" si="12"/>
        <v>100</v>
      </c>
      <c r="T27" s="770" t="s">
        <v>21</v>
      </c>
      <c r="U27" s="771">
        <f t="shared" si="13"/>
        <v>100</v>
      </c>
      <c r="V27" s="770" t="s">
        <v>21</v>
      </c>
      <c r="W27" s="771">
        <f t="shared" si="14"/>
        <v>100</v>
      </c>
      <c r="X27" s="772"/>
      <c r="Y27" s="3160"/>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28"/>
      <c r="Q28" s="1807">
        <f t="shared" si="11"/>
        <v>111</v>
      </c>
      <c r="R28" s="774" t="s">
        <v>21</v>
      </c>
      <c r="S28" s="775">
        <f t="shared" si="12"/>
        <v>100</v>
      </c>
      <c r="T28" s="774" t="s">
        <v>21</v>
      </c>
      <c r="U28" s="775">
        <f t="shared" si="13"/>
        <v>100</v>
      </c>
      <c r="V28" s="774" t="s">
        <v>21</v>
      </c>
      <c r="W28" s="775">
        <f t="shared" si="14"/>
        <v>100</v>
      </c>
      <c r="X28" s="1810"/>
      <c r="Y28" s="3160"/>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28"/>
      <c r="Q29" s="1807">
        <f t="shared" si="11"/>
        <v>111</v>
      </c>
      <c r="R29" s="774" t="s">
        <v>21</v>
      </c>
      <c r="S29" s="775">
        <f t="shared" si="12"/>
        <v>100</v>
      </c>
      <c r="T29" s="774" t="s">
        <v>21</v>
      </c>
      <c r="U29" s="775">
        <f t="shared" si="13"/>
        <v>100</v>
      </c>
      <c r="V29" s="774" t="s">
        <v>21</v>
      </c>
      <c r="W29" s="775">
        <f t="shared" si="14"/>
        <v>100</v>
      </c>
      <c r="X29" s="1810"/>
      <c r="Y29" s="3160"/>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28"/>
      <c r="Q30" s="1807">
        <f t="shared" si="11"/>
        <v>111</v>
      </c>
      <c r="R30" s="774" t="s">
        <v>21</v>
      </c>
      <c r="S30" s="775">
        <f t="shared" si="12"/>
        <v>100</v>
      </c>
      <c r="T30" s="774" t="s">
        <v>21</v>
      </c>
      <c r="U30" s="775">
        <f t="shared" si="13"/>
        <v>100</v>
      </c>
      <c r="V30" s="774" t="s">
        <v>21</v>
      </c>
      <c r="W30" s="775">
        <f t="shared" si="14"/>
        <v>100</v>
      </c>
      <c r="X30" s="1810"/>
      <c r="Y30" s="3160"/>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28"/>
      <c r="Q31" s="1807">
        <f t="shared" si="11"/>
        <v>111</v>
      </c>
      <c r="R31" s="774" t="s">
        <v>21</v>
      </c>
      <c r="S31" s="775">
        <f t="shared" si="12"/>
        <v>100</v>
      </c>
      <c r="T31" s="774" t="s">
        <v>21</v>
      </c>
      <c r="U31" s="775">
        <f t="shared" si="13"/>
        <v>100</v>
      </c>
      <c r="V31" s="774" t="s">
        <v>21</v>
      </c>
      <c r="W31" s="775">
        <f t="shared" si="14"/>
        <v>100</v>
      </c>
      <c r="X31" s="1810"/>
      <c r="Y31" s="3160"/>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3" t="s">
        <v>2568</v>
      </c>
      <c r="Q32" s="1807" t="str">
        <f t="shared" si="11"/>
        <v>建筑类型</v>
      </c>
      <c r="R32" s="774" t="s">
        <v>21</v>
      </c>
      <c r="S32" s="775">
        <f t="shared" si="12"/>
        <v>100</v>
      </c>
      <c r="T32" s="774" t="s">
        <v>21</v>
      </c>
      <c r="U32" s="775">
        <f t="shared" si="13"/>
        <v>100</v>
      </c>
      <c r="V32" s="774" t="s">
        <v>21</v>
      </c>
      <c r="W32" s="775">
        <f t="shared" si="14"/>
        <v>100</v>
      </c>
      <c r="X32" s="1810"/>
      <c r="Y32" s="3162"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4"/>
      <c r="Q33" s="776" t="str">
        <f t="shared" si="11"/>
        <v>项目建筑规模</v>
      </c>
      <c r="R33" s="777" t="s">
        <v>21</v>
      </c>
      <c r="S33" s="778" t="e">
        <f t="shared" si="12"/>
        <v>#N/A</v>
      </c>
      <c r="T33" s="777" t="s">
        <v>21</v>
      </c>
      <c r="U33" s="778" t="e">
        <f t="shared" si="13"/>
        <v>#N/A</v>
      </c>
      <c r="V33" s="777" t="s">
        <v>21</v>
      </c>
      <c r="W33" s="778" t="e">
        <f t="shared" si="14"/>
        <v>#N/A</v>
      </c>
      <c r="X33" s="779"/>
      <c r="Y33" s="3162"/>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4"/>
      <c r="Q34" s="1807" t="str">
        <f t="shared" si="11"/>
        <v>建筑结构</v>
      </c>
      <c r="R34" s="774" t="s">
        <v>21</v>
      </c>
      <c r="S34" s="775">
        <f t="shared" si="12"/>
        <v>100</v>
      </c>
      <c r="T34" s="774" t="s">
        <v>21</v>
      </c>
      <c r="U34" s="775">
        <f t="shared" si="13"/>
        <v>100</v>
      </c>
      <c r="V34" s="774" t="s">
        <v>21</v>
      </c>
      <c r="W34" s="775">
        <f t="shared" si="14"/>
        <v>100</v>
      </c>
      <c r="X34" s="1810"/>
      <c r="Y34" s="3162"/>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4"/>
      <c r="Q35" s="1807" t="str">
        <f t="shared" si="11"/>
        <v>建筑品质</v>
      </c>
      <c r="R35" s="774" t="s">
        <v>21</v>
      </c>
      <c r="S35" s="775">
        <f t="shared" si="12"/>
        <v>100</v>
      </c>
      <c r="T35" s="774" t="s">
        <v>21</v>
      </c>
      <c r="U35" s="775">
        <f t="shared" si="13"/>
        <v>100</v>
      </c>
      <c r="V35" s="774" t="s">
        <v>21</v>
      </c>
      <c r="W35" s="775">
        <f t="shared" si="14"/>
        <v>100</v>
      </c>
      <c r="X35" s="1810"/>
      <c r="Y35" s="3162"/>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4"/>
      <c r="Q36" s="1807" t="str">
        <f t="shared" si="11"/>
        <v>公共部分装修</v>
      </c>
      <c r="R36" s="774" t="s">
        <v>21</v>
      </c>
      <c r="S36" s="775">
        <f t="shared" si="12"/>
        <v>100</v>
      </c>
      <c r="T36" s="774" t="s">
        <v>21</v>
      </c>
      <c r="U36" s="775">
        <f t="shared" si="13"/>
        <v>100</v>
      </c>
      <c r="V36" s="774" t="s">
        <v>21</v>
      </c>
      <c r="W36" s="775">
        <f t="shared" si="14"/>
        <v>100</v>
      </c>
      <c r="X36" s="1810"/>
      <c r="Y36" s="3162"/>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4"/>
      <c r="Q37" s="1792" t="str">
        <f t="shared" si="11"/>
        <v>成新度</v>
      </c>
      <c r="R37" s="770" t="s">
        <v>21</v>
      </c>
      <c r="S37" s="771" t="e">
        <f t="shared" si="12"/>
        <v>#N/A</v>
      </c>
      <c r="T37" s="770" t="s">
        <v>21</v>
      </c>
      <c r="U37" s="771" t="e">
        <f t="shared" si="13"/>
        <v>#N/A</v>
      </c>
      <c r="V37" s="770" t="s">
        <v>21</v>
      </c>
      <c r="W37" s="771" t="e">
        <f t="shared" si="14"/>
        <v>#N/A</v>
      </c>
      <c r="X37" s="772"/>
      <c r="Y37" s="3162"/>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4" t="s">
        <v>2568</v>
      </c>
      <c r="Q38" s="1807" t="str">
        <f t="shared" si="11"/>
        <v>物业管理</v>
      </c>
      <c r="R38" s="774" t="s">
        <v>21</v>
      </c>
      <c r="S38" s="775">
        <f t="shared" si="12"/>
        <v>100</v>
      </c>
      <c r="T38" s="774" t="s">
        <v>21</v>
      </c>
      <c r="U38" s="775">
        <f t="shared" si="13"/>
        <v>100</v>
      </c>
      <c r="V38" s="774" t="s">
        <v>21</v>
      </c>
      <c r="W38" s="775">
        <f t="shared" si="14"/>
        <v>100</v>
      </c>
      <c r="X38" s="1810"/>
      <c r="Y38" s="3162"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4"/>
      <c r="Q39" s="1807" t="str">
        <f t="shared" si="11"/>
        <v>市政基础设施</v>
      </c>
      <c r="R39" s="774" t="s">
        <v>21</v>
      </c>
      <c r="S39" s="775">
        <f t="shared" si="12"/>
        <v>100</v>
      </c>
      <c r="T39" s="774" t="s">
        <v>21</v>
      </c>
      <c r="U39" s="775">
        <f t="shared" si="13"/>
        <v>100</v>
      </c>
      <c r="V39" s="774" t="s">
        <v>21</v>
      </c>
      <c r="W39" s="775">
        <f t="shared" si="14"/>
        <v>100</v>
      </c>
      <c r="X39" s="1810"/>
      <c r="Y39" s="3162"/>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4"/>
      <c r="Q40" s="1807" t="str">
        <f t="shared" si="11"/>
        <v>房型</v>
      </c>
      <c r="R40" s="774" t="s">
        <v>21</v>
      </c>
      <c r="S40" s="775">
        <f t="shared" si="12"/>
        <v>100</v>
      </c>
      <c r="T40" s="774" t="s">
        <v>21</v>
      </c>
      <c r="U40" s="775">
        <f t="shared" si="13"/>
        <v>100</v>
      </c>
      <c r="V40" s="774" t="s">
        <v>21</v>
      </c>
      <c r="W40" s="775">
        <f t="shared" si="14"/>
        <v>100</v>
      </c>
      <c r="X40" s="1810"/>
      <c r="Y40" s="3162"/>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4"/>
      <c r="Q41" s="776" t="str">
        <f t="shared" si="11"/>
        <v>单套/主力户型建筑面积</v>
      </c>
      <c r="R41" s="777" t="s">
        <v>21</v>
      </c>
      <c r="S41" s="778">
        <f t="shared" si="12"/>
        <v>100</v>
      </c>
      <c r="T41" s="777" t="s">
        <v>21</v>
      </c>
      <c r="U41" s="778">
        <f t="shared" si="13"/>
        <v>100</v>
      </c>
      <c r="V41" s="777" t="s">
        <v>21</v>
      </c>
      <c r="W41" s="778">
        <f t="shared" si="14"/>
        <v>100</v>
      </c>
      <c r="X41" s="779"/>
      <c r="Y41" s="3162"/>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4"/>
      <c r="Q42" s="1807" t="str">
        <f t="shared" si="11"/>
        <v>内部装修</v>
      </c>
      <c r="R42" s="774" t="s">
        <v>21</v>
      </c>
      <c r="S42" s="775">
        <f t="shared" si="12"/>
        <v>100</v>
      </c>
      <c r="T42" s="774" t="s">
        <v>21</v>
      </c>
      <c r="U42" s="775">
        <f t="shared" si="13"/>
        <v>100</v>
      </c>
      <c r="V42" s="774" t="s">
        <v>21</v>
      </c>
      <c r="W42" s="775">
        <f t="shared" si="14"/>
        <v>100</v>
      </c>
      <c r="X42" s="1810"/>
      <c r="Y42" s="3162"/>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4"/>
      <c r="Q43" s="1807" t="str">
        <f t="shared" si="11"/>
        <v>内部装修维护情况</v>
      </c>
      <c r="R43" s="774" t="s">
        <v>21</v>
      </c>
      <c r="S43" s="775">
        <f t="shared" si="12"/>
        <v>100</v>
      </c>
      <c r="T43" s="774" t="s">
        <v>21</v>
      </c>
      <c r="U43" s="775">
        <f t="shared" si="13"/>
        <v>100</v>
      </c>
      <c r="V43" s="774" t="s">
        <v>21</v>
      </c>
      <c r="W43" s="775">
        <f t="shared" si="14"/>
        <v>100</v>
      </c>
      <c r="X43" s="1810"/>
      <c r="Y43" s="3162"/>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4"/>
      <c r="Q44" s="1792">
        <f t="shared" si="11"/>
        <v>111</v>
      </c>
      <c r="R44" s="770" t="s">
        <v>21</v>
      </c>
      <c r="S44" s="771">
        <f t="shared" si="12"/>
        <v>100</v>
      </c>
      <c r="T44" s="770" t="s">
        <v>21</v>
      </c>
      <c r="U44" s="771">
        <f t="shared" si="13"/>
        <v>100</v>
      </c>
      <c r="V44" s="770" t="s">
        <v>21</v>
      </c>
      <c r="W44" s="771">
        <f t="shared" si="14"/>
        <v>100</v>
      </c>
      <c r="X44" s="772"/>
      <c r="Y44" s="3162"/>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4"/>
      <c r="Q45" s="1807">
        <f t="shared" si="11"/>
        <v>111</v>
      </c>
      <c r="R45" s="774" t="s">
        <v>21</v>
      </c>
      <c r="S45" s="775">
        <f t="shared" si="12"/>
        <v>100</v>
      </c>
      <c r="T45" s="774" t="s">
        <v>21</v>
      </c>
      <c r="U45" s="775">
        <f t="shared" si="13"/>
        <v>100</v>
      </c>
      <c r="V45" s="774" t="s">
        <v>21</v>
      </c>
      <c r="W45" s="775">
        <f t="shared" si="14"/>
        <v>100</v>
      </c>
      <c r="X45" s="1810"/>
      <c r="Y45" s="3162"/>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5"/>
      <c r="Q46" s="1807">
        <f t="shared" si="11"/>
        <v>111</v>
      </c>
      <c r="R46" s="774" t="s">
        <v>20</v>
      </c>
      <c r="S46" s="775">
        <f t="shared" si="12"/>
        <v>100</v>
      </c>
      <c r="T46" s="774" t="s">
        <v>20</v>
      </c>
      <c r="U46" s="775">
        <f t="shared" si="13"/>
        <v>100</v>
      </c>
      <c r="V46" s="774" t="s">
        <v>20</v>
      </c>
      <c r="W46" s="775">
        <f t="shared" si="14"/>
        <v>100</v>
      </c>
      <c r="X46" s="1810"/>
      <c r="Y46" s="3226"/>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57" t="str">
        <f>A47</f>
        <v>成交单价（元/平方米）</v>
      </c>
      <c r="Q47" s="3157"/>
      <c r="R47" s="3222">
        <f>E47</f>
        <v>0</v>
      </c>
      <c r="S47" s="3222"/>
      <c r="T47" s="3222">
        <f>G47</f>
        <v>0</v>
      </c>
      <c r="U47" s="3222"/>
      <c r="V47" s="3222">
        <f>I47</f>
        <v>0</v>
      </c>
      <c r="W47" s="3222"/>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57" t="str">
        <f>A48</f>
        <v>比较价值（元/平方米）</v>
      </c>
      <c r="Q48" s="3157"/>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51" t="str">
        <f>A49</f>
        <v>估价对象XX用房的比较价值（楼面单价，元/平方米）</v>
      </c>
      <c r="Q49" s="3152"/>
      <c r="R49" s="3221" t="e">
        <f>IF(F1="售价",ROUND(AVERAGE(R48:V48),0),ROUND(AVERAGE(R48:V48),1))</f>
        <v>#DIV/0!</v>
      </c>
      <c r="S49" s="3221"/>
      <c r="T49" s="3221"/>
      <c r="U49" s="3221"/>
      <c r="V49" s="3221"/>
      <c r="W49" s="3221"/>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54" t="s">
        <v>2649</v>
      </c>
      <c r="D4" s="3167"/>
      <c r="E4" s="3168" t="s">
        <v>2650</v>
      </c>
      <c r="F4" s="3169"/>
      <c r="G4" s="3154" t="s">
        <v>2651</v>
      </c>
      <c r="H4" s="3167"/>
      <c r="I4" s="3154" t="s">
        <v>2652</v>
      </c>
      <c r="J4" s="3167"/>
      <c r="K4" s="610" t="s">
        <v>2653</v>
      </c>
      <c r="L4" s="1128"/>
      <c r="M4" s="1129"/>
      <c r="N4" s="1129"/>
      <c r="O4" s="1129"/>
      <c r="P4" s="3170" t="s">
        <v>2654</v>
      </c>
      <c r="Q4" s="3171"/>
      <c r="R4" s="3176" t="s">
        <v>2650</v>
      </c>
      <c r="S4" s="3177"/>
      <c r="T4" s="3176" t="s">
        <v>2651</v>
      </c>
      <c r="U4" s="3177"/>
      <c r="V4" s="3163" t="s">
        <v>2652</v>
      </c>
      <c r="W4" s="3163"/>
      <c r="X4" s="1810"/>
      <c r="Y4" s="3176" t="s">
        <v>2654</v>
      </c>
      <c r="Z4" s="3177"/>
      <c r="AA4" s="3164" t="s">
        <v>2650</v>
      </c>
      <c r="AB4" s="3163" t="s">
        <v>2651</v>
      </c>
      <c r="AC4" s="3164" t="s">
        <v>2652</v>
      </c>
    </row>
    <row r="5" spans="1:29" ht="15">
      <c r="A5" s="404"/>
      <c r="B5" s="405"/>
      <c r="C5" s="3184" t="s">
        <v>2545</v>
      </c>
      <c r="D5" s="3185"/>
      <c r="E5" s="3192" t="s">
        <v>2546</v>
      </c>
      <c r="F5" s="3193"/>
      <c r="G5" s="3184" t="s">
        <v>2547</v>
      </c>
      <c r="H5" s="3185"/>
      <c r="I5" s="3184" t="s">
        <v>2548</v>
      </c>
      <c r="J5" s="3185"/>
      <c r="K5" s="610"/>
      <c r="L5" s="1128"/>
      <c r="M5" s="1129"/>
      <c r="N5" s="1129"/>
      <c r="O5" s="1129"/>
      <c r="P5" s="3172"/>
      <c r="Q5" s="3173"/>
      <c r="R5" s="3178"/>
      <c r="S5" s="3179"/>
      <c r="T5" s="3178"/>
      <c r="U5" s="3179"/>
      <c r="V5" s="3163"/>
      <c r="W5" s="3163"/>
      <c r="X5" s="1810"/>
      <c r="Y5" s="3178"/>
      <c r="Z5" s="3179"/>
      <c r="AA5" s="3165"/>
      <c r="AB5" s="3163"/>
      <c r="AC5" s="3165"/>
    </row>
    <row r="6" spans="1:29" ht="15.75" thickBot="1">
      <c r="A6" s="406"/>
      <c r="B6" s="407"/>
      <c r="C6" s="3189" t="s">
        <v>2549</v>
      </c>
      <c r="D6" s="3183"/>
      <c r="E6" s="3229" t="s">
        <v>2549</v>
      </c>
      <c r="F6" s="3191"/>
      <c r="G6" s="3189" t="s">
        <v>2549</v>
      </c>
      <c r="H6" s="3183"/>
      <c r="I6" s="3189" t="s">
        <v>2549</v>
      </c>
      <c r="J6" s="3183"/>
      <c r="K6" s="610" t="s">
        <v>2550</v>
      </c>
      <c r="L6" s="1128"/>
      <c r="M6" s="1129"/>
      <c r="N6" s="1129"/>
      <c r="O6" s="1129"/>
      <c r="P6" s="3174"/>
      <c r="Q6" s="3175"/>
      <c r="R6" s="3178"/>
      <c r="S6" s="3179"/>
      <c r="T6" s="3180"/>
      <c r="U6" s="3181"/>
      <c r="V6" s="3163"/>
      <c r="W6" s="3163"/>
      <c r="X6" s="1810"/>
      <c r="Y6" s="3180"/>
      <c r="Z6" s="3181"/>
      <c r="AA6" s="3166"/>
      <c r="AB6" s="3163"/>
      <c r="AC6" s="3166"/>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6" t="s">
        <v>2552</v>
      </c>
      <c r="Q7" s="3188"/>
      <c r="R7" s="770" t="s">
        <v>17</v>
      </c>
      <c r="S7" s="771">
        <f t="shared" ref="S7:S15" si="0">F7</f>
        <v>0</v>
      </c>
      <c r="T7" s="770" t="s">
        <v>17</v>
      </c>
      <c r="U7" s="771">
        <f t="shared" ref="U7:U15" si="1">H7</f>
        <v>0</v>
      </c>
      <c r="V7" s="770" t="s">
        <v>17</v>
      </c>
      <c r="W7" s="771">
        <f t="shared" ref="W7:W15" si="2">J7</f>
        <v>0</v>
      </c>
      <c r="X7" s="772"/>
      <c r="Y7" s="3186" t="s">
        <v>2552</v>
      </c>
      <c r="Z7" s="3187"/>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6" t="s">
        <v>2555</v>
      </c>
      <c r="Q8" s="3187"/>
      <c r="R8" s="770" t="s">
        <v>17</v>
      </c>
      <c r="S8" s="771">
        <f t="shared" si="0"/>
        <v>0</v>
      </c>
      <c r="T8" s="770" t="s">
        <v>17</v>
      </c>
      <c r="U8" s="771">
        <f t="shared" si="1"/>
        <v>0</v>
      </c>
      <c r="V8" s="770" t="s">
        <v>17</v>
      </c>
      <c r="W8" s="771">
        <f t="shared" si="2"/>
        <v>0</v>
      </c>
      <c r="X8" s="772"/>
      <c r="Y8" s="3186" t="s">
        <v>2555</v>
      </c>
      <c r="Z8" s="3187"/>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6" t="s">
        <v>2558</v>
      </c>
      <c r="Q9" s="1792"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6"/>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6"/>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6"/>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6"/>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6"/>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7" t="s">
        <v>2563</v>
      </c>
      <c r="Q15" s="1807" t="str">
        <f t="shared" si="6"/>
        <v>商业繁华度</v>
      </c>
      <c r="R15" s="774" t="s">
        <v>17</v>
      </c>
      <c r="S15" s="775">
        <f t="shared" si="0"/>
        <v>100</v>
      </c>
      <c r="T15" s="774" t="s">
        <v>17</v>
      </c>
      <c r="U15" s="775">
        <f t="shared" si="1"/>
        <v>100</v>
      </c>
      <c r="V15" s="774" t="s">
        <v>17</v>
      </c>
      <c r="W15" s="775">
        <f t="shared" si="2"/>
        <v>100</v>
      </c>
      <c r="X15" s="1810"/>
      <c r="Y15" s="3159"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8"/>
      <c r="Q16" s="1807"/>
      <c r="R16" s="774"/>
      <c r="S16" s="775"/>
      <c r="T16" s="774"/>
      <c r="U16" s="775"/>
      <c r="V16" s="774"/>
      <c r="W16" s="775"/>
      <c r="X16" s="1810"/>
      <c r="Y16" s="3160"/>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8"/>
      <c r="Q17" s="1807" t="str">
        <f>B17</f>
        <v>交通便捷度</v>
      </c>
      <c r="R17" s="774" t="s">
        <v>17</v>
      </c>
      <c r="S17" s="775">
        <f>F17</f>
        <v>100</v>
      </c>
      <c r="T17" s="774" t="s">
        <v>17</v>
      </c>
      <c r="U17" s="775">
        <f>H17</f>
        <v>100</v>
      </c>
      <c r="V17" s="774" t="s">
        <v>17</v>
      </c>
      <c r="W17" s="775">
        <f>J17</f>
        <v>100</v>
      </c>
      <c r="X17" s="1810"/>
      <c r="Y17" s="3160"/>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28"/>
      <c r="Q18" s="1807"/>
      <c r="R18" s="774"/>
      <c r="S18" s="775"/>
      <c r="T18" s="774"/>
      <c r="U18" s="775"/>
      <c r="V18" s="774"/>
      <c r="W18" s="775"/>
      <c r="X18" s="1810"/>
      <c r="Y18" s="3160"/>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8"/>
      <c r="Q19" s="1807" t="str">
        <f>B19</f>
        <v>公共配套设施</v>
      </c>
      <c r="R19" s="774" t="s">
        <v>17</v>
      </c>
      <c r="S19" s="775">
        <f>F19</f>
        <v>100</v>
      </c>
      <c r="T19" s="774" t="s">
        <v>17</v>
      </c>
      <c r="U19" s="775">
        <f>H19</f>
        <v>100</v>
      </c>
      <c r="V19" s="774" t="s">
        <v>17</v>
      </c>
      <c r="W19" s="775">
        <f>J19</f>
        <v>100</v>
      </c>
      <c r="X19" s="1810"/>
      <c r="Y19" s="3160"/>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28"/>
      <c r="Q20" s="1807"/>
      <c r="R20" s="774"/>
      <c r="S20" s="775"/>
      <c r="T20" s="774"/>
      <c r="U20" s="775"/>
      <c r="V20" s="774"/>
      <c r="W20" s="775"/>
      <c r="X20" s="1810"/>
      <c r="Y20" s="3160"/>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8"/>
      <c r="Q21" s="1807" t="str">
        <f>B21</f>
        <v>基础设施水平</v>
      </c>
      <c r="R21" s="774" t="s">
        <v>17</v>
      </c>
      <c r="S21" s="775">
        <f>F21</f>
        <v>100</v>
      </c>
      <c r="T21" s="774" t="s">
        <v>17</v>
      </c>
      <c r="U21" s="775">
        <f>H21</f>
        <v>100</v>
      </c>
      <c r="V21" s="774" t="s">
        <v>17</v>
      </c>
      <c r="W21" s="775">
        <f>J21</f>
        <v>100</v>
      </c>
      <c r="X21" s="1810"/>
      <c r="Y21" s="3160"/>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28"/>
      <c r="Q22" s="1807"/>
      <c r="R22" s="774"/>
      <c r="S22" s="775"/>
      <c r="T22" s="774"/>
      <c r="U22" s="775"/>
      <c r="V22" s="774"/>
      <c r="W22" s="775"/>
      <c r="X22" s="1810"/>
      <c r="Y22" s="3160"/>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8"/>
      <c r="Q23" s="1807" t="str">
        <f>B23</f>
        <v>自然及人文环境</v>
      </c>
      <c r="R23" s="774" t="s">
        <v>17</v>
      </c>
      <c r="S23" s="775">
        <f>F23</f>
        <v>100</v>
      </c>
      <c r="T23" s="774" t="s">
        <v>17</v>
      </c>
      <c r="U23" s="775">
        <f>H23</f>
        <v>100</v>
      </c>
      <c r="V23" s="774" t="s">
        <v>17</v>
      </c>
      <c r="W23" s="775">
        <f>J23</f>
        <v>100</v>
      </c>
      <c r="X23" s="1810"/>
      <c r="Y23" s="3160"/>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28"/>
      <c r="Q24" s="1807"/>
      <c r="R24" s="774"/>
      <c r="S24" s="775"/>
      <c r="T24" s="774"/>
      <c r="U24" s="775"/>
      <c r="V24" s="774"/>
      <c r="W24" s="775"/>
      <c r="X24" s="1810"/>
      <c r="Y24" s="3160"/>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8"/>
      <c r="Q25" s="1807" t="str">
        <f t="shared" ref="Q25:Q46" si="11">B25</f>
        <v>临街状况</v>
      </c>
      <c r="R25" s="774" t="s">
        <v>17</v>
      </c>
      <c r="S25" s="775">
        <f>F25</f>
        <v>100</v>
      </c>
      <c r="T25" s="774" t="s">
        <v>17</v>
      </c>
      <c r="U25" s="775">
        <f>H25</f>
        <v>100</v>
      </c>
      <c r="V25" s="774" t="s">
        <v>17</v>
      </c>
      <c r="W25" s="775">
        <f>J25</f>
        <v>100</v>
      </c>
      <c r="X25" s="1810"/>
      <c r="Y25" s="3160"/>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8"/>
      <c r="Q26" s="1807" t="str">
        <f t="shared" si="11"/>
        <v>平面位置/可视性</v>
      </c>
      <c r="R26" s="774" t="s">
        <v>17</v>
      </c>
      <c r="S26" s="775">
        <f>F26</f>
        <v>100</v>
      </c>
      <c r="T26" s="774" t="s">
        <v>17</v>
      </c>
      <c r="U26" s="775">
        <f>H26</f>
        <v>100</v>
      </c>
      <c r="V26" s="774" t="s">
        <v>17</v>
      </c>
      <c r="W26" s="775">
        <f>J26</f>
        <v>100</v>
      </c>
      <c r="X26" s="1810"/>
      <c r="Y26" s="3160"/>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28"/>
      <c r="Q27" s="1792" t="str">
        <f t="shared" si="11"/>
        <v>人流量</v>
      </c>
      <c r="R27" s="770" t="s">
        <v>17</v>
      </c>
      <c r="S27" s="771">
        <f>F27</f>
        <v>100</v>
      </c>
      <c r="T27" s="770" t="s">
        <v>17</v>
      </c>
      <c r="U27" s="771">
        <f>H27</f>
        <v>100</v>
      </c>
      <c r="V27" s="770" t="s">
        <v>17</v>
      </c>
      <c r="W27" s="771">
        <f>J27</f>
        <v>100</v>
      </c>
      <c r="X27" s="772"/>
      <c r="Y27" s="3160"/>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8"/>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60"/>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8"/>
      <c r="Q29" s="1807">
        <f t="shared" si="11"/>
        <v>111</v>
      </c>
      <c r="R29" s="774" t="s">
        <v>17</v>
      </c>
      <c r="S29" s="775">
        <f t="shared" si="12"/>
        <v>100</v>
      </c>
      <c r="T29" s="774" t="s">
        <v>17</v>
      </c>
      <c r="U29" s="775">
        <f t="shared" si="13"/>
        <v>100</v>
      </c>
      <c r="V29" s="774" t="s">
        <v>17</v>
      </c>
      <c r="W29" s="775">
        <f t="shared" si="14"/>
        <v>100</v>
      </c>
      <c r="X29" s="1810"/>
      <c r="Y29" s="3160"/>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8"/>
      <c r="Q30" s="1807">
        <f t="shared" si="11"/>
        <v>111</v>
      </c>
      <c r="R30" s="774" t="s">
        <v>17</v>
      </c>
      <c r="S30" s="775">
        <f t="shared" si="12"/>
        <v>100</v>
      </c>
      <c r="T30" s="774" t="s">
        <v>17</v>
      </c>
      <c r="U30" s="775">
        <f t="shared" si="13"/>
        <v>100</v>
      </c>
      <c r="V30" s="774" t="s">
        <v>17</v>
      </c>
      <c r="W30" s="775">
        <f t="shared" si="14"/>
        <v>100</v>
      </c>
      <c r="X30" s="1810"/>
      <c r="Y30" s="3160"/>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8"/>
      <c r="Q31" s="1807">
        <f t="shared" si="11"/>
        <v>111</v>
      </c>
      <c r="R31" s="774" t="s">
        <v>17</v>
      </c>
      <c r="S31" s="775">
        <f t="shared" si="12"/>
        <v>100</v>
      </c>
      <c r="T31" s="774" t="s">
        <v>17</v>
      </c>
      <c r="U31" s="775">
        <f t="shared" si="13"/>
        <v>100</v>
      </c>
      <c r="V31" s="774" t="s">
        <v>17</v>
      </c>
      <c r="W31" s="775">
        <f t="shared" si="14"/>
        <v>100</v>
      </c>
      <c r="X31" s="1810"/>
      <c r="Y31" s="3160"/>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3" t="s">
        <v>2568</v>
      </c>
      <c r="Q32" s="1807" t="str">
        <f t="shared" si="11"/>
        <v>商业类型</v>
      </c>
      <c r="R32" s="774" t="s">
        <v>17</v>
      </c>
      <c r="S32" s="775">
        <f t="shared" si="12"/>
        <v>100</v>
      </c>
      <c r="T32" s="774" t="s">
        <v>17</v>
      </c>
      <c r="U32" s="775">
        <f t="shared" si="13"/>
        <v>100</v>
      </c>
      <c r="V32" s="774" t="s">
        <v>17</v>
      </c>
      <c r="W32" s="775">
        <f t="shared" si="14"/>
        <v>100</v>
      </c>
      <c r="X32" s="1810"/>
      <c r="Y32" s="3162"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4"/>
      <c r="Q33" s="776" t="str">
        <f t="shared" si="11"/>
        <v>项目建筑规模</v>
      </c>
      <c r="R33" s="777" t="s">
        <v>17</v>
      </c>
      <c r="S33" s="778" t="e">
        <f t="shared" si="12"/>
        <v>#N/A</v>
      </c>
      <c r="T33" s="777" t="s">
        <v>17</v>
      </c>
      <c r="U33" s="778" t="e">
        <f t="shared" si="13"/>
        <v>#N/A</v>
      </c>
      <c r="V33" s="777" t="s">
        <v>17</v>
      </c>
      <c r="W33" s="778" t="e">
        <f t="shared" si="14"/>
        <v>#N/A</v>
      </c>
      <c r="X33" s="779"/>
      <c r="Y33" s="3162"/>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4"/>
      <c r="Q34" s="1807" t="str">
        <f t="shared" si="11"/>
        <v>建筑结构</v>
      </c>
      <c r="R34" s="774" t="s">
        <v>17</v>
      </c>
      <c r="S34" s="775">
        <f t="shared" si="12"/>
        <v>100</v>
      </c>
      <c r="T34" s="774" t="s">
        <v>17</v>
      </c>
      <c r="U34" s="775">
        <f t="shared" si="13"/>
        <v>100</v>
      </c>
      <c r="V34" s="774" t="s">
        <v>17</v>
      </c>
      <c r="W34" s="775">
        <f t="shared" si="14"/>
        <v>100</v>
      </c>
      <c r="X34" s="1810"/>
      <c r="Y34" s="3162"/>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4"/>
      <c r="Q35" s="1807" t="str">
        <f t="shared" si="11"/>
        <v>公共部分装修</v>
      </c>
      <c r="R35" s="774" t="s">
        <v>17</v>
      </c>
      <c r="S35" s="775">
        <f t="shared" si="12"/>
        <v>100</v>
      </c>
      <c r="T35" s="774" t="s">
        <v>17</v>
      </c>
      <c r="U35" s="775">
        <f t="shared" si="13"/>
        <v>100</v>
      </c>
      <c r="V35" s="774" t="s">
        <v>17</v>
      </c>
      <c r="W35" s="775">
        <f t="shared" si="14"/>
        <v>100</v>
      </c>
      <c r="X35" s="1810"/>
      <c r="Y35" s="3162"/>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4"/>
      <c r="Q36" s="1807" t="str">
        <f t="shared" si="11"/>
        <v>成新度</v>
      </c>
      <c r="R36" s="774" t="s">
        <v>17</v>
      </c>
      <c r="S36" s="775" t="e">
        <f t="shared" si="12"/>
        <v>#N/A</v>
      </c>
      <c r="T36" s="774" t="s">
        <v>17</v>
      </c>
      <c r="U36" s="775" t="e">
        <f t="shared" si="13"/>
        <v>#N/A</v>
      </c>
      <c r="V36" s="774" t="s">
        <v>17</v>
      </c>
      <c r="W36" s="775" t="e">
        <f t="shared" si="14"/>
        <v>#N/A</v>
      </c>
      <c r="X36" s="1810"/>
      <c r="Y36" s="3162"/>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4"/>
      <c r="Q37" s="1792" t="str">
        <f t="shared" si="11"/>
        <v>市政基础设施</v>
      </c>
      <c r="R37" s="770" t="s">
        <v>17</v>
      </c>
      <c r="S37" s="771">
        <f t="shared" si="12"/>
        <v>100</v>
      </c>
      <c r="T37" s="770" t="s">
        <v>17</v>
      </c>
      <c r="U37" s="771">
        <f t="shared" si="13"/>
        <v>100</v>
      </c>
      <c r="V37" s="770" t="s">
        <v>17</v>
      </c>
      <c r="W37" s="771">
        <f t="shared" si="14"/>
        <v>100</v>
      </c>
      <c r="X37" s="772"/>
      <c r="Y37" s="3162"/>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4" t="s">
        <v>2568</v>
      </c>
      <c r="Q38" s="1807" t="str">
        <f t="shared" si="11"/>
        <v>业态</v>
      </c>
      <c r="R38" s="774" t="s">
        <v>17</v>
      </c>
      <c r="S38" s="775">
        <f t="shared" si="12"/>
        <v>100</v>
      </c>
      <c r="T38" s="774" t="s">
        <v>17</v>
      </c>
      <c r="U38" s="775">
        <f t="shared" si="13"/>
        <v>100</v>
      </c>
      <c r="V38" s="774" t="s">
        <v>17</v>
      </c>
      <c r="W38" s="775">
        <f t="shared" si="14"/>
        <v>100</v>
      </c>
      <c r="X38" s="1810"/>
      <c r="Y38" s="3162"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4"/>
      <c r="Q39" s="1807" t="str">
        <f t="shared" si="11"/>
        <v>层高</v>
      </c>
      <c r="R39" s="774" t="s">
        <v>17</v>
      </c>
      <c r="S39" s="775">
        <f t="shared" si="12"/>
        <v>100</v>
      </c>
      <c r="T39" s="774" t="s">
        <v>17</v>
      </c>
      <c r="U39" s="775">
        <f t="shared" si="13"/>
        <v>100</v>
      </c>
      <c r="V39" s="774" t="s">
        <v>17</v>
      </c>
      <c r="W39" s="775">
        <f t="shared" si="14"/>
        <v>100</v>
      </c>
      <c r="X39" s="1810"/>
      <c r="Y39" s="3162"/>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4"/>
      <c r="Q40" s="1807" t="str">
        <f t="shared" si="11"/>
        <v>单套建筑面积</v>
      </c>
      <c r="R40" s="774" t="s">
        <v>17</v>
      </c>
      <c r="S40" s="775">
        <f t="shared" si="12"/>
        <v>100</v>
      </c>
      <c r="T40" s="774" t="s">
        <v>17</v>
      </c>
      <c r="U40" s="775">
        <f t="shared" si="13"/>
        <v>100</v>
      </c>
      <c r="V40" s="774" t="s">
        <v>17</v>
      </c>
      <c r="W40" s="775">
        <f t="shared" si="14"/>
        <v>100</v>
      </c>
      <c r="X40" s="1810"/>
      <c r="Y40" s="3162"/>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4"/>
      <c r="Q41" s="776" t="str">
        <f t="shared" si="11"/>
        <v>进深比</v>
      </c>
      <c r="R41" s="777" t="s">
        <v>17</v>
      </c>
      <c r="S41" s="778">
        <f t="shared" si="12"/>
        <v>100</v>
      </c>
      <c r="T41" s="777" t="s">
        <v>17</v>
      </c>
      <c r="U41" s="778">
        <f t="shared" si="13"/>
        <v>100</v>
      </c>
      <c r="V41" s="777" t="s">
        <v>17</v>
      </c>
      <c r="W41" s="778">
        <f t="shared" si="14"/>
        <v>100</v>
      </c>
      <c r="X41" s="779"/>
      <c r="Y41" s="3162"/>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4"/>
      <c r="Q42" s="1807" t="str">
        <f t="shared" si="11"/>
        <v>内部装修</v>
      </c>
      <c r="R42" s="774" t="s">
        <v>17</v>
      </c>
      <c r="S42" s="775">
        <f t="shared" si="12"/>
        <v>100</v>
      </c>
      <c r="T42" s="774" t="s">
        <v>17</v>
      </c>
      <c r="U42" s="775">
        <f t="shared" si="13"/>
        <v>100</v>
      </c>
      <c r="V42" s="774" t="s">
        <v>17</v>
      </c>
      <c r="W42" s="775">
        <f t="shared" si="14"/>
        <v>100</v>
      </c>
      <c r="X42" s="1810"/>
      <c r="Y42" s="3162"/>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4"/>
      <c r="Q43" s="1807" t="str">
        <f t="shared" si="11"/>
        <v>内部装修维护情况</v>
      </c>
      <c r="R43" s="774" t="s">
        <v>17</v>
      </c>
      <c r="S43" s="775">
        <f t="shared" si="12"/>
        <v>100</v>
      </c>
      <c r="T43" s="774" t="s">
        <v>17</v>
      </c>
      <c r="U43" s="775">
        <f t="shared" si="13"/>
        <v>100</v>
      </c>
      <c r="V43" s="774" t="s">
        <v>17</v>
      </c>
      <c r="W43" s="775">
        <f t="shared" si="14"/>
        <v>100</v>
      </c>
      <c r="X43" s="1810"/>
      <c r="Y43" s="3162"/>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4"/>
      <c r="Q44" s="1792">
        <f t="shared" si="11"/>
        <v>111</v>
      </c>
      <c r="R44" s="770" t="s">
        <v>17</v>
      </c>
      <c r="S44" s="771">
        <f t="shared" si="12"/>
        <v>100</v>
      </c>
      <c r="T44" s="770" t="s">
        <v>17</v>
      </c>
      <c r="U44" s="771">
        <f t="shared" si="13"/>
        <v>100</v>
      </c>
      <c r="V44" s="770" t="s">
        <v>17</v>
      </c>
      <c r="W44" s="771">
        <f t="shared" si="14"/>
        <v>100</v>
      </c>
      <c r="X44" s="772"/>
      <c r="Y44" s="3162"/>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4"/>
      <c r="Q45" s="1807">
        <f t="shared" si="11"/>
        <v>111</v>
      </c>
      <c r="R45" s="774" t="s">
        <v>17</v>
      </c>
      <c r="S45" s="775">
        <f t="shared" si="12"/>
        <v>100</v>
      </c>
      <c r="T45" s="774" t="s">
        <v>17</v>
      </c>
      <c r="U45" s="775">
        <f t="shared" si="13"/>
        <v>100</v>
      </c>
      <c r="V45" s="774" t="s">
        <v>17</v>
      </c>
      <c r="W45" s="775">
        <f t="shared" si="14"/>
        <v>100</v>
      </c>
      <c r="X45" s="1810"/>
      <c r="Y45" s="3162"/>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5"/>
      <c r="Q46" s="1807">
        <f t="shared" si="11"/>
        <v>111</v>
      </c>
      <c r="R46" s="774" t="s">
        <v>17</v>
      </c>
      <c r="S46" s="775">
        <f t="shared" si="12"/>
        <v>100</v>
      </c>
      <c r="T46" s="774" t="s">
        <v>17</v>
      </c>
      <c r="U46" s="775">
        <f t="shared" si="13"/>
        <v>100</v>
      </c>
      <c r="V46" s="774" t="s">
        <v>17</v>
      </c>
      <c r="W46" s="775">
        <f t="shared" si="14"/>
        <v>100</v>
      </c>
      <c r="X46" s="1810"/>
      <c r="Y46" s="3226"/>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57" t="str">
        <f>A47</f>
        <v>成交单价（元/平方米）</v>
      </c>
      <c r="Q47" s="3157"/>
      <c r="R47" s="3163">
        <f>E47</f>
        <v>0</v>
      </c>
      <c r="S47" s="3163"/>
      <c r="T47" s="3163">
        <f>G47</f>
        <v>0</v>
      </c>
      <c r="U47" s="3163"/>
      <c r="V47" s="3163">
        <f>I47</f>
        <v>0</v>
      </c>
      <c r="W47" s="3163"/>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57" t="str">
        <f>A48</f>
        <v>比较价值（元/平方米）</v>
      </c>
      <c r="Q48" s="3157"/>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51" t="str">
        <f>A49</f>
        <v>估价对象XX用房的比较价值（楼面单价，元/平方米）</v>
      </c>
      <c r="Q49" s="3152"/>
      <c r="R49" s="3221" t="e">
        <f>IF(F1="售价",ROUND(AVERAGE(R48:V48),0),ROUND(AVERAGE(R48:V48),1))</f>
        <v>#DIV/0!</v>
      </c>
      <c r="S49" s="3221"/>
      <c r="T49" s="3221"/>
      <c r="U49" s="3221"/>
      <c r="V49" s="3221"/>
      <c r="W49" s="3221"/>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54" t="s">
        <v>2649</v>
      </c>
      <c r="D4" s="3167"/>
      <c r="E4" s="3168" t="s">
        <v>2650</v>
      </c>
      <c r="F4" s="3169"/>
      <c r="G4" s="3154" t="s">
        <v>2651</v>
      </c>
      <c r="H4" s="3167"/>
      <c r="I4" s="3154" t="s">
        <v>2652</v>
      </c>
      <c r="J4" s="3167"/>
      <c r="K4" s="610" t="s">
        <v>2653</v>
      </c>
      <c r="L4" s="1128"/>
      <c r="M4" s="1129"/>
      <c r="N4" s="1129"/>
      <c r="O4" s="1129"/>
      <c r="P4" s="3236" t="s">
        <v>2654</v>
      </c>
      <c r="Q4" s="3237"/>
      <c r="R4" s="3240" t="s">
        <v>2650</v>
      </c>
      <c r="S4" s="3241"/>
      <c r="T4" s="3240" t="s">
        <v>2651</v>
      </c>
      <c r="U4" s="3241"/>
      <c r="V4" s="3242" t="s">
        <v>2652</v>
      </c>
      <c r="W4" s="3242"/>
      <c r="X4" s="2670"/>
      <c r="Y4" s="3240" t="s">
        <v>2654</v>
      </c>
      <c r="Z4" s="3241"/>
      <c r="AA4" s="3244" t="s">
        <v>2650</v>
      </c>
      <c r="AB4" s="3244" t="s">
        <v>2651</v>
      </c>
      <c r="AC4" s="3233" t="s">
        <v>2652</v>
      </c>
    </row>
    <row r="5" spans="1:29" ht="15">
      <c r="A5" s="404"/>
      <c r="B5" s="405"/>
      <c r="C5" s="3184" t="s">
        <v>2545</v>
      </c>
      <c r="D5" s="3185"/>
      <c r="E5" s="3192" t="s">
        <v>2546</v>
      </c>
      <c r="F5" s="3193"/>
      <c r="G5" s="3184" t="s">
        <v>2547</v>
      </c>
      <c r="H5" s="3185"/>
      <c r="I5" s="3184" t="s">
        <v>2548</v>
      </c>
      <c r="J5" s="3185"/>
      <c r="K5" s="610"/>
      <c r="L5" s="1128"/>
      <c r="M5" s="1129"/>
      <c r="N5" s="1129"/>
      <c r="O5" s="1129"/>
      <c r="P5" s="3238"/>
      <c r="Q5" s="3173"/>
      <c r="R5" s="3178"/>
      <c r="S5" s="3179"/>
      <c r="T5" s="3178"/>
      <c r="U5" s="3179"/>
      <c r="V5" s="3163"/>
      <c r="W5" s="3163"/>
      <c r="X5" s="1810"/>
      <c r="Y5" s="3178"/>
      <c r="Z5" s="3179"/>
      <c r="AA5" s="3165"/>
      <c r="AB5" s="3165"/>
      <c r="AC5" s="3234"/>
    </row>
    <row r="6" spans="1:29" ht="15.75" thickBot="1">
      <c r="A6" s="406"/>
      <c r="B6" s="407"/>
      <c r="C6" s="3189" t="s">
        <v>2549</v>
      </c>
      <c r="D6" s="3183"/>
      <c r="E6" s="3229" t="s">
        <v>2549</v>
      </c>
      <c r="F6" s="3191"/>
      <c r="G6" s="3189" t="s">
        <v>2549</v>
      </c>
      <c r="H6" s="3183"/>
      <c r="I6" s="3189" t="s">
        <v>2549</v>
      </c>
      <c r="J6" s="3183"/>
      <c r="K6" s="610" t="s">
        <v>2550</v>
      </c>
      <c r="L6" s="1128"/>
      <c r="M6" s="1129"/>
      <c r="N6" s="1129"/>
      <c r="O6" s="1129"/>
      <c r="P6" s="3239"/>
      <c r="Q6" s="3175"/>
      <c r="R6" s="3178"/>
      <c r="S6" s="3179"/>
      <c r="T6" s="3180"/>
      <c r="U6" s="3181"/>
      <c r="V6" s="3163"/>
      <c r="W6" s="3163"/>
      <c r="X6" s="1810"/>
      <c r="Y6" s="3180"/>
      <c r="Z6" s="3181"/>
      <c r="AA6" s="3166"/>
      <c r="AB6" s="3166"/>
      <c r="AC6" s="3235"/>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3" t="s">
        <v>2552</v>
      </c>
      <c r="Q7" s="3188"/>
      <c r="R7" s="770" t="s">
        <v>17</v>
      </c>
      <c r="S7" s="771">
        <f t="shared" ref="S7:S15" si="0">F7</f>
        <v>0</v>
      </c>
      <c r="T7" s="770" t="s">
        <v>17</v>
      </c>
      <c r="U7" s="771">
        <f t="shared" ref="U7:U15" si="1">H7</f>
        <v>0</v>
      </c>
      <c r="V7" s="770" t="s">
        <v>17</v>
      </c>
      <c r="W7" s="771">
        <f t="shared" ref="W7:W15" si="2">J7</f>
        <v>0</v>
      </c>
      <c r="X7" s="772"/>
      <c r="Y7" s="3186" t="s">
        <v>2552</v>
      </c>
      <c r="Z7" s="3187"/>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3" t="s">
        <v>2555</v>
      </c>
      <c r="Q8" s="3187"/>
      <c r="R8" s="770" t="s">
        <v>17</v>
      </c>
      <c r="S8" s="771">
        <f t="shared" si="0"/>
        <v>0</v>
      </c>
      <c r="T8" s="770" t="s">
        <v>17</v>
      </c>
      <c r="U8" s="771">
        <f t="shared" si="1"/>
        <v>0</v>
      </c>
      <c r="V8" s="770" t="s">
        <v>17</v>
      </c>
      <c r="W8" s="771">
        <f t="shared" si="2"/>
        <v>0</v>
      </c>
      <c r="X8" s="772"/>
      <c r="Y8" s="3186" t="s">
        <v>2555</v>
      </c>
      <c r="Z8" s="3187"/>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56" t="s">
        <v>2558</v>
      </c>
      <c r="Q9" s="1792"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56"/>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56"/>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6"/>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6"/>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6"/>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7" t="s">
        <v>2563</v>
      </c>
      <c r="Q15" s="1807" t="str">
        <f t="shared" si="6"/>
        <v>办公集聚程度</v>
      </c>
      <c r="R15" s="774" t="s">
        <v>17</v>
      </c>
      <c r="S15" s="775">
        <f t="shared" si="0"/>
        <v>100</v>
      </c>
      <c r="T15" s="774" t="s">
        <v>17</v>
      </c>
      <c r="U15" s="775">
        <f t="shared" si="1"/>
        <v>100</v>
      </c>
      <c r="V15" s="774" t="s">
        <v>17</v>
      </c>
      <c r="W15" s="775">
        <f t="shared" si="2"/>
        <v>100</v>
      </c>
      <c r="X15" s="1810"/>
      <c r="Y15" s="3159"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28"/>
      <c r="Q16" s="1807"/>
      <c r="R16" s="774"/>
      <c r="S16" s="775"/>
      <c r="T16" s="774"/>
      <c r="U16" s="775"/>
      <c r="V16" s="774"/>
      <c r="W16" s="775"/>
      <c r="X16" s="1810"/>
      <c r="Y16" s="3160"/>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8"/>
      <c r="Q17" s="1807" t="str">
        <f>B17</f>
        <v>交通便捷度</v>
      </c>
      <c r="R17" s="774" t="s">
        <v>17</v>
      </c>
      <c r="S17" s="775">
        <f>F17</f>
        <v>100</v>
      </c>
      <c r="T17" s="774" t="s">
        <v>17</v>
      </c>
      <c r="U17" s="775">
        <f>H17</f>
        <v>100</v>
      </c>
      <c r="V17" s="774" t="s">
        <v>17</v>
      </c>
      <c r="W17" s="775">
        <f>J17</f>
        <v>100</v>
      </c>
      <c r="X17" s="1810"/>
      <c r="Y17" s="3160"/>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28"/>
      <c r="Q18" s="1807"/>
      <c r="R18" s="774"/>
      <c r="S18" s="775"/>
      <c r="T18" s="774"/>
      <c r="U18" s="775"/>
      <c r="V18" s="774"/>
      <c r="W18" s="775"/>
      <c r="X18" s="1810"/>
      <c r="Y18" s="3160"/>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8"/>
      <c r="Q19" s="1807" t="str">
        <f>B19</f>
        <v>公共配套设施</v>
      </c>
      <c r="R19" s="774" t="s">
        <v>17</v>
      </c>
      <c r="S19" s="775">
        <f>F19</f>
        <v>100</v>
      </c>
      <c r="T19" s="774" t="s">
        <v>17</v>
      </c>
      <c r="U19" s="775">
        <f>H19</f>
        <v>100</v>
      </c>
      <c r="V19" s="774" t="s">
        <v>17</v>
      </c>
      <c r="W19" s="775">
        <f>J19</f>
        <v>100</v>
      </c>
      <c r="X19" s="1810"/>
      <c r="Y19" s="3160"/>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28"/>
      <c r="Q20" s="1807"/>
      <c r="R20" s="774"/>
      <c r="S20" s="775"/>
      <c r="T20" s="774"/>
      <c r="U20" s="775"/>
      <c r="V20" s="774"/>
      <c r="W20" s="775"/>
      <c r="X20" s="1810"/>
      <c r="Y20" s="3160"/>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8"/>
      <c r="Q21" s="1807" t="str">
        <f>B21</f>
        <v>基础设施水平</v>
      </c>
      <c r="R21" s="774" t="s">
        <v>17</v>
      </c>
      <c r="S21" s="775">
        <f>F21</f>
        <v>100</v>
      </c>
      <c r="T21" s="774" t="s">
        <v>17</v>
      </c>
      <c r="U21" s="775">
        <f>H21</f>
        <v>100</v>
      </c>
      <c r="V21" s="774" t="s">
        <v>17</v>
      </c>
      <c r="W21" s="775">
        <f>J21</f>
        <v>100</v>
      </c>
      <c r="X21" s="1810"/>
      <c r="Y21" s="3160"/>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28"/>
      <c r="Q22" s="1807"/>
      <c r="R22" s="774"/>
      <c r="S22" s="775"/>
      <c r="T22" s="774"/>
      <c r="U22" s="775"/>
      <c r="V22" s="774"/>
      <c r="W22" s="775"/>
      <c r="X22" s="1810"/>
      <c r="Y22" s="3160"/>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8"/>
      <c r="Q23" s="1807" t="str">
        <f>B23</f>
        <v>环境质量</v>
      </c>
      <c r="R23" s="774" t="s">
        <v>17</v>
      </c>
      <c r="S23" s="775">
        <f>F23</f>
        <v>100</v>
      </c>
      <c r="T23" s="774" t="s">
        <v>17</v>
      </c>
      <c r="U23" s="775">
        <f>H23</f>
        <v>100</v>
      </c>
      <c r="V23" s="774" t="s">
        <v>17</v>
      </c>
      <c r="W23" s="775">
        <f>J23</f>
        <v>100</v>
      </c>
      <c r="X23" s="1810"/>
      <c r="Y23" s="3160"/>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28"/>
      <c r="Q24" s="1807"/>
      <c r="R24" s="774"/>
      <c r="S24" s="775"/>
      <c r="T24" s="774"/>
      <c r="U24" s="775"/>
      <c r="V24" s="774"/>
      <c r="W24" s="775"/>
      <c r="X24" s="1810"/>
      <c r="Y24" s="3160"/>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28"/>
      <c r="Q25" s="1807" t="str">
        <f>B25</f>
        <v>毗邻道路的类型与等级</v>
      </c>
      <c r="R25" s="774" t="s">
        <v>17</v>
      </c>
      <c r="S25" s="775">
        <f>F25</f>
        <v>100</v>
      </c>
      <c r="T25" s="774" t="s">
        <v>17</v>
      </c>
      <c r="U25" s="775">
        <f>H25</f>
        <v>100</v>
      </c>
      <c r="V25" s="774" t="s">
        <v>17</v>
      </c>
      <c r="W25" s="775">
        <f>J25</f>
        <v>100</v>
      </c>
      <c r="X25" s="1810"/>
      <c r="Y25" s="3160"/>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28"/>
      <c r="Q26" s="1807"/>
      <c r="R26" s="774"/>
      <c r="S26" s="775"/>
      <c r="T26" s="774"/>
      <c r="U26" s="775"/>
      <c r="V26" s="774"/>
      <c r="W26" s="775"/>
      <c r="X26" s="1810"/>
      <c r="Y26" s="3160"/>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8"/>
      <c r="Q27" s="1807" t="str">
        <f t="shared" ref="Q27:Q47" si="11">B27</f>
        <v>楼层</v>
      </c>
      <c r="R27" s="774" t="s">
        <v>17</v>
      </c>
      <c r="S27" s="775">
        <f>F27</f>
        <v>100</v>
      </c>
      <c r="T27" s="774" t="s">
        <v>17</v>
      </c>
      <c r="U27" s="775">
        <f>H27</f>
        <v>100</v>
      </c>
      <c r="V27" s="774" t="s">
        <v>17</v>
      </c>
      <c r="W27" s="775">
        <f>J27</f>
        <v>100</v>
      </c>
      <c r="X27" s="1810"/>
      <c r="Y27" s="3160"/>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28"/>
      <c r="Q28" s="1792" t="str">
        <f t="shared" si="11"/>
        <v>朝向</v>
      </c>
      <c r="R28" s="770" t="s">
        <v>17</v>
      </c>
      <c r="S28" s="771">
        <f>F28</f>
        <v>100</v>
      </c>
      <c r="T28" s="770" t="s">
        <v>17</v>
      </c>
      <c r="U28" s="771">
        <f>H28</f>
        <v>100</v>
      </c>
      <c r="V28" s="770" t="s">
        <v>17</v>
      </c>
      <c r="W28" s="771">
        <f>J28</f>
        <v>100</v>
      </c>
      <c r="X28" s="772"/>
      <c r="Y28" s="3160"/>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28"/>
      <c r="Q29" s="1807">
        <f t="shared" si="11"/>
        <v>111</v>
      </c>
      <c r="R29" s="774" t="s">
        <v>17</v>
      </c>
      <c r="S29" s="775">
        <f t="shared" ref="S29:S47" si="12">F29</f>
        <v>100</v>
      </c>
      <c r="T29" s="774" t="s">
        <v>17</v>
      </c>
      <c r="U29" s="775">
        <f t="shared" ref="U29:U47" si="13">H29</f>
        <v>100</v>
      </c>
      <c r="V29" s="774" t="s">
        <v>17</v>
      </c>
      <c r="W29" s="775">
        <f t="shared" ref="W29:W47" si="14">J29</f>
        <v>100</v>
      </c>
      <c r="X29" s="1810"/>
      <c r="Y29" s="3160"/>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28"/>
      <c r="Q30" s="1807">
        <f t="shared" si="11"/>
        <v>111</v>
      </c>
      <c r="R30" s="774" t="s">
        <v>17</v>
      </c>
      <c r="S30" s="775">
        <f t="shared" si="12"/>
        <v>100</v>
      </c>
      <c r="T30" s="774" t="s">
        <v>17</v>
      </c>
      <c r="U30" s="775">
        <f t="shared" si="13"/>
        <v>100</v>
      </c>
      <c r="V30" s="774" t="s">
        <v>17</v>
      </c>
      <c r="W30" s="775">
        <f t="shared" si="14"/>
        <v>100</v>
      </c>
      <c r="X30" s="1810"/>
      <c r="Y30" s="3160"/>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28"/>
      <c r="Q31" s="1807">
        <f t="shared" si="11"/>
        <v>111</v>
      </c>
      <c r="R31" s="774" t="s">
        <v>17</v>
      </c>
      <c r="S31" s="775">
        <f t="shared" si="12"/>
        <v>100</v>
      </c>
      <c r="T31" s="774" t="s">
        <v>17</v>
      </c>
      <c r="U31" s="775">
        <f t="shared" si="13"/>
        <v>100</v>
      </c>
      <c r="V31" s="774" t="s">
        <v>17</v>
      </c>
      <c r="W31" s="775">
        <f t="shared" si="14"/>
        <v>100</v>
      </c>
      <c r="X31" s="1810"/>
      <c r="Y31" s="3160"/>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28"/>
      <c r="Q32" s="1807">
        <f t="shared" si="11"/>
        <v>111</v>
      </c>
      <c r="R32" s="774" t="s">
        <v>17</v>
      </c>
      <c r="S32" s="775">
        <f t="shared" si="12"/>
        <v>100</v>
      </c>
      <c r="T32" s="774" t="s">
        <v>17</v>
      </c>
      <c r="U32" s="775">
        <f t="shared" si="13"/>
        <v>100</v>
      </c>
      <c r="V32" s="774" t="s">
        <v>17</v>
      </c>
      <c r="W32" s="775">
        <f t="shared" si="14"/>
        <v>100</v>
      </c>
      <c r="X32" s="1810"/>
      <c r="Y32" s="3160"/>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3" t="s">
        <v>2568</v>
      </c>
      <c r="Q33" s="1807" t="str">
        <f t="shared" si="11"/>
        <v>建筑类型</v>
      </c>
      <c r="R33" s="774" t="s">
        <v>17</v>
      </c>
      <c r="S33" s="775">
        <f t="shared" si="12"/>
        <v>100</v>
      </c>
      <c r="T33" s="774" t="s">
        <v>17</v>
      </c>
      <c r="U33" s="775">
        <f t="shared" si="13"/>
        <v>100</v>
      </c>
      <c r="V33" s="774" t="s">
        <v>17</v>
      </c>
      <c r="W33" s="775">
        <f t="shared" si="14"/>
        <v>100</v>
      </c>
      <c r="X33" s="1810"/>
      <c r="Y33" s="3162"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4"/>
      <c r="Q34" s="776" t="str">
        <f t="shared" si="11"/>
        <v>项目建筑规模</v>
      </c>
      <c r="R34" s="777" t="s">
        <v>17</v>
      </c>
      <c r="S34" s="778" t="e">
        <f t="shared" si="12"/>
        <v>#N/A</v>
      </c>
      <c r="T34" s="777" t="s">
        <v>17</v>
      </c>
      <c r="U34" s="778" t="e">
        <f t="shared" si="13"/>
        <v>#N/A</v>
      </c>
      <c r="V34" s="777" t="s">
        <v>17</v>
      </c>
      <c r="W34" s="778" t="e">
        <f t="shared" si="14"/>
        <v>#N/A</v>
      </c>
      <c r="X34" s="779"/>
      <c r="Y34" s="3162"/>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4"/>
      <c r="Q35" s="1807" t="str">
        <f t="shared" si="11"/>
        <v>建筑结构</v>
      </c>
      <c r="R35" s="774" t="s">
        <v>17</v>
      </c>
      <c r="S35" s="775">
        <f t="shared" si="12"/>
        <v>100</v>
      </c>
      <c r="T35" s="774" t="s">
        <v>17</v>
      </c>
      <c r="U35" s="775">
        <f t="shared" si="13"/>
        <v>100</v>
      </c>
      <c r="V35" s="774" t="s">
        <v>17</v>
      </c>
      <c r="W35" s="775">
        <f t="shared" si="14"/>
        <v>100</v>
      </c>
      <c r="X35" s="1810"/>
      <c r="Y35" s="3162"/>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4"/>
      <c r="Q36" s="1807" t="str">
        <f t="shared" si="11"/>
        <v>公共部分装修</v>
      </c>
      <c r="R36" s="774" t="s">
        <v>17</v>
      </c>
      <c r="S36" s="775">
        <f t="shared" si="12"/>
        <v>100</v>
      </c>
      <c r="T36" s="774" t="s">
        <v>17</v>
      </c>
      <c r="U36" s="775">
        <f t="shared" si="13"/>
        <v>100</v>
      </c>
      <c r="V36" s="774" t="s">
        <v>17</v>
      </c>
      <c r="W36" s="775">
        <f t="shared" si="14"/>
        <v>100</v>
      </c>
      <c r="X36" s="1810"/>
      <c r="Y36" s="3162"/>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4"/>
      <c r="Q37" s="1807" t="str">
        <f t="shared" si="11"/>
        <v>成新度</v>
      </c>
      <c r="R37" s="774" t="s">
        <v>17</v>
      </c>
      <c r="S37" s="775" t="e">
        <f t="shared" si="12"/>
        <v>#N/A</v>
      </c>
      <c r="T37" s="774" t="s">
        <v>17</v>
      </c>
      <c r="U37" s="775" t="e">
        <f t="shared" si="13"/>
        <v>#N/A</v>
      </c>
      <c r="V37" s="774" t="s">
        <v>17</v>
      </c>
      <c r="W37" s="775" t="e">
        <f t="shared" si="14"/>
        <v>#N/A</v>
      </c>
      <c r="X37" s="1810"/>
      <c r="Y37" s="3162"/>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4"/>
      <c r="Q38" s="1792" t="str">
        <f t="shared" si="11"/>
        <v>写字楼等级</v>
      </c>
      <c r="R38" s="770" t="s">
        <v>17</v>
      </c>
      <c r="S38" s="771">
        <f t="shared" si="12"/>
        <v>100</v>
      </c>
      <c r="T38" s="770" t="s">
        <v>17</v>
      </c>
      <c r="U38" s="771">
        <f t="shared" si="13"/>
        <v>100</v>
      </c>
      <c r="V38" s="770" t="s">
        <v>17</v>
      </c>
      <c r="W38" s="771">
        <f t="shared" si="14"/>
        <v>100</v>
      </c>
      <c r="X38" s="772"/>
      <c r="Y38" s="3162"/>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4" t="s">
        <v>2568</v>
      </c>
      <c r="Q39" s="1807" t="str">
        <f t="shared" si="11"/>
        <v>物业管理</v>
      </c>
      <c r="R39" s="774" t="s">
        <v>17</v>
      </c>
      <c r="S39" s="775">
        <f t="shared" si="12"/>
        <v>100</v>
      </c>
      <c r="T39" s="774" t="s">
        <v>17</v>
      </c>
      <c r="U39" s="775">
        <f t="shared" si="13"/>
        <v>100</v>
      </c>
      <c r="V39" s="774" t="s">
        <v>17</v>
      </c>
      <c r="W39" s="775">
        <f t="shared" si="14"/>
        <v>100</v>
      </c>
      <c r="X39" s="1810"/>
      <c r="Y39" s="3162"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4"/>
      <c r="Q40" s="1807" t="str">
        <f t="shared" si="11"/>
        <v>市政基础设施</v>
      </c>
      <c r="R40" s="774" t="s">
        <v>17</v>
      </c>
      <c r="S40" s="775">
        <f t="shared" si="12"/>
        <v>100</v>
      </c>
      <c r="T40" s="774" t="s">
        <v>17</v>
      </c>
      <c r="U40" s="775">
        <f t="shared" si="13"/>
        <v>100</v>
      </c>
      <c r="V40" s="774" t="s">
        <v>17</v>
      </c>
      <c r="W40" s="775">
        <f t="shared" si="14"/>
        <v>100</v>
      </c>
      <c r="X40" s="1810"/>
      <c r="Y40" s="3162"/>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4"/>
      <c r="Q41" s="1807" t="str">
        <f t="shared" si="11"/>
        <v>层高</v>
      </c>
      <c r="R41" s="774" t="s">
        <v>17</v>
      </c>
      <c r="S41" s="775">
        <f t="shared" si="12"/>
        <v>100</v>
      </c>
      <c r="T41" s="774" t="s">
        <v>17</v>
      </c>
      <c r="U41" s="775">
        <f t="shared" si="13"/>
        <v>100</v>
      </c>
      <c r="V41" s="774" t="s">
        <v>17</v>
      </c>
      <c r="W41" s="775">
        <f t="shared" si="14"/>
        <v>100</v>
      </c>
      <c r="X41" s="1810"/>
      <c r="Y41" s="3162"/>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4"/>
      <c r="Q42" s="776" t="str">
        <f t="shared" si="11"/>
        <v>单套建筑面积</v>
      </c>
      <c r="R42" s="777" t="s">
        <v>17</v>
      </c>
      <c r="S42" s="778">
        <f t="shared" si="12"/>
        <v>100</v>
      </c>
      <c r="T42" s="777" t="s">
        <v>17</v>
      </c>
      <c r="U42" s="778">
        <f t="shared" si="13"/>
        <v>100</v>
      </c>
      <c r="V42" s="777" t="s">
        <v>17</v>
      </c>
      <c r="W42" s="778">
        <f t="shared" si="14"/>
        <v>100</v>
      </c>
      <c r="X42" s="779"/>
      <c r="Y42" s="3162"/>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4"/>
      <c r="Q43" s="1807" t="str">
        <f t="shared" si="11"/>
        <v>内部装修</v>
      </c>
      <c r="R43" s="774" t="s">
        <v>17</v>
      </c>
      <c r="S43" s="775">
        <f t="shared" si="12"/>
        <v>100</v>
      </c>
      <c r="T43" s="774" t="s">
        <v>17</v>
      </c>
      <c r="U43" s="775">
        <f t="shared" si="13"/>
        <v>100</v>
      </c>
      <c r="V43" s="774" t="s">
        <v>17</v>
      </c>
      <c r="W43" s="775">
        <f t="shared" si="14"/>
        <v>100</v>
      </c>
      <c r="X43" s="1810"/>
      <c r="Y43" s="3162"/>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4"/>
      <c r="Q44" s="1807" t="str">
        <f t="shared" si="11"/>
        <v>内部装修维护情况</v>
      </c>
      <c r="R44" s="774" t="s">
        <v>17</v>
      </c>
      <c r="S44" s="775">
        <f t="shared" si="12"/>
        <v>100</v>
      </c>
      <c r="T44" s="774" t="s">
        <v>17</v>
      </c>
      <c r="U44" s="775">
        <f t="shared" si="13"/>
        <v>100</v>
      </c>
      <c r="V44" s="774" t="s">
        <v>17</v>
      </c>
      <c r="W44" s="775">
        <f t="shared" si="14"/>
        <v>100</v>
      </c>
      <c r="X44" s="1810"/>
      <c r="Y44" s="3162"/>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4"/>
      <c r="Q45" s="1792">
        <f t="shared" si="11"/>
        <v>111</v>
      </c>
      <c r="R45" s="770" t="s">
        <v>17</v>
      </c>
      <c r="S45" s="771">
        <f t="shared" si="12"/>
        <v>100</v>
      </c>
      <c r="T45" s="770" t="s">
        <v>17</v>
      </c>
      <c r="U45" s="771">
        <f t="shared" si="13"/>
        <v>100</v>
      </c>
      <c r="V45" s="770" t="s">
        <v>17</v>
      </c>
      <c r="W45" s="771">
        <f t="shared" si="14"/>
        <v>100</v>
      </c>
      <c r="X45" s="772"/>
      <c r="Y45" s="3162"/>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4"/>
      <c r="Q46" s="1807">
        <f t="shared" si="11"/>
        <v>111</v>
      </c>
      <c r="R46" s="774" t="s">
        <v>17</v>
      </c>
      <c r="S46" s="775">
        <f t="shared" si="12"/>
        <v>100</v>
      </c>
      <c r="T46" s="774" t="s">
        <v>17</v>
      </c>
      <c r="U46" s="775">
        <f t="shared" si="13"/>
        <v>100</v>
      </c>
      <c r="V46" s="774" t="s">
        <v>17</v>
      </c>
      <c r="W46" s="775">
        <f t="shared" si="14"/>
        <v>100</v>
      </c>
      <c r="X46" s="1810"/>
      <c r="Y46" s="3162"/>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5"/>
      <c r="Q47" s="1807">
        <f t="shared" si="11"/>
        <v>111</v>
      </c>
      <c r="R47" s="774" t="s">
        <v>17</v>
      </c>
      <c r="S47" s="775">
        <f t="shared" si="12"/>
        <v>100</v>
      </c>
      <c r="T47" s="774" t="s">
        <v>17</v>
      </c>
      <c r="U47" s="775">
        <f t="shared" si="13"/>
        <v>100</v>
      </c>
      <c r="V47" s="774" t="s">
        <v>17</v>
      </c>
      <c r="W47" s="775">
        <f t="shared" si="14"/>
        <v>100</v>
      </c>
      <c r="X47" s="1810"/>
      <c r="Y47" s="3226"/>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56" t="str">
        <f>A48</f>
        <v>成交单价（元/平方米）</v>
      </c>
      <c r="Q48" s="3157"/>
      <c r="R48" s="3222">
        <f>E48</f>
        <v>0</v>
      </c>
      <c r="S48" s="3222"/>
      <c r="T48" s="3222">
        <f>G48</f>
        <v>0</v>
      </c>
      <c r="U48" s="3222"/>
      <c r="V48" s="3222">
        <f>I48</f>
        <v>0</v>
      </c>
      <c r="W48" s="3222"/>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56" t="str">
        <f>A49</f>
        <v>比较价值（元/平方米）</v>
      </c>
      <c r="Q49" s="3157"/>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30" t="str">
        <f>A50</f>
        <v>估价对象XX用房的比较价值（楼面单价，元/平方米）</v>
      </c>
      <c r="Q50" s="3231"/>
      <c r="R50" s="3232" t="e">
        <f>IF(F1="售价",ROUND(AVERAGE(R49:V49),0),ROUND(AVERAGE(R49:V49),1))</f>
        <v>#DIV/0!</v>
      </c>
      <c r="S50" s="3232"/>
      <c r="T50" s="3232"/>
      <c r="U50" s="3232"/>
      <c r="V50" s="3232"/>
      <c r="W50" s="3232"/>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4" t="s">
        <v>2649</v>
      </c>
      <c r="D4" s="3167"/>
      <c r="E4" s="3168" t="s">
        <v>2650</v>
      </c>
      <c r="F4" s="3169"/>
      <c r="G4" s="3154" t="s">
        <v>2651</v>
      </c>
      <c r="H4" s="3167"/>
      <c r="I4" s="3154" t="s">
        <v>2652</v>
      </c>
      <c r="J4" s="3167"/>
      <c r="K4" s="610" t="s">
        <v>2653</v>
      </c>
      <c r="L4" s="1128"/>
      <c r="M4" s="1129"/>
      <c r="N4" s="1129"/>
      <c r="O4" s="1129"/>
      <c r="P4" s="3170" t="s">
        <v>2654</v>
      </c>
      <c r="Q4" s="3171"/>
      <c r="R4" s="3176" t="s">
        <v>2650</v>
      </c>
      <c r="S4" s="3177"/>
      <c r="T4" s="3176" t="s">
        <v>2651</v>
      </c>
      <c r="U4" s="3177"/>
      <c r="V4" s="3163" t="s">
        <v>2652</v>
      </c>
      <c r="W4" s="3163"/>
      <c r="X4" s="1810"/>
      <c r="Y4" s="3176" t="s">
        <v>2654</v>
      </c>
      <c r="Z4" s="3177"/>
      <c r="AA4" s="3164" t="s">
        <v>2650</v>
      </c>
      <c r="AB4" s="3165" t="s">
        <v>2651</v>
      </c>
      <c r="AC4" s="3164" t="s">
        <v>2652</v>
      </c>
    </row>
    <row r="5" spans="1:29" ht="15">
      <c r="A5" s="404"/>
      <c r="B5" s="405"/>
      <c r="C5" s="3184" t="s">
        <v>2545</v>
      </c>
      <c r="D5" s="3185"/>
      <c r="E5" s="3192" t="s">
        <v>2546</v>
      </c>
      <c r="F5" s="3193"/>
      <c r="G5" s="3184" t="s">
        <v>2547</v>
      </c>
      <c r="H5" s="3185"/>
      <c r="I5" s="3184" t="s">
        <v>2548</v>
      </c>
      <c r="J5" s="3185"/>
      <c r="K5" s="610"/>
      <c r="L5" s="1128"/>
      <c r="M5" s="1129"/>
      <c r="N5" s="1129"/>
      <c r="O5" s="1129"/>
      <c r="P5" s="3172"/>
      <c r="Q5" s="3173"/>
      <c r="R5" s="3178"/>
      <c r="S5" s="3179"/>
      <c r="T5" s="3178"/>
      <c r="U5" s="3179"/>
      <c r="V5" s="3163"/>
      <c r="W5" s="3163"/>
      <c r="X5" s="1810"/>
      <c r="Y5" s="3178"/>
      <c r="Z5" s="3179"/>
      <c r="AA5" s="3165"/>
      <c r="AB5" s="3165"/>
      <c r="AC5" s="3165"/>
    </row>
    <row r="6" spans="1:29" ht="15.75" thickBot="1">
      <c r="A6" s="406"/>
      <c r="B6" s="407"/>
      <c r="C6" s="3189" t="s">
        <v>2549</v>
      </c>
      <c r="D6" s="3183"/>
      <c r="E6" s="3229" t="s">
        <v>2549</v>
      </c>
      <c r="F6" s="3191"/>
      <c r="G6" s="3189" t="s">
        <v>2549</v>
      </c>
      <c r="H6" s="3183"/>
      <c r="I6" s="3189" t="s">
        <v>2549</v>
      </c>
      <c r="J6" s="3183"/>
      <c r="K6" s="610" t="s">
        <v>2550</v>
      </c>
      <c r="L6" s="1128"/>
      <c r="M6" s="1129"/>
      <c r="N6" s="1129"/>
      <c r="O6" s="1129"/>
      <c r="P6" s="3174"/>
      <c r="Q6" s="3175"/>
      <c r="R6" s="3178"/>
      <c r="S6" s="3179"/>
      <c r="T6" s="3180"/>
      <c r="U6" s="3181"/>
      <c r="V6" s="3163"/>
      <c r="W6" s="3163"/>
      <c r="X6" s="1810"/>
      <c r="Y6" s="3180"/>
      <c r="Z6" s="3181"/>
      <c r="AA6" s="3166"/>
      <c r="AB6" s="3166"/>
      <c r="AC6" s="3166"/>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6" t="s">
        <v>2552</v>
      </c>
      <c r="Q7" s="3188"/>
      <c r="R7" s="770" t="s">
        <v>17</v>
      </c>
      <c r="S7" s="771">
        <f t="shared" ref="S7:S15" si="0">F7</f>
        <v>0</v>
      </c>
      <c r="T7" s="770" t="s">
        <v>17</v>
      </c>
      <c r="U7" s="771">
        <f t="shared" ref="U7:U15" si="1">H7</f>
        <v>0</v>
      </c>
      <c r="V7" s="770" t="s">
        <v>17</v>
      </c>
      <c r="W7" s="771">
        <f t="shared" ref="W7:W15" si="2">J7</f>
        <v>0</v>
      </c>
      <c r="X7" s="772"/>
      <c r="Y7" s="3186" t="s">
        <v>2552</v>
      </c>
      <c r="Z7" s="3187"/>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6" t="s">
        <v>2555</v>
      </c>
      <c r="Q8" s="3187"/>
      <c r="R8" s="770" t="s">
        <v>17</v>
      </c>
      <c r="S8" s="771">
        <f t="shared" si="0"/>
        <v>0</v>
      </c>
      <c r="T8" s="770" t="s">
        <v>17</v>
      </c>
      <c r="U8" s="771">
        <f t="shared" si="1"/>
        <v>0</v>
      </c>
      <c r="V8" s="770" t="s">
        <v>17</v>
      </c>
      <c r="W8" s="771">
        <f t="shared" si="2"/>
        <v>0</v>
      </c>
      <c r="X8" s="772"/>
      <c r="Y8" s="3186" t="s">
        <v>2555</v>
      </c>
      <c r="Z8" s="3187"/>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7" t="s">
        <v>2558</v>
      </c>
      <c r="Q9" s="1792"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7"/>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7"/>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7"/>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7"/>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7"/>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59" t="s">
        <v>2563</v>
      </c>
      <c r="Q15" s="1807" t="str">
        <f t="shared" si="6"/>
        <v>产业集聚程度</v>
      </c>
      <c r="R15" s="774" t="s">
        <v>17</v>
      </c>
      <c r="S15" s="775">
        <f t="shared" si="0"/>
        <v>100</v>
      </c>
      <c r="T15" s="774" t="s">
        <v>17</v>
      </c>
      <c r="U15" s="775">
        <f t="shared" si="1"/>
        <v>100</v>
      </c>
      <c r="V15" s="774" t="s">
        <v>17</v>
      </c>
      <c r="W15" s="775">
        <f t="shared" si="2"/>
        <v>100</v>
      </c>
      <c r="X15" s="1810"/>
      <c r="Y15" s="3159"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60"/>
      <c r="Q16" s="1807"/>
      <c r="R16" s="774"/>
      <c r="S16" s="775"/>
      <c r="T16" s="774"/>
      <c r="U16" s="775"/>
      <c r="V16" s="774"/>
      <c r="W16" s="775"/>
      <c r="X16" s="1810"/>
      <c r="Y16" s="3160"/>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0"/>
      <c r="Q17" s="1807" t="str">
        <f>B17</f>
        <v>交通便捷度</v>
      </c>
      <c r="R17" s="774" t="s">
        <v>17</v>
      </c>
      <c r="S17" s="775">
        <f>F17</f>
        <v>100</v>
      </c>
      <c r="T17" s="774" t="s">
        <v>17</v>
      </c>
      <c r="U17" s="775">
        <f>H17</f>
        <v>100</v>
      </c>
      <c r="V17" s="774" t="s">
        <v>17</v>
      </c>
      <c r="W17" s="775">
        <f>J17</f>
        <v>100</v>
      </c>
      <c r="X17" s="1810"/>
      <c r="Y17" s="3160"/>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60"/>
      <c r="Q18" s="1807"/>
      <c r="R18" s="774"/>
      <c r="S18" s="775"/>
      <c r="T18" s="774"/>
      <c r="U18" s="775"/>
      <c r="V18" s="774"/>
      <c r="W18" s="775"/>
      <c r="X18" s="1810"/>
      <c r="Y18" s="3160"/>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0"/>
      <c r="Q19" s="1807" t="str">
        <f>B19</f>
        <v>公共配套设施</v>
      </c>
      <c r="R19" s="774" t="s">
        <v>17</v>
      </c>
      <c r="S19" s="775">
        <f>F19</f>
        <v>100</v>
      </c>
      <c r="T19" s="774" t="s">
        <v>17</v>
      </c>
      <c r="U19" s="775">
        <f>H19</f>
        <v>100</v>
      </c>
      <c r="V19" s="774" t="s">
        <v>17</v>
      </c>
      <c r="W19" s="775">
        <f>J19</f>
        <v>100</v>
      </c>
      <c r="X19" s="1810"/>
      <c r="Y19" s="3160"/>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60"/>
      <c r="Q20" s="1807"/>
      <c r="R20" s="774"/>
      <c r="S20" s="775"/>
      <c r="T20" s="774"/>
      <c r="U20" s="775"/>
      <c r="V20" s="774"/>
      <c r="W20" s="775"/>
      <c r="X20" s="1810"/>
      <c r="Y20" s="3160"/>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0"/>
      <c r="Q21" s="1807" t="str">
        <f>B21</f>
        <v>基础设施水平</v>
      </c>
      <c r="R21" s="774" t="s">
        <v>17</v>
      </c>
      <c r="S21" s="775">
        <f>F21</f>
        <v>100</v>
      </c>
      <c r="T21" s="774" t="s">
        <v>17</v>
      </c>
      <c r="U21" s="775">
        <f>H21</f>
        <v>100</v>
      </c>
      <c r="V21" s="774" t="s">
        <v>17</v>
      </c>
      <c r="W21" s="775">
        <f>J21</f>
        <v>100</v>
      </c>
      <c r="X21" s="1810"/>
      <c r="Y21" s="3160"/>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60"/>
      <c r="Q22" s="1807"/>
      <c r="R22" s="774"/>
      <c r="S22" s="775"/>
      <c r="T22" s="774"/>
      <c r="U22" s="775"/>
      <c r="V22" s="774"/>
      <c r="W22" s="775"/>
      <c r="X22" s="1810"/>
      <c r="Y22" s="3160"/>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0"/>
      <c r="Q23" s="1807" t="str">
        <f>B23</f>
        <v>环境质量</v>
      </c>
      <c r="R23" s="774" t="s">
        <v>17</v>
      </c>
      <c r="S23" s="775">
        <f>F23</f>
        <v>100</v>
      </c>
      <c r="T23" s="774" t="s">
        <v>17</v>
      </c>
      <c r="U23" s="775">
        <f>H23</f>
        <v>100</v>
      </c>
      <c r="V23" s="774" t="s">
        <v>17</v>
      </c>
      <c r="W23" s="775">
        <f>J23</f>
        <v>100</v>
      </c>
      <c r="X23" s="1810"/>
      <c r="Y23" s="3160"/>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60"/>
      <c r="Q24" s="1807"/>
      <c r="R24" s="774"/>
      <c r="S24" s="775"/>
      <c r="T24" s="774"/>
      <c r="U24" s="775"/>
      <c r="V24" s="774"/>
      <c r="W24" s="775"/>
      <c r="X24" s="1810"/>
      <c r="Y24" s="3160"/>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0"/>
      <c r="Q25" s="1807">
        <f>B25</f>
        <v>111</v>
      </c>
      <c r="R25" s="774" t="s">
        <v>17</v>
      </c>
      <c r="S25" s="775">
        <f>F25</f>
        <v>100</v>
      </c>
      <c r="T25" s="774" t="s">
        <v>17</v>
      </c>
      <c r="U25" s="775">
        <f>H25</f>
        <v>100</v>
      </c>
      <c r="V25" s="774" t="s">
        <v>17</v>
      </c>
      <c r="W25" s="775">
        <f>J25</f>
        <v>100</v>
      </c>
      <c r="X25" s="1810"/>
      <c r="Y25" s="3160"/>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0"/>
      <c r="Q26" s="1807">
        <f t="shared" ref="Q26:Q40" si="11">B26</f>
        <v>111</v>
      </c>
      <c r="R26" s="774" t="s">
        <v>17</v>
      </c>
      <c r="S26" s="775">
        <f>F26</f>
        <v>100</v>
      </c>
      <c r="T26" s="774" t="s">
        <v>17</v>
      </c>
      <c r="U26" s="775">
        <f>H26</f>
        <v>100</v>
      </c>
      <c r="V26" s="774" t="s">
        <v>17</v>
      </c>
      <c r="W26" s="775">
        <f>J26</f>
        <v>100</v>
      </c>
      <c r="X26" s="1810"/>
      <c r="Y26" s="3160"/>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0"/>
      <c r="Q27" s="1792">
        <f t="shared" si="11"/>
        <v>111</v>
      </c>
      <c r="R27" s="770" t="s">
        <v>17</v>
      </c>
      <c r="S27" s="771">
        <f>F27</f>
        <v>100</v>
      </c>
      <c r="T27" s="770" t="s">
        <v>17</v>
      </c>
      <c r="U27" s="771">
        <f>H27</f>
        <v>100</v>
      </c>
      <c r="V27" s="770" t="s">
        <v>17</v>
      </c>
      <c r="W27" s="771">
        <f>J27</f>
        <v>100</v>
      </c>
      <c r="X27" s="772"/>
      <c r="Y27" s="3160"/>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0"/>
      <c r="Q28" s="1807">
        <f t="shared" si="11"/>
        <v>111</v>
      </c>
      <c r="R28" s="774" t="s">
        <v>17</v>
      </c>
      <c r="S28" s="775">
        <f t="shared" ref="S28:S40" si="12">F28</f>
        <v>100</v>
      </c>
      <c r="T28" s="774" t="s">
        <v>17</v>
      </c>
      <c r="U28" s="775">
        <f t="shared" ref="U28:U40" si="13">H28</f>
        <v>100</v>
      </c>
      <c r="V28" s="774" t="s">
        <v>17</v>
      </c>
      <c r="W28" s="775">
        <f t="shared" ref="W28:W40" si="14">J28</f>
        <v>100</v>
      </c>
      <c r="X28" s="1810"/>
      <c r="Y28" s="3160"/>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61" t="s">
        <v>2568</v>
      </c>
      <c r="Q29" s="1807" t="str">
        <f t="shared" si="11"/>
        <v>建筑类型</v>
      </c>
      <c r="R29" s="774" t="s">
        <v>17</v>
      </c>
      <c r="S29" s="775">
        <f t="shared" si="12"/>
        <v>100</v>
      </c>
      <c r="T29" s="774" t="s">
        <v>17</v>
      </c>
      <c r="U29" s="775">
        <f t="shared" si="13"/>
        <v>100</v>
      </c>
      <c r="V29" s="774" t="s">
        <v>17</v>
      </c>
      <c r="W29" s="775">
        <f t="shared" si="14"/>
        <v>100</v>
      </c>
      <c r="X29" s="1810"/>
      <c r="Y29" s="3162"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2"/>
      <c r="Q30" s="776" t="str">
        <f t="shared" si="11"/>
        <v>项目建筑规模</v>
      </c>
      <c r="R30" s="777" t="s">
        <v>17</v>
      </c>
      <c r="S30" s="778" t="e">
        <f t="shared" si="12"/>
        <v>#N/A</v>
      </c>
      <c r="T30" s="777" t="s">
        <v>17</v>
      </c>
      <c r="U30" s="778" t="e">
        <f t="shared" si="13"/>
        <v>#N/A</v>
      </c>
      <c r="V30" s="777" t="s">
        <v>17</v>
      </c>
      <c r="W30" s="778" t="e">
        <f t="shared" si="14"/>
        <v>#N/A</v>
      </c>
      <c r="X30" s="779"/>
      <c r="Y30" s="3162"/>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2"/>
      <c r="Q31" s="1807" t="str">
        <f t="shared" si="11"/>
        <v>建筑结构</v>
      </c>
      <c r="R31" s="774" t="s">
        <v>17</v>
      </c>
      <c r="S31" s="775">
        <f t="shared" si="12"/>
        <v>100</v>
      </c>
      <c r="T31" s="774" t="s">
        <v>17</v>
      </c>
      <c r="U31" s="775">
        <f t="shared" si="13"/>
        <v>100</v>
      </c>
      <c r="V31" s="774" t="s">
        <v>17</v>
      </c>
      <c r="W31" s="775">
        <f t="shared" si="14"/>
        <v>100</v>
      </c>
      <c r="X31" s="1810"/>
      <c r="Y31" s="3162"/>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2"/>
      <c r="Q32" s="1807" t="str">
        <f t="shared" si="11"/>
        <v>公共部分装修</v>
      </c>
      <c r="R32" s="774" t="s">
        <v>17</v>
      </c>
      <c r="S32" s="775">
        <f t="shared" si="12"/>
        <v>100</v>
      </c>
      <c r="T32" s="774" t="s">
        <v>17</v>
      </c>
      <c r="U32" s="775">
        <f t="shared" si="13"/>
        <v>100</v>
      </c>
      <c r="V32" s="774" t="s">
        <v>17</v>
      </c>
      <c r="W32" s="775">
        <f t="shared" si="14"/>
        <v>100</v>
      </c>
      <c r="X32" s="1810"/>
      <c r="Y32" s="3162"/>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2"/>
      <c r="Q33" s="1807" t="str">
        <f t="shared" si="11"/>
        <v>成新度</v>
      </c>
      <c r="R33" s="774" t="s">
        <v>17</v>
      </c>
      <c r="S33" s="775" t="e">
        <f t="shared" si="12"/>
        <v>#N/A</v>
      </c>
      <c r="T33" s="774" t="s">
        <v>17</v>
      </c>
      <c r="U33" s="775" t="e">
        <f t="shared" si="13"/>
        <v>#N/A</v>
      </c>
      <c r="V33" s="774" t="s">
        <v>17</v>
      </c>
      <c r="W33" s="775" t="e">
        <f t="shared" si="14"/>
        <v>#N/A</v>
      </c>
      <c r="X33" s="1810"/>
      <c r="Y33" s="3162"/>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2"/>
      <c r="Q34" s="1792" t="str">
        <f t="shared" si="11"/>
        <v>物业管理</v>
      </c>
      <c r="R34" s="770" t="s">
        <v>17</v>
      </c>
      <c r="S34" s="771">
        <f t="shared" si="12"/>
        <v>100</v>
      </c>
      <c r="T34" s="770" t="s">
        <v>17</v>
      </c>
      <c r="U34" s="771">
        <f t="shared" si="13"/>
        <v>100</v>
      </c>
      <c r="V34" s="770" t="s">
        <v>17</v>
      </c>
      <c r="W34" s="771">
        <f t="shared" si="14"/>
        <v>100</v>
      </c>
      <c r="X34" s="772"/>
      <c r="Y34" s="3162"/>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2" t="s">
        <v>2568</v>
      </c>
      <c r="Q35" s="1807" t="str">
        <f t="shared" si="11"/>
        <v>市政基础设施</v>
      </c>
      <c r="R35" s="774" t="s">
        <v>17</v>
      </c>
      <c r="S35" s="775">
        <f t="shared" si="12"/>
        <v>100</v>
      </c>
      <c r="T35" s="774" t="s">
        <v>17</v>
      </c>
      <c r="U35" s="775">
        <f t="shared" si="13"/>
        <v>100</v>
      </c>
      <c r="V35" s="774" t="s">
        <v>17</v>
      </c>
      <c r="W35" s="775">
        <f t="shared" si="14"/>
        <v>100</v>
      </c>
      <c r="X35" s="1810"/>
      <c r="Y35" s="3162"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2"/>
      <c r="Q36" s="1807" t="str">
        <f t="shared" si="11"/>
        <v>内部装修</v>
      </c>
      <c r="R36" s="774" t="s">
        <v>17</v>
      </c>
      <c r="S36" s="775">
        <f t="shared" si="12"/>
        <v>100</v>
      </c>
      <c r="T36" s="774" t="s">
        <v>17</v>
      </c>
      <c r="U36" s="775">
        <f t="shared" si="13"/>
        <v>100</v>
      </c>
      <c r="V36" s="774" t="s">
        <v>17</v>
      </c>
      <c r="W36" s="775">
        <f t="shared" si="14"/>
        <v>100</v>
      </c>
      <c r="X36" s="1810"/>
      <c r="Y36" s="3162"/>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2"/>
      <c r="Q37" s="1807" t="str">
        <f t="shared" si="11"/>
        <v>内部装修状况</v>
      </c>
      <c r="R37" s="774" t="s">
        <v>17</v>
      </c>
      <c r="S37" s="775">
        <f t="shared" si="12"/>
        <v>100</v>
      </c>
      <c r="T37" s="774" t="s">
        <v>17</v>
      </c>
      <c r="U37" s="775">
        <f t="shared" si="13"/>
        <v>100</v>
      </c>
      <c r="V37" s="774" t="s">
        <v>17</v>
      </c>
      <c r="W37" s="775">
        <f t="shared" si="14"/>
        <v>100</v>
      </c>
      <c r="X37" s="1810"/>
      <c r="Y37" s="3162"/>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2"/>
      <c r="Q38" s="776">
        <f t="shared" si="11"/>
        <v>111</v>
      </c>
      <c r="R38" s="777" t="s">
        <v>17</v>
      </c>
      <c r="S38" s="778">
        <f t="shared" si="12"/>
        <v>100</v>
      </c>
      <c r="T38" s="777" t="s">
        <v>17</v>
      </c>
      <c r="U38" s="778">
        <f t="shared" si="13"/>
        <v>100</v>
      </c>
      <c r="V38" s="777" t="s">
        <v>17</v>
      </c>
      <c r="W38" s="778">
        <f t="shared" si="14"/>
        <v>100</v>
      </c>
      <c r="X38" s="779"/>
      <c r="Y38" s="3162"/>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2"/>
      <c r="Q39" s="1807">
        <f t="shared" si="11"/>
        <v>111</v>
      </c>
      <c r="R39" s="774" t="s">
        <v>17</v>
      </c>
      <c r="S39" s="775">
        <f t="shared" si="12"/>
        <v>100</v>
      </c>
      <c r="T39" s="774" t="s">
        <v>17</v>
      </c>
      <c r="U39" s="775">
        <f t="shared" si="13"/>
        <v>100</v>
      </c>
      <c r="V39" s="774" t="s">
        <v>17</v>
      </c>
      <c r="W39" s="775">
        <f t="shared" si="14"/>
        <v>100</v>
      </c>
      <c r="X39" s="1810"/>
      <c r="Y39" s="3162"/>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6"/>
      <c r="Q40" s="1807">
        <f t="shared" si="11"/>
        <v>111</v>
      </c>
      <c r="R40" s="774" t="s">
        <v>17</v>
      </c>
      <c r="S40" s="775">
        <f t="shared" si="12"/>
        <v>100</v>
      </c>
      <c r="T40" s="774" t="s">
        <v>17</v>
      </c>
      <c r="U40" s="775">
        <f t="shared" si="13"/>
        <v>100</v>
      </c>
      <c r="V40" s="774" t="s">
        <v>17</v>
      </c>
      <c r="W40" s="775">
        <f t="shared" si="14"/>
        <v>100</v>
      </c>
      <c r="X40" s="1810"/>
      <c r="Y40" s="3226"/>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57" t="str">
        <f>A41</f>
        <v>成交单价（元/平方米）</v>
      </c>
      <c r="Q41" s="3157"/>
      <c r="R41" s="3222">
        <f>E41</f>
        <v>0</v>
      </c>
      <c r="S41" s="3222"/>
      <c r="T41" s="3222">
        <f>G41</f>
        <v>0</v>
      </c>
      <c r="U41" s="3222"/>
      <c r="V41" s="3222">
        <f>I41</f>
        <v>0</v>
      </c>
      <c r="W41" s="3222"/>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57" t="str">
        <f>A42</f>
        <v>比较价值（元/平方米）</v>
      </c>
      <c r="Q42" s="3157"/>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51" t="str">
        <f>A43</f>
        <v>估价对象XX用房的比较价值（楼面单价，元/平方米）</v>
      </c>
      <c r="Q43" s="3152"/>
      <c r="R43" s="3221" t="e">
        <f>IF(F1="售价",ROUND(AVERAGE(R42:V42),0),ROUND(AVERAGE(R42:V42),1))</f>
        <v>#DIV/0!</v>
      </c>
      <c r="S43" s="3221"/>
      <c r="T43" s="3221"/>
      <c r="U43" s="3221"/>
      <c r="V43" s="3221"/>
      <c r="W43" s="3221"/>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54" t="s">
        <v>2649</v>
      </c>
      <c r="D4" s="3167"/>
      <c r="E4" s="3168" t="s">
        <v>2650</v>
      </c>
      <c r="F4" s="3169"/>
      <c r="G4" s="3154" t="s">
        <v>2651</v>
      </c>
      <c r="H4" s="3167"/>
      <c r="I4" s="3154" t="s">
        <v>2652</v>
      </c>
      <c r="J4" s="3167"/>
      <c r="K4" s="610" t="s">
        <v>2653</v>
      </c>
      <c r="L4" s="1128"/>
      <c r="M4" s="1129"/>
      <c r="N4" s="1129"/>
      <c r="O4" s="1129"/>
      <c r="P4" s="3170" t="s">
        <v>2654</v>
      </c>
      <c r="Q4" s="3171"/>
      <c r="R4" s="3176" t="s">
        <v>2650</v>
      </c>
      <c r="S4" s="3177"/>
      <c r="T4" s="3176" t="s">
        <v>2651</v>
      </c>
      <c r="U4" s="3177"/>
      <c r="V4" s="3163" t="s">
        <v>2652</v>
      </c>
      <c r="W4" s="3163"/>
      <c r="X4" s="1810"/>
      <c r="Y4" s="3176" t="s">
        <v>2654</v>
      </c>
      <c r="Z4" s="3177"/>
      <c r="AA4" s="3164" t="s">
        <v>2650</v>
      </c>
      <c r="AB4" s="3165" t="s">
        <v>2651</v>
      </c>
      <c r="AC4" s="3164" t="s">
        <v>2652</v>
      </c>
    </row>
    <row r="5" spans="1:29" ht="15">
      <c r="A5" s="404"/>
      <c r="B5" s="405"/>
      <c r="C5" s="3184" t="s">
        <v>2545</v>
      </c>
      <c r="D5" s="3185"/>
      <c r="E5" s="3192" t="s">
        <v>2546</v>
      </c>
      <c r="F5" s="3193"/>
      <c r="G5" s="3184" t="s">
        <v>2547</v>
      </c>
      <c r="H5" s="3185"/>
      <c r="I5" s="3184" t="s">
        <v>2548</v>
      </c>
      <c r="J5" s="3185"/>
      <c r="K5" s="610"/>
      <c r="L5" s="1128"/>
      <c r="M5" s="1129"/>
      <c r="N5" s="1129"/>
      <c r="O5" s="1129"/>
      <c r="P5" s="3172"/>
      <c r="Q5" s="3173"/>
      <c r="R5" s="3178"/>
      <c r="S5" s="3179"/>
      <c r="T5" s="3178"/>
      <c r="U5" s="3179"/>
      <c r="V5" s="3163"/>
      <c r="W5" s="3163"/>
      <c r="X5" s="1810"/>
      <c r="Y5" s="3178"/>
      <c r="Z5" s="3179"/>
      <c r="AA5" s="3165"/>
      <c r="AB5" s="3165"/>
      <c r="AC5" s="3165"/>
    </row>
    <row r="6" spans="1:29" ht="15.75" thickBot="1">
      <c r="A6" s="406"/>
      <c r="B6" s="407"/>
      <c r="C6" s="3189" t="s">
        <v>2549</v>
      </c>
      <c r="D6" s="3183"/>
      <c r="E6" s="3229" t="s">
        <v>2549</v>
      </c>
      <c r="F6" s="3191"/>
      <c r="G6" s="3189" t="s">
        <v>2549</v>
      </c>
      <c r="H6" s="3183"/>
      <c r="I6" s="3189" t="s">
        <v>2549</v>
      </c>
      <c r="J6" s="3183"/>
      <c r="K6" s="610" t="s">
        <v>2550</v>
      </c>
      <c r="L6" s="1128"/>
      <c r="M6" s="1129"/>
      <c r="N6" s="1129"/>
      <c r="O6" s="1129"/>
      <c r="P6" s="3174"/>
      <c r="Q6" s="3175"/>
      <c r="R6" s="3178"/>
      <c r="S6" s="3179"/>
      <c r="T6" s="3180"/>
      <c r="U6" s="3181"/>
      <c r="V6" s="3163"/>
      <c r="W6" s="3163"/>
      <c r="X6" s="1810"/>
      <c r="Y6" s="3180"/>
      <c r="Z6" s="3181"/>
      <c r="AA6" s="3166"/>
      <c r="AB6" s="3166"/>
      <c r="AC6" s="3166"/>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6" t="s">
        <v>2552</v>
      </c>
      <c r="Q7" s="3188"/>
      <c r="R7" s="770" t="s">
        <v>17</v>
      </c>
      <c r="S7" s="771">
        <f t="shared" ref="S7:S14" si="0">F7</f>
        <v>0</v>
      </c>
      <c r="T7" s="770" t="s">
        <v>17</v>
      </c>
      <c r="U7" s="771">
        <f t="shared" ref="U7:U14" si="1">H7</f>
        <v>0</v>
      </c>
      <c r="V7" s="770" t="s">
        <v>17</v>
      </c>
      <c r="W7" s="771">
        <f t="shared" ref="W7:W14" si="2">J7</f>
        <v>0</v>
      </c>
      <c r="X7" s="772"/>
      <c r="Y7" s="3186" t="s">
        <v>2552</v>
      </c>
      <c r="Z7" s="3187"/>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6" t="s">
        <v>2555</v>
      </c>
      <c r="Q8" s="3187"/>
      <c r="R8" s="770" t="s">
        <v>17</v>
      </c>
      <c r="S8" s="771">
        <f t="shared" si="0"/>
        <v>0</v>
      </c>
      <c r="T8" s="770" t="s">
        <v>17</v>
      </c>
      <c r="U8" s="771">
        <f t="shared" si="1"/>
        <v>0</v>
      </c>
      <c r="V8" s="770" t="s">
        <v>17</v>
      </c>
      <c r="W8" s="771">
        <f t="shared" si="2"/>
        <v>0</v>
      </c>
      <c r="X8" s="772"/>
      <c r="Y8" s="3186" t="s">
        <v>2555</v>
      </c>
      <c r="Z8" s="3187"/>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7" t="s">
        <v>2558</v>
      </c>
      <c r="Q9" s="1792" t="str">
        <f t="shared" ref="Q9:Q14" si="6">B9</f>
        <v>用途</v>
      </c>
      <c r="R9" s="770" t="s">
        <v>17</v>
      </c>
      <c r="S9" s="771">
        <f t="shared" si="0"/>
        <v>100</v>
      </c>
      <c r="T9" s="770" t="s">
        <v>17</v>
      </c>
      <c r="U9" s="771">
        <f t="shared" si="1"/>
        <v>100</v>
      </c>
      <c r="V9" s="770" t="s">
        <v>17</v>
      </c>
      <c r="W9" s="771">
        <f t="shared" si="2"/>
        <v>100</v>
      </c>
      <c r="X9" s="772"/>
      <c r="Y9" s="300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7"/>
      <c r="Q11" s="1792">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59" t="s">
        <v>2563</v>
      </c>
      <c r="Q14" s="1807" t="str">
        <f t="shared" si="6"/>
        <v>交通便捷度</v>
      </c>
      <c r="R14" s="774" t="s">
        <v>17</v>
      </c>
      <c r="S14" s="775">
        <f t="shared" si="0"/>
        <v>100</v>
      </c>
      <c r="T14" s="774" t="s">
        <v>17</v>
      </c>
      <c r="U14" s="775">
        <f t="shared" si="1"/>
        <v>100</v>
      </c>
      <c r="V14" s="774" t="s">
        <v>17</v>
      </c>
      <c r="W14" s="775">
        <f t="shared" si="2"/>
        <v>100</v>
      </c>
      <c r="X14" s="1810"/>
      <c r="Y14" s="3159"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60"/>
      <c r="Q15" s="1807"/>
      <c r="R15" s="774"/>
      <c r="S15" s="775"/>
      <c r="T15" s="774"/>
      <c r="U15" s="775"/>
      <c r="V15" s="774"/>
      <c r="W15" s="775"/>
      <c r="X15" s="1810"/>
      <c r="Y15" s="3160"/>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0"/>
      <c r="Q16" s="1807" t="str">
        <f>B16</f>
        <v>公共配套设施</v>
      </c>
      <c r="R16" s="774" t="s">
        <v>17</v>
      </c>
      <c r="S16" s="775">
        <f>F16</f>
        <v>100</v>
      </c>
      <c r="T16" s="774" t="s">
        <v>17</v>
      </c>
      <c r="U16" s="775">
        <f>H16</f>
        <v>100</v>
      </c>
      <c r="V16" s="774" t="s">
        <v>17</v>
      </c>
      <c r="W16" s="775">
        <f>J16</f>
        <v>100</v>
      </c>
      <c r="X16" s="1810"/>
      <c r="Y16" s="3160"/>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60"/>
      <c r="Q17" s="1807"/>
      <c r="R17" s="774"/>
      <c r="S17" s="775"/>
      <c r="T17" s="774"/>
      <c r="U17" s="775"/>
      <c r="V17" s="774"/>
      <c r="W17" s="775"/>
      <c r="X17" s="1810"/>
      <c r="Y17" s="3160"/>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0"/>
      <c r="Q18" s="1807" t="str">
        <f>B18</f>
        <v>基础设施水平</v>
      </c>
      <c r="R18" s="774" t="s">
        <v>17</v>
      </c>
      <c r="S18" s="775">
        <f>F18</f>
        <v>100</v>
      </c>
      <c r="T18" s="774" t="s">
        <v>17</v>
      </c>
      <c r="U18" s="775">
        <f>H18</f>
        <v>100</v>
      </c>
      <c r="V18" s="774" t="s">
        <v>17</v>
      </c>
      <c r="W18" s="775">
        <f>J18</f>
        <v>100</v>
      </c>
      <c r="X18" s="1810"/>
      <c r="Y18" s="3160"/>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60"/>
      <c r="Q19" s="1807"/>
      <c r="R19" s="774"/>
      <c r="S19" s="775"/>
      <c r="T19" s="774"/>
      <c r="U19" s="775"/>
      <c r="V19" s="774"/>
      <c r="W19" s="775"/>
      <c r="X19" s="1810"/>
      <c r="Y19" s="3160"/>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0"/>
      <c r="Q20" s="1807" t="str">
        <f>B20</f>
        <v>自然及人文环境</v>
      </c>
      <c r="R20" s="774" t="s">
        <v>17</v>
      </c>
      <c r="S20" s="775">
        <f>F20</f>
        <v>100</v>
      </c>
      <c r="T20" s="774" t="s">
        <v>17</v>
      </c>
      <c r="U20" s="775">
        <f>H20</f>
        <v>100</v>
      </c>
      <c r="V20" s="774" t="s">
        <v>17</v>
      </c>
      <c r="W20" s="775">
        <f>J20</f>
        <v>100</v>
      </c>
      <c r="X20" s="1810"/>
      <c r="Y20" s="316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60"/>
      <c r="Q21" s="1807"/>
      <c r="R21" s="774"/>
      <c r="S21" s="775"/>
      <c r="T21" s="774"/>
      <c r="U21" s="775"/>
      <c r="V21" s="774"/>
      <c r="W21" s="775"/>
      <c r="X21" s="1810"/>
      <c r="Y21" s="3160"/>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0"/>
      <c r="Q22" s="1807" t="str">
        <f>B22</f>
        <v>楼层</v>
      </c>
      <c r="R22" s="774" t="s">
        <v>17</v>
      </c>
      <c r="S22" s="775">
        <f>F22</f>
        <v>100</v>
      </c>
      <c r="T22" s="774" t="s">
        <v>17</v>
      </c>
      <c r="U22" s="775">
        <f>H22</f>
        <v>100</v>
      </c>
      <c r="V22" s="774" t="s">
        <v>17</v>
      </c>
      <c r="W22" s="775">
        <f>J22</f>
        <v>100</v>
      </c>
      <c r="X22" s="1810"/>
      <c r="Y22" s="316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0"/>
      <c r="Q23" s="1807">
        <f>B23</f>
        <v>111</v>
      </c>
      <c r="R23" s="774" t="s">
        <v>17</v>
      </c>
      <c r="S23" s="775">
        <f>F23</f>
        <v>100</v>
      </c>
      <c r="T23" s="774" t="s">
        <v>17</v>
      </c>
      <c r="U23" s="775">
        <f>H23</f>
        <v>100</v>
      </c>
      <c r="V23" s="774" t="s">
        <v>17</v>
      </c>
      <c r="W23" s="775">
        <f>J23</f>
        <v>100</v>
      </c>
      <c r="X23" s="1810"/>
      <c r="Y23" s="316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0"/>
      <c r="Q24" s="1807">
        <f t="shared" ref="Q24:Q36" si="11">B24</f>
        <v>111</v>
      </c>
      <c r="R24" s="774" t="s">
        <v>17</v>
      </c>
      <c r="S24" s="775">
        <f>F24</f>
        <v>100</v>
      </c>
      <c r="T24" s="774" t="s">
        <v>17</v>
      </c>
      <c r="U24" s="775">
        <f>H24</f>
        <v>100</v>
      </c>
      <c r="V24" s="774" t="s">
        <v>17</v>
      </c>
      <c r="W24" s="775">
        <f>J24</f>
        <v>100</v>
      </c>
      <c r="X24" s="1810"/>
      <c r="Y24" s="316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0"/>
      <c r="Q25" s="1792">
        <f t="shared" si="11"/>
        <v>111</v>
      </c>
      <c r="R25" s="770" t="s">
        <v>17</v>
      </c>
      <c r="S25" s="771">
        <f>F25</f>
        <v>100</v>
      </c>
      <c r="T25" s="770" t="s">
        <v>17</v>
      </c>
      <c r="U25" s="771">
        <f>H25</f>
        <v>100</v>
      </c>
      <c r="V25" s="770" t="s">
        <v>17</v>
      </c>
      <c r="W25" s="771">
        <f>J25</f>
        <v>100</v>
      </c>
      <c r="X25" s="772"/>
      <c r="Y25" s="3160"/>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61"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62"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2"/>
      <c r="Q27" s="776" t="str">
        <f t="shared" si="11"/>
        <v>项目停车位配比</v>
      </c>
      <c r="R27" s="777" t="s">
        <v>17</v>
      </c>
      <c r="S27" s="778">
        <f t="shared" si="12"/>
        <v>100</v>
      </c>
      <c r="T27" s="777" t="s">
        <v>17</v>
      </c>
      <c r="U27" s="778">
        <f t="shared" si="13"/>
        <v>100</v>
      </c>
      <c r="V27" s="777" t="s">
        <v>17</v>
      </c>
      <c r="W27" s="778">
        <f t="shared" si="14"/>
        <v>100</v>
      </c>
      <c r="X27" s="779"/>
      <c r="Y27" s="3162"/>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2"/>
      <c r="Q28" s="1807" t="str">
        <f t="shared" si="11"/>
        <v>公共部分装修</v>
      </c>
      <c r="R28" s="774" t="s">
        <v>17</v>
      </c>
      <c r="S28" s="775">
        <f t="shared" si="12"/>
        <v>100</v>
      </c>
      <c r="T28" s="774" t="s">
        <v>17</v>
      </c>
      <c r="U28" s="775">
        <f t="shared" si="13"/>
        <v>100</v>
      </c>
      <c r="V28" s="774" t="s">
        <v>17</v>
      </c>
      <c r="W28" s="775">
        <f t="shared" si="14"/>
        <v>100</v>
      </c>
      <c r="X28" s="1810"/>
      <c r="Y28" s="3162"/>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2"/>
      <c r="Q29" s="1807" t="str">
        <f t="shared" si="11"/>
        <v>成新率</v>
      </c>
      <c r="R29" s="774" t="s">
        <v>17</v>
      </c>
      <c r="S29" s="775" t="e">
        <f t="shared" si="12"/>
        <v>#N/A</v>
      </c>
      <c r="T29" s="774" t="s">
        <v>17</v>
      </c>
      <c r="U29" s="775" t="e">
        <f t="shared" si="13"/>
        <v>#N/A</v>
      </c>
      <c r="V29" s="774" t="s">
        <v>17</v>
      </c>
      <c r="W29" s="775" t="e">
        <f t="shared" si="14"/>
        <v>#N/A</v>
      </c>
      <c r="X29" s="1810"/>
      <c r="Y29" s="3162"/>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2"/>
      <c r="Q30" s="1807" t="str">
        <f t="shared" si="11"/>
        <v>物业等级</v>
      </c>
      <c r="R30" s="774" t="s">
        <v>17</v>
      </c>
      <c r="S30" s="775">
        <f t="shared" si="12"/>
        <v>100</v>
      </c>
      <c r="T30" s="774" t="s">
        <v>17</v>
      </c>
      <c r="U30" s="775">
        <f t="shared" si="13"/>
        <v>100</v>
      </c>
      <c r="V30" s="774" t="s">
        <v>17</v>
      </c>
      <c r="W30" s="775">
        <f t="shared" si="14"/>
        <v>100</v>
      </c>
      <c r="X30" s="1810"/>
      <c r="Y30" s="3162"/>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2"/>
      <c r="Q31" s="1792" t="str">
        <f t="shared" si="11"/>
        <v>停车位面积</v>
      </c>
      <c r="R31" s="770" t="s">
        <v>17</v>
      </c>
      <c r="S31" s="771" t="e">
        <f t="shared" si="12"/>
        <v>#N/A</v>
      </c>
      <c r="T31" s="770" t="s">
        <v>17</v>
      </c>
      <c r="U31" s="771" t="e">
        <f t="shared" si="13"/>
        <v>#N/A</v>
      </c>
      <c r="V31" s="770" t="s">
        <v>17</v>
      </c>
      <c r="W31" s="771" t="e">
        <f t="shared" si="14"/>
        <v>#N/A</v>
      </c>
      <c r="X31" s="772"/>
      <c r="Y31" s="3162"/>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2" t="s">
        <v>2568</v>
      </c>
      <c r="Q32" s="1807" t="str">
        <f t="shared" si="11"/>
        <v>车位类型</v>
      </c>
      <c r="R32" s="774" t="s">
        <v>17</v>
      </c>
      <c r="S32" s="775">
        <f t="shared" si="12"/>
        <v>100</v>
      </c>
      <c r="T32" s="774" t="s">
        <v>17</v>
      </c>
      <c r="U32" s="775">
        <f t="shared" si="13"/>
        <v>100</v>
      </c>
      <c r="V32" s="774" t="s">
        <v>17</v>
      </c>
      <c r="W32" s="775">
        <f t="shared" si="14"/>
        <v>100</v>
      </c>
      <c r="X32" s="1810"/>
      <c r="Y32" s="3162"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2"/>
      <c r="Q33" s="1807" t="str">
        <f t="shared" si="11"/>
        <v>是否直接入户</v>
      </c>
      <c r="R33" s="774" t="s">
        <v>17</v>
      </c>
      <c r="S33" s="775">
        <f t="shared" si="12"/>
        <v>100</v>
      </c>
      <c r="T33" s="774" t="s">
        <v>17</v>
      </c>
      <c r="U33" s="775">
        <f t="shared" si="13"/>
        <v>100</v>
      </c>
      <c r="V33" s="774" t="s">
        <v>17</v>
      </c>
      <c r="W33" s="775">
        <f t="shared" si="14"/>
        <v>100</v>
      </c>
      <c r="X33" s="1810"/>
      <c r="Y33" s="3162"/>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2"/>
      <c r="Q34" s="1807">
        <f t="shared" si="11"/>
        <v>111</v>
      </c>
      <c r="R34" s="774" t="s">
        <v>17</v>
      </c>
      <c r="S34" s="775">
        <f t="shared" si="12"/>
        <v>100</v>
      </c>
      <c r="T34" s="774" t="s">
        <v>17</v>
      </c>
      <c r="U34" s="775">
        <f t="shared" si="13"/>
        <v>100</v>
      </c>
      <c r="V34" s="774" t="s">
        <v>17</v>
      </c>
      <c r="W34" s="775">
        <f t="shared" si="14"/>
        <v>100</v>
      </c>
      <c r="X34" s="1810"/>
      <c r="Y34" s="3162"/>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2"/>
      <c r="Q35" s="776">
        <f t="shared" si="11"/>
        <v>111</v>
      </c>
      <c r="R35" s="777" t="s">
        <v>17</v>
      </c>
      <c r="S35" s="778">
        <f t="shared" si="12"/>
        <v>100</v>
      </c>
      <c r="T35" s="777" t="s">
        <v>17</v>
      </c>
      <c r="U35" s="778">
        <f t="shared" si="13"/>
        <v>100</v>
      </c>
      <c r="V35" s="777" t="s">
        <v>17</v>
      </c>
      <c r="W35" s="778">
        <f t="shared" si="14"/>
        <v>100</v>
      </c>
      <c r="X35" s="779"/>
      <c r="Y35" s="3162"/>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2"/>
      <c r="Q36" s="1807">
        <f t="shared" si="11"/>
        <v>111</v>
      </c>
      <c r="R36" s="774" t="s">
        <v>17</v>
      </c>
      <c r="S36" s="775">
        <f t="shared" si="12"/>
        <v>100</v>
      </c>
      <c r="T36" s="774" t="s">
        <v>17</v>
      </c>
      <c r="U36" s="775">
        <f t="shared" si="13"/>
        <v>100</v>
      </c>
      <c r="V36" s="774" t="s">
        <v>17</v>
      </c>
      <c r="W36" s="775">
        <f t="shared" si="14"/>
        <v>100</v>
      </c>
      <c r="X36" s="1810"/>
      <c r="Y36" s="3162"/>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57" t="str">
        <f>A37</f>
        <v>成交单价</v>
      </c>
      <c r="Q37" s="3157"/>
      <c r="R37" s="3222">
        <f>E37</f>
        <v>0</v>
      </c>
      <c r="S37" s="3222"/>
      <c r="T37" s="3222">
        <f>G37</f>
        <v>0</v>
      </c>
      <c r="U37" s="3222"/>
      <c r="V37" s="3222">
        <f>I37</f>
        <v>0</v>
      </c>
      <c r="W37" s="3222"/>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7" t="str">
        <f>A38</f>
        <v>比较价值（元/平方米）</v>
      </c>
      <c r="Q38" s="3157"/>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51" t="str">
        <f>A39</f>
        <v>估价对象XX用房的比较价值（楼面单价，元/平方米）</v>
      </c>
      <c r="Q39" s="3152"/>
      <c r="R39" s="3221" t="e">
        <f>IF(F1="售价",ROUND(AVERAGE(R38:V38),0),ROUND(AVERAGE(R38:V38),1))</f>
        <v>#DIV/0!</v>
      </c>
      <c r="S39" s="3221"/>
      <c r="T39" s="3221"/>
      <c r="U39" s="3221"/>
      <c r="V39" s="3221"/>
      <c r="W39" s="3221"/>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4" t="s">
        <v>2649</v>
      </c>
      <c r="D4" s="3167"/>
      <c r="E4" s="3168" t="s">
        <v>2650</v>
      </c>
      <c r="F4" s="3169"/>
      <c r="G4" s="3154" t="s">
        <v>2651</v>
      </c>
      <c r="H4" s="3167"/>
      <c r="I4" s="3154" t="s">
        <v>2652</v>
      </c>
      <c r="J4" s="3167"/>
      <c r="K4" s="610" t="s">
        <v>2653</v>
      </c>
      <c r="L4" s="1128"/>
      <c r="M4" s="1129"/>
      <c r="N4" s="1129"/>
      <c r="O4" s="1129"/>
      <c r="P4" s="3170" t="s">
        <v>2654</v>
      </c>
      <c r="Q4" s="3171"/>
      <c r="R4" s="3176" t="s">
        <v>2650</v>
      </c>
      <c r="S4" s="3177"/>
      <c r="T4" s="3176" t="s">
        <v>2651</v>
      </c>
      <c r="U4" s="3177"/>
      <c r="V4" s="3163" t="s">
        <v>2652</v>
      </c>
      <c r="W4" s="3163"/>
      <c r="X4" s="1810"/>
      <c r="Y4" s="3176" t="s">
        <v>2654</v>
      </c>
      <c r="Z4" s="3177"/>
      <c r="AA4" s="3164" t="s">
        <v>2650</v>
      </c>
      <c r="AB4" s="3165" t="s">
        <v>2651</v>
      </c>
      <c r="AC4" s="3164" t="s">
        <v>2652</v>
      </c>
    </row>
    <row r="5" spans="1:29" ht="15">
      <c r="A5" s="404"/>
      <c r="B5" s="405"/>
      <c r="C5" s="3184" t="s">
        <v>2545</v>
      </c>
      <c r="D5" s="3185"/>
      <c r="E5" s="3192" t="s">
        <v>2546</v>
      </c>
      <c r="F5" s="3193"/>
      <c r="G5" s="3184" t="s">
        <v>2547</v>
      </c>
      <c r="H5" s="3185"/>
      <c r="I5" s="3184" t="s">
        <v>2548</v>
      </c>
      <c r="J5" s="3185"/>
      <c r="K5" s="610"/>
      <c r="L5" s="1128"/>
      <c r="M5" s="1129"/>
      <c r="N5" s="1129"/>
      <c r="O5" s="1129"/>
      <c r="P5" s="3172"/>
      <c r="Q5" s="3173"/>
      <c r="R5" s="3178"/>
      <c r="S5" s="3179"/>
      <c r="T5" s="3178"/>
      <c r="U5" s="3179"/>
      <c r="V5" s="3163"/>
      <c r="W5" s="3163"/>
      <c r="X5" s="1810"/>
      <c r="Y5" s="3178"/>
      <c r="Z5" s="3179"/>
      <c r="AA5" s="3165"/>
      <c r="AB5" s="3165"/>
      <c r="AC5" s="3165"/>
    </row>
    <row r="6" spans="1:29" ht="15.75" thickBot="1">
      <c r="A6" s="406"/>
      <c r="B6" s="407"/>
      <c r="C6" s="3189" t="s">
        <v>2549</v>
      </c>
      <c r="D6" s="3183"/>
      <c r="E6" s="3229" t="s">
        <v>2549</v>
      </c>
      <c r="F6" s="3191"/>
      <c r="G6" s="3189" t="s">
        <v>2549</v>
      </c>
      <c r="H6" s="3183"/>
      <c r="I6" s="3189" t="s">
        <v>2549</v>
      </c>
      <c r="J6" s="3183"/>
      <c r="K6" s="610" t="s">
        <v>2550</v>
      </c>
      <c r="L6" s="1128"/>
      <c r="M6" s="1129"/>
      <c r="N6" s="1129"/>
      <c r="O6" s="1129"/>
      <c r="P6" s="3174"/>
      <c r="Q6" s="3175"/>
      <c r="R6" s="3178"/>
      <c r="S6" s="3179"/>
      <c r="T6" s="3180"/>
      <c r="U6" s="3181"/>
      <c r="V6" s="3163"/>
      <c r="W6" s="3163"/>
      <c r="X6" s="1810"/>
      <c r="Y6" s="3180"/>
      <c r="Z6" s="3181"/>
      <c r="AA6" s="3166"/>
      <c r="AB6" s="3166"/>
      <c r="AC6" s="3166"/>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86" t="s">
        <v>2552</v>
      </c>
      <c r="Q7" s="3188"/>
      <c r="R7" s="770" t="s">
        <v>17</v>
      </c>
      <c r="S7" s="771">
        <f t="shared" ref="S7:S14" si="0">F7</f>
        <v>0</v>
      </c>
      <c r="T7" s="770" t="s">
        <v>17</v>
      </c>
      <c r="U7" s="771">
        <f t="shared" ref="U7:U14" si="1">H7</f>
        <v>0</v>
      </c>
      <c r="V7" s="770" t="s">
        <v>17</v>
      </c>
      <c r="W7" s="771">
        <f t="shared" ref="W7:W14" si="2">J7</f>
        <v>0</v>
      </c>
      <c r="X7" s="772"/>
      <c r="Y7" s="3186" t="s">
        <v>2552</v>
      </c>
      <c r="Z7" s="3187"/>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6" t="s">
        <v>2555</v>
      </c>
      <c r="Q8" s="3187"/>
      <c r="R8" s="770" t="s">
        <v>17</v>
      </c>
      <c r="S8" s="771">
        <f t="shared" si="0"/>
        <v>0</v>
      </c>
      <c r="T8" s="770" t="s">
        <v>17</v>
      </c>
      <c r="U8" s="771">
        <f t="shared" si="1"/>
        <v>0</v>
      </c>
      <c r="V8" s="770" t="s">
        <v>17</v>
      </c>
      <c r="W8" s="771">
        <f t="shared" si="2"/>
        <v>0</v>
      </c>
      <c r="X8" s="772"/>
      <c r="Y8" s="3186" t="s">
        <v>2555</v>
      </c>
      <c r="Z8" s="3187"/>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7" t="s">
        <v>2558</v>
      </c>
      <c r="Q9" s="1792" t="str">
        <f t="shared" ref="Q9:Q14" si="6">B9</f>
        <v>用途</v>
      </c>
      <c r="R9" s="770" t="s">
        <v>17</v>
      </c>
      <c r="S9" s="771">
        <f t="shared" si="0"/>
        <v>100</v>
      </c>
      <c r="T9" s="770" t="s">
        <v>17</v>
      </c>
      <c r="U9" s="771">
        <f t="shared" si="1"/>
        <v>100</v>
      </c>
      <c r="V9" s="770" t="s">
        <v>17</v>
      </c>
      <c r="W9" s="771">
        <f t="shared" si="2"/>
        <v>100</v>
      </c>
      <c r="X9" s="772"/>
      <c r="Y9" s="300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7"/>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7"/>
      <c r="Q11" s="1792">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7"/>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7"/>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59" t="s">
        <v>2563</v>
      </c>
      <c r="Q14" s="1807" t="str">
        <f t="shared" si="6"/>
        <v>交通便捷度</v>
      </c>
      <c r="R14" s="774" t="s">
        <v>17</v>
      </c>
      <c r="S14" s="775">
        <f t="shared" si="0"/>
        <v>100</v>
      </c>
      <c r="T14" s="774" t="s">
        <v>17</v>
      </c>
      <c r="U14" s="775">
        <f t="shared" si="1"/>
        <v>100</v>
      </c>
      <c r="V14" s="774" t="s">
        <v>17</v>
      </c>
      <c r="W14" s="775">
        <f t="shared" si="2"/>
        <v>100</v>
      </c>
      <c r="X14" s="1810"/>
      <c r="Y14" s="3159"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60"/>
      <c r="Q15" s="1807"/>
      <c r="R15" s="774"/>
      <c r="S15" s="775"/>
      <c r="T15" s="774"/>
      <c r="U15" s="775"/>
      <c r="V15" s="774"/>
      <c r="W15" s="775"/>
      <c r="X15" s="1810"/>
      <c r="Y15" s="3160"/>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0"/>
      <c r="Q16" s="1807" t="str">
        <f>B16</f>
        <v>公共配套设施</v>
      </c>
      <c r="R16" s="774" t="s">
        <v>17</v>
      </c>
      <c r="S16" s="775">
        <f>F16</f>
        <v>100</v>
      </c>
      <c r="T16" s="774" t="s">
        <v>17</v>
      </c>
      <c r="U16" s="775">
        <f>H16</f>
        <v>100</v>
      </c>
      <c r="V16" s="774" t="s">
        <v>17</v>
      </c>
      <c r="W16" s="775">
        <f>J16</f>
        <v>100</v>
      </c>
      <c r="X16" s="1810"/>
      <c r="Y16" s="3160"/>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60"/>
      <c r="Q17" s="1807"/>
      <c r="R17" s="774"/>
      <c r="S17" s="775"/>
      <c r="T17" s="774"/>
      <c r="U17" s="775"/>
      <c r="V17" s="774"/>
      <c r="W17" s="775"/>
      <c r="X17" s="1810"/>
      <c r="Y17" s="3160"/>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0"/>
      <c r="Q18" s="1807" t="str">
        <f>B18</f>
        <v>基础设施水平</v>
      </c>
      <c r="R18" s="774" t="s">
        <v>17</v>
      </c>
      <c r="S18" s="775">
        <f>F18</f>
        <v>100</v>
      </c>
      <c r="T18" s="774" t="s">
        <v>17</v>
      </c>
      <c r="U18" s="775">
        <f>H18</f>
        <v>100</v>
      </c>
      <c r="V18" s="774" t="s">
        <v>17</v>
      </c>
      <c r="W18" s="775">
        <f>J18</f>
        <v>100</v>
      </c>
      <c r="X18" s="1810"/>
      <c r="Y18" s="3160"/>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60"/>
      <c r="Q19" s="1807"/>
      <c r="R19" s="774"/>
      <c r="S19" s="775"/>
      <c r="T19" s="774"/>
      <c r="U19" s="775"/>
      <c r="V19" s="774"/>
      <c r="W19" s="775"/>
      <c r="X19" s="1810"/>
      <c r="Y19" s="3160"/>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0"/>
      <c r="Q20" s="1807" t="str">
        <f>B20</f>
        <v>自然及人文环境</v>
      </c>
      <c r="R20" s="774" t="s">
        <v>17</v>
      </c>
      <c r="S20" s="775">
        <f>F20</f>
        <v>100</v>
      </c>
      <c r="T20" s="774" t="s">
        <v>17</v>
      </c>
      <c r="U20" s="775">
        <f>H20</f>
        <v>100</v>
      </c>
      <c r="V20" s="774" t="s">
        <v>17</v>
      </c>
      <c r="W20" s="775">
        <f>J20</f>
        <v>100</v>
      </c>
      <c r="X20" s="1810"/>
      <c r="Y20" s="316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60"/>
      <c r="Q21" s="1807"/>
      <c r="R21" s="774"/>
      <c r="S21" s="775"/>
      <c r="T21" s="774"/>
      <c r="U21" s="775"/>
      <c r="V21" s="774"/>
      <c r="W21" s="775"/>
      <c r="X21" s="1810"/>
      <c r="Y21" s="3160"/>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0"/>
      <c r="Q22" s="1807" t="str">
        <f>B22</f>
        <v>楼层</v>
      </c>
      <c r="R22" s="774" t="s">
        <v>17</v>
      </c>
      <c r="S22" s="775">
        <f>F22</f>
        <v>100</v>
      </c>
      <c r="T22" s="774" t="s">
        <v>17</v>
      </c>
      <c r="U22" s="775">
        <f>H22</f>
        <v>100</v>
      </c>
      <c r="V22" s="774" t="s">
        <v>17</v>
      </c>
      <c r="W22" s="775">
        <f>J22</f>
        <v>100</v>
      </c>
      <c r="X22" s="1810"/>
      <c r="Y22" s="3160"/>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0"/>
      <c r="Q23" s="1807">
        <f>B23</f>
        <v>111</v>
      </c>
      <c r="R23" s="774" t="s">
        <v>17</v>
      </c>
      <c r="S23" s="775">
        <f>F23</f>
        <v>100</v>
      </c>
      <c r="T23" s="774" t="s">
        <v>17</v>
      </c>
      <c r="U23" s="775">
        <f>H23</f>
        <v>100</v>
      </c>
      <c r="V23" s="774" t="s">
        <v>17</v>
      </c>
      <c r="W23" s="775">
        <f>J23</f>
        <v>100</v>
      </c>
      <c r="X23" s="1810"/>
      <c r="Y23" s="3160"/>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0"/>
      <c r="Q24" s="1807">
        <f t="shared" ref="Q24:Q34" si="11">B24</f>
        <v>111</v>
      </c>
      <c r="R24" s="774" t="s">
        <v>17</v>
      </c>
      <c r="S24" s="775">
        <f>F24</f>
        <v>100</v>
      </c>
      <c r="T24" s="774" t="s">
        <v>17</v>
      </c>
      <c r="U24" s="775">
        <f>H24</f>
        <v>100</v>
      </c>
      <c r="V24" s="774" t="s">
        <v>17</v>
      </c>
      <c r="W24" s="775">
        <f>J24</f>
        <v>100</v>
      </c>
      <c r="X24" s="1810"/>
      <c r="Y24" s="3160"/>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0"/>
      <c r="Q25" s="1792">
        <f t="shared" si="11"/>
        <v>111</v>
      </c>
      <c r="R25" s="770" t="s">
        <v>17</v>
      </c>
      <c r="S25" s="771">
        <f>F25</f>
        <v>100</v>
      </c>
      <c r="T25" s="770" t="s">
        <v>17</v>
      </c>
      <c r="U25" s="771">
        <f>H25</f>
        <v>100</v>
      </c>
      <c r="V25" s="770" t="s">
        <v>17</v>
      </c>
      <c r="W25" s="771">
        <f>J25</f>
        <v>100</v>
      </c>
      <c r="X25" s="772"/>
      <c r="Y25" s="3160"/>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61"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62"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2"/>
      <c r="Q27" s="776" t="str">
        <f t="shared" si="11"/>
        <v>成新率</v>
      </c>
      <c r="R27" s="777" t="s">
        <v>17</v>
      </c>
      <c r="S27" s="778" t="e">
        <f t="shared" si="12"/>
        <v>#N/A</v>
      </c>
      <c r="T27" s="777" t="s">
        <v>17</v>
      </c>
      <c r="U27" s="778" t="e">
        <f t="shared" si="13"/>
        <v>#N/A</v>
      </c>
      <c r="V27" s="777" t="s">
        <v>17</v>
      </c>
      <c r="W27" s="778" t="e">
        <f t="shared" si="14"/>
        <v>#N/A</v>
      </c>
      <c r="X27" s="779"/>
      <c r="Y27" s="3162"/>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2"/>
      <c r="Q28" s="1807" t="str">
        <f t="shared" si="11"/>
        <v>物业等级</v>
      </c>
      <c r="R28" s="774" t="s">
        <v>17</v>
      </c>
      <c r="S28" s="775">
        <f t="shared" si="12"/>
        <v>100</v>
      </c>
      <c r="T28" s="774" t="s">
        <v>17</v>
      </c>
      <c r="U28" s="775">
        <f t="shared" si="13"/>
        <v>100</v>
      </c>
      <c r="V28" s="774" t="s">
        <v>17</v>
      </c>
      <c r="W28" s="775">
        <f t="shared" si="14"/>
        <v>100</v>
      </c>
      <c r="X28" s="1810"/>
      <c r="Y28" s="3162"/>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2"/>
      <c r="Q29" s="1807" t="str">
        <f t="shared" si="11"/>
        <v>有无电梯</v>
      </c>
      <c r="R29" s="774" t="s">
        <v>17</v>
      </c>
      <c r="S29" s="775">
        <f t="shared" si="12"/>
        <v>100</v>
      </c>
      <c r="T29" s="774" t="s">
        <v>17</v>
      </c>
      <c r="U29" s="775">
        <f t="shared" si="13"/>
        <v>100</v>
      </c>
      <c r="V29" s="774" t="s">
        <v>17</v>
      </c>
      <c r="W29" s="775">
        <f t="shared" si="14"/>
        <v>100</v>
      </c>
      <c r="X29" s="1810"/>
      <c r="Y29" s="3162"/>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2"/>
      <c r="Q30" s="1807" t="str">
        <f t="shared" si="11"/>
        <v>建筑面积</v>
      </c>
      <c r="R30" s="774" t="s">
        <v>17</v>
      </c>
      <c r="S30" s="775" t="e">
        <f t="shared" si="12"/>
        <v>#N/A</v>
      </c>
      <c r="T30" s="774" t="s">
        <v>17</v>
      </c>
      <c r="U30" s="775" t="e">
        <f t="shared" si="13"/>
        <v>#N/A</v>
      </c>
      <c r="V30" s="774" t="s">
        <v>17</v>
      </c>
      <c r="W30" s="775" t="e">
        <f t="shared" si="14"/>
        <v>#N/A</v>
      </c>
      <c r="X30" s="1810"/>
      <c r="Y30" s="3162"/>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2"/>
      <c r="Q31" s="1792" t="str">
        <f t="shared" si="11"/>
        <v>是否封闭</v>
      </c>
      <c r="R31" s="770" t="s">
        <v>17</v>
      </c>
      <c r="S31" s="771">
        <f t="shared" si="12"/>
        <v>100</v>
      </c>
      <c r="T31" s="770" t="s">
        <v>17</v>
      </c>
      <c r="U31" s="771">
        <f t="shared" si="13"/>
        <v>100</v>
      </c>
      <c r="V31" s="770" t="s">
        <v>17</v>
      </c>
      <c r="W31" s="771">
        <f t="shared" si="14"/>
        <v>100</v>
      </c>
      <c r="X31" s="772"/>
      <c r="Y31" s="316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2" t="s">
        <v>2568</v>
      </c>
      <c r="Q32" s="1807">
        <f t="shared" si="11"/>
        <v>111</v>
      </c>
      <c r="R32" s="774" t="s">
        <v>17</v>
      </c>
      <c r="S32" s="775">
        <f t="shared" si="12"/>
        <v>100</v>
      </c>
      <c r="T32" s="774" t="s">
        <v>17</v>
      </c>
      <c r="U32" s="775">
        <f t="shared" si="13"/>
        <v>100</v>
      </c>
      <c r="V32" s="774" t="s">
        <v>17</v>
      </c>
      <c r="W32" s="775">
        <f t="shared" si="14"/>
        <v>100</v>
      </c>
      <c r="X32" s="1810"/>
      <c r="Y32" s="3162"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2"/>
      <c r="Q33" s="1807">
        <f t="shared" si="11"/>
        <v>111</v>
      </c>
      <c r="R33" s="774" t="s">
        <v>17</v>
      </c>
      <c r="S33" s="775">
        <f t="shared" si="12"/>
        <v>100</v>
      </c>
      <c r="T33" s="774" t="s">
        <v>17</v>
      </c>
      <c r="U33" s="775">
        <f t="shared" si="13"/>
        <v>100</v>
      </c>
      <c r="V33" s="774" t="s">
        <v>17</v>
      </c>
      <c r="W33" s="775">
        <f t="shared" si="14"/>
        <v>100</v>
      </c>
      <c r="X33" s="1810"/>
      <c r="Y33" s="3162"/>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2"/>
      <c r="Q34" s="1807">
        <f t="shared" si="11"/>
        <v>111</v>
      </c>
      <c r="R34" s="774" t="s">
        <v>17</v>
      </c>
      <c r="S34" s="775">
        <f t="shared" si="12"/>
        <v>100</v>
      </c>
      <c r="T34" s="774" t="s">
        <v>17</v>
      </c>
      <c r="U34" s="775">
        <f t="shared" si="13"/>
        <v>100</v>
      </c>
      <c r="V34" s="774" t="s">
        <v>17</v>
      </c>
      <c r="W34" s="775">
        <f t="shared" si="14"/>
        <v>100</v>
      </c>
      <c r="X34" s="1810"/>
      <c r="Y34" s="3162"/>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57" t="str">
        <f>A35</f>
        <v>成交单价（元/平方米）</v>
      </c>
      <c r="Q35" s="3157"/>
      <c r="R35" s="3222">
        <f>E35</f>
        <v>0</v>
      </c>
      <c r="S35" s="3222"/>
      <c r="T35" s="3222">
        <f>G35</f>
        <v>0</v>
      </c>
      <c r="U35" s="3222"/>
      <c r="V35" s="3222">
        <f>I35</f>
        <v>0</v>
      </c>
      <c r="W35" s="3222"/>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57" t="str">
        <f>A36</f>
        <v>比较价值（元/平方米）</v>
      </c>
      <c r="Q36" s="3157"/>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51" t="str">
        <f>A37</f>
        <v>估价对象XX用房的比较价值（楼面单价，元/平方米）</v>
      </c>
      <c r="Q37" s="3152"/>
      <c r="R37" s="3221" t="e">
        <f>IF(F1="售价",ROUND(AVERAGE(R36:V36),0),ROUND(AVERAGE(R36:V36),1))</f>
        <v>#DIV/0!</v>
      </c>
      <c r="S37" s="3221"/>
      <c r="T37" s="3221"/>
      <c r="U37" s="3221"/>
      <c r="V37" s="3221"/>
      <c r="W37" s="3221"/>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4" t="s">
        <v>2649</v>
      </c>
      <c r="D4" s="3167"/>
      <c r="E4" s="3168" t="s">
        <v>2650</v>
      </c>
      <c r="F4" s="3169"/>
      <c r="G4" s="3154" t="s">
        <v>2651</v>
      </c>
      <c r="H4" s="3167"/>
      <c r="I4" s="3154" t="s">
        <v>2652</v>
      </c>
      <c r="J4" s="3167"/>
      <c r="K4" s="610" t="s">
        <v>2653</v>
      </c>
      <c r="L4" s="1128"/>
      <c r="M4" s="1129"/>
      <c r="N4" s="1129"/>
      <c r="O4" s="1129"/>
      <c r="P4" s="3170" t="s">
        <v>2654</v>
      </c>
      <c r="Q4" s="3171"/>
      <c r="R4" s="3176" t="s">
        <v>2650</v>
      </c>
      <c r="S4" s="3177"/>
      <c r="T4" s="3176" t="s">
        <v>2651</v>
      </c>
      <c r="U4" s="3177"/>
      <c r="V4" s="3163" t="s">
        <v>2652</v>
      </c>
      <c r="W4" s="3163"/>
      <c r="X4" s="1810"/>
      <c r="Y4" s="3176" t="s">
        <v>2654</v>
      </c>
      <c r="Z4" s="3177"/>
      <c r="AA4" s="3164" t="s">
        <v>2650</v>
      </c>
      <c r="AB4" s="3165" t="s">
        <v>2651</v>
      </c>
      <c r="AC4" s="3164" t="s">
        <v>2652</v>
      </c>
    </row>
    <row r="5" spans="1:29" ht="15">
      <c r="A5" s="404"/>
      <c r="B5" s="405"/>
      <c r="C5" s="3184" t="s">
        <v>2545</v>
      </c>
      <c r="D5" s="3185"/>
      <c r="E5" s="3192" t="s">
        <v>2546</v>
      </c>
      <c r="F5" s="3193"/>
      <c r="G5" s="3184" t="s">
        <v>2547</v>
      </c>
      <c r="H5" s="3185"/>
      <c r="I5" s="3184" t="s">
        <v>2548</v>
      </c>
      <c r="J5" s="3185"/>
      <c r="K5" s="610"/>
      <c r="L5" s="1128"/>
      <c r="M5" s="1129"/>
      <c r="N5" s="1129"/>
      <c r="O5" s="1129"/>
      <c r="P5" s="3172"/>
      <c r="Q5" s="3173"/>
      <c r="R5" s="3178"/>
      <c r="S5" s="3179"/>
      <c r="T5" s="3178"/>
      <c r="U5" s="3179"/>
      <c r="V5" s="3163"/>
      <c r="W5" s="3163"/>
      <c r="X5" s="1810"/>
      <c r="Y5" s="3178"/>
      <c r="Z5" s="3179"/>
      <c r="AA5" s="3165"/>
      <c r="AB5" s="3165"/>
      <c r="AC5" s="3165"/>
    </row>
    <row r="6" spans="1:29" ht="15.75" thickBot="1">
      <c r="A6" s="406"/>
      <c r="B6" s="407"/>
      <c r="C6" s="3245" t="s">
        <v>2799</v>
      </c>
      <c r="D6" s="3246"/>
      <c r="E6" s="3247" t="s">
        <v>2799</v>
      </c>
      <c r="F6" s="3248"/>
      <c r="G6" s="3245" t="s">
        <v>2799</v>
      </c>
      <c r="H6" s="3246"/>
      <c r="I6" s="3245" t="s">
        <v>2799</v>
      </c>
      <c r="J6" s="3246"/>
      <c r="K6" s="610" t="s">
        <v>2550</v>
      </c>
      <c r="L6" s="1128"/>
      <c r="M6" s="1129"/>
      <c r="N6" s="1129"/>
      <c r="O6" s="1129"/>
      <c r="P6" s="3174"/>
      <c r="Q6" s="3175"/>
      <c r="R6" s="3178"/>
      <c r="S6" s="3179"/>
      <c r="T6" s="3180"/>
      <c r="U6" s="3181"/>
      <c r="V6" s="3163"/>
      <c r="W6" s="3163"/>
      <c r="X6" s="1810"/>
      <c r="Y6" s="3180"/>
      <c r="Z6" s="3181"/>
      <c r="AA6" s="3166"/>
      <c r="AB6" s="3166"/>
      <c r="AC6" s="3166"/>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86" t="s">
        <v>2552</v>
      </c>
      <c r="Q7" s="3188"/>
      <c r="R7" s="770" t="s">
        <v>17</v>
      </c>
      <c r="S7" s="771">
        <f t="shared" ref="S7:S15" si="0">F7</f>
        <v>0</v>
      </c>
      <c r="T7" s="770" t="s">
        <v>17</v>
      </c>
      <c r="U7" s="771">
        <f t="shared" ref="U7:U15" si="1">H7</f>
        <v>0</v>
      </c>
      <c r="V7" s="770" t="s">
        <v>17</v>
      </c>
      <c r="W7" s="771">
        <f t="shared" ref="W7:W15" si="2">J7</f>
        <v>0</v>
      </c>
      <c r="X7" s="772"/>
      <c r="Y7" s="3186" t="s">
        <v>2552</v>
      </c>
      <c r="Z7" s="3187"/>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6" t="s">
        <v>2555</v>
      </c>
      <c r="Q8" s="3187"/>
      <c r="R8" s="770" t="s">
        <v>17</v>
      </c>
      <c r="S8" s="771">
        <f t="shared" si="0"/>
        <v>0</v>
      </c>
      <c r="T8" s="770" t="s">
        <v>17</v>
      </c>
      <c r="U8" s="771">
        <f t="shared" si="1"/>
        <v>0</v>
      </c>
      <c r="V8" s="770" t="s">
        <v>17</v>
      </c>
      <c r="W8" s="771">
        <f t="shared" si="2"/>
        <v>0</v>
      </c>
      <c r="X8" s="772"/>
      <c r="Y8" s="3186" t="s">
        <v>2555</v>
      </c>
      <c r="Z8" s="3187"/>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7" t="s">
        <v>2558</v>
      </c>
      <c r="Q9" s="1792"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57"/>
      <c r="Q10" s="1792" t="str">
        <f t="shared" si="6"/>
        <v>土地使用年限（年）</v>
      </c>
      <c r="R10" s="770" t="s">
        <v>17</v>
      </c>
      <c r="S10" s="771">
        <f t="shared" si="0"/>
        <v>112</v>
      </c>
      <c r="T10" s="770" t="s">
        <v>17</v>
      </c>
      <c r="U10" s="771">
        <f t="shared" si="1"/>
        <v>112</v>
      </c>
      <c r="V10" s="770" t="s">
        <v>17</v>
      </c>
      <c r="W10" s="771">
        <f t="shared" si="2"/>
        <v>112</v>
      </c>
      <c r="X10" s="772"/>
      <c r="Y10" s="3005"/>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7"/>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7"/>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7"/>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7"/>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59" t="s">
        <v>2563</v>
      </c>
      <c r="Q15" s="1807" t="str">
        <f t="shared" si="6"/>
        <v>产业集聚程度</v>
      </c>
      <c r="R15" s="774" t="s">
        <v>17</v>
      </c>
      <c r="S15" s="775">
        <f t="shared" si="0"/>
        <v>100</v>
      </c>
      <c r="T15" s="774" t="s">
        <v>17</v>
      </c>
      <c r="U15" s="775">
        <f t="shared" si="1"/>
        <v>100</v>
      </c>
      <c r="V15" s="774" t="s">
        <v>17</v>
      </c>
      <c r="W15" s="775">
        <f t="shared" si="2"/>
        <v>100</v>
      </c>
      <c r="X15" s="1810"/>
      <c r="Y15" s="3159"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60"/>
      <c r="Q16" s="1807"/>
      <c r="R16" s="774"/>
      <c r="S16" s="775"/>
      <c r="T16" s="774"/>
      <c r="U16" s="775"/>
      <c r="V16" s="774"/>
      <c r="W16" s="775"/>
      <c r="X16" s="1810"/>
      <c r="Y16" s="3160"/>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0"/>
      <c r="Q17" s="1807" t="str">
        <f>B17</f>
        <v>交通便捷度</v>
      </c>
      <c r="R17" s="774" t="s">
        <v>17</v>
      </c>
      <c r="S17" s="775">
        <f>F17</f>
        <v>100</v>
      </c>
      <c r="T17" s="774" t="s">
        <v>17</v>
      </c>
      <c r="U17" s="775">
        <f>H17</f>
        <v>100</v>
      </c>
      <c r="V17" s="774" t="s">
        <v>17</v>
      </c>
      <c r="W17" s="775">
        <f>J17</f>
        <v>100</v>
      </c>
      <c r="X17" s="1810"/>
      <c r="Y17" s="3160"/>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60"/>
      <c r="Q18" s="1807"/>
      <c r="R18" s="774"/>
      <c r="S18" s="775"/>
      <c r="T18" s="774"/>
      <c r="U18" s="775"/>
      <c r="V18" s="774"/>
      <c r="W18" s="775"/>
      <c r="X18" s="1810"/>
      <c r="Y18" s="3160"/>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0"/>
      <c r="Q19" s="1807" t="str">
        <f t="shared" ref="Q19:Q33" si="8">B19</f>
        <v>区域土地利用方向</v>
      </c>
      <c r="R19" s="774" t="s">
        <v>17</v>
      </c>
      <c r="S19" s="775">
        <f>F19</f>
        <v>100</v>
      </c>
      <c r="T19" s="774" t="s">
        <v>17</v>
      </c>
      <c r="U19" s="775">
        <f>H19</f>
        <v>100</v>
      </c>
      <c r="V19" s="774" t="s">
        <v>17</v>
      </c>
      <c r="W19" s="775">
        <f>J19</f>
        <v>100</v>
      </c>
      <c r="X19" s="1810"/>
      <c r="Y19" s="3160"/>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60"/>
      <c r="Q20" s="1807"/>
      <c r="R20" s="774"/>
      <c r="S20" s="775"/>
      <c r="T20" s="774"/>
      <c r="U20" s="775"/>
      <c r="V20" s="774"/>
      <c r="W20" s="775"/>
      <c r="X20" s="1810"/>
      <c r="Y20" s="3160"/>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0"/>
      <c r="Q21" s="1807" t="str">
        <f t="shared" si="8"/>
        <v>环境状况</v>
      </c>
      <c r="R21" s="774" t="s">
        <v>17</v>
      </c>
      <c r="S21" s="775">
        <f>F21</f>
        <v>100</v>
      </c>
      <c r="T21" s="774" t="s">
        <v>17</v>
      </c>
      <c r="U21" s="775">
        <f>H21</f>
        <v>100</v>
      </c>
      <c r="V21" s="774" t="s">
        <v>17</v>
      </c>
      <c r="W21" s="775">
        <f>J21</f>
        <v>100</v>
      </c>
      <c r="X21" s="1810"/>
      <c r="Y21" s="3160"/>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60"/>
      <c r="Q22" s="1807"/>
      <c r="R22" s="774"/>
      <c r="S22" s="775"/>
      <c r="T22" s="774"/>
      <c r="U22" s="775"/>
      <c r="V22" s="774"/>
      <c r="W22" s="775"/>
      <c r="X22" s="1810"/>
      <c r="Y22" s="3160"/>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0"/>
      <c r="Q23" s="1792" t="str">
        <f t="shared" si="8"/>
        <v>公共配套设施</v>
      </c>
      <c r="R23" s="770" t="s">
        <v>17</v>
      </c>
      <c r="S23" s="771">
        <f>F23</f>
        <v>100</v>
      </c>
      <c r="T23" s="770" t="s">
        <v>17</v>
      </c>
      <c r="U23" s="771">
        <f>H23</f>
        <v>100</v>
      </c>
      <c r="V23" s="770" t="s">
        <v>17</v>
      </c>
      <c r="W23" s="771">
        <f>J23</f>
        <v>100</v>
      </c>
      <c r="X23" s="772"/>
      <c r="Y23" s="3160"/>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60"/>
      <c r="Q24" s="1792"/>
      <c r="R24" s="770"/>
      <c r="S24" s="771"/>
      <c r="T24" s="770"/>
      <c r="U24" s="771"/>
      <c r="V24" s="770"/>
      <c r="W24" s="771"/>
      <c r="X24" s="772"/>
      <c r="Y24" s="3160"/>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0"/>
      <c r="Q25" s="1792" t="str">
        <f t="shared" ref="Q25" si="9">B25</f>
        <v>基础设施水平</v>
      </c>
      <c r="R25" s="770" t="s">
        <v>17</v>
      </c>
      <c r="S25" s="771">
        <f>F25</f>
        <v>100</v>
      </c>
      <c r="T25" s="770" t="s">
        <v>17</v>
      </c>
      <c r="U25" s="771">
        <f>H25</f>
        <v>100</v>
      </c>
      <c r="V25" s="770" t="s">
        <v>17</v>
      </c>
      <c r="W25" s="771">
        <f>J25</f>
        <v>100</v>
      </c>
      <c r="X25" s="772"/>
      <c r="Y25" s="3160"/>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60"/>
      <c r="Q26" s="1792"/>
      <c r="R26" s="770"/>
      <c r="S26" s="771"/>
      <c r="T26" s="770"/>
      <c r="U26" s="771"/>
      <c r="V26" s="770"/>
      <c r="W26" s="771"/>
      <c r="X26" s="772"/>
      <c r="Y26" s="316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0"/>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60"/>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0"/>
      <c r="Q28" s="1807" t="str">
        <f t="shared" si="8"/>
        <v>毗邻道路的类型与等级</v>
      </c>
      <c r="R28" s="774" t="s">
        <v>17</v>
      </c>
      <c r="S28" s="775">
        <f t="shared" si="10"/>
        <v>100</v>
      </c>
      <c r="T28" s="774" t="s">
        <v>17</v>
      </c>
      <c r="U28" s="775">
        <f t="shared" si="11"/>
        <v>100</v>
      </c>
      <c r="V28" s="774" t="s">
        <v>17</v>
      </c>
      <c r="W28" s="775">
        <f t="shared" si="12"/>
        <v>100</v>
      </c>
      <c r="X28" s="1810"/>
      <c r="Y28" s="3160"/>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60"/>
      <c r="Q29" s="1807"/>
      <c r="R29" s="774"/>
      <c r="S29" s="775"/>
      <c r="T29" s="774"/>
      <c r="U29" s="775"/>
      <c r="V29" s="774"/>
      <c r="W29" s="775"/>
      <c r="X29" s="1810"/>
      <c r="Y29" s="3160"/>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0"/>
      <c r="Q30" s="1807" t="str">
        <f t="shared" si="8"/>
        <v>土地级别</v>
      </c>
      <c r="R30" s="774" t="s">
        <v>17</v>
      </c>
      <c r="S30" s="775">
        <f t="shared" si="10"/>
        <v>100</v>
      </c>
      <c r="T30" s="774" t="s">
        <v>17</v>
      </c>
      <c r="U30" s="775">
        <f t="shared" si="11"/>
        <v>100</v>
      </c>
      <c r="V30" s="774" t="s">
        <v>17</v>
      </c>
      <c r="W30" s="775">
        <f t="shared" si="12"/>
        <v>100</v>
      </c>
      <c r="X30" s="1810"/>
      <c r="Y30" s="3160"/>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0"/>
      <c r="Q31" s="1807">
        <f t="shared" si="8"/>
        <v>111</v>
      </c>
      <c r="R31" s="774" t="s">
        <v>17</v>
      </c>
      <c r="S31" s="775">
        <f t="shared" si="10"/>
        <v>100</v>
      </c>
      <c r="T31" s="774" t="s">
        <v>17</v>
      </c>
      <c r="U31" s="775">
        <f t="shared" si="11"/>
        <v>100</v>
      </c>
      <c r="V31" s="774" t="s">
        <v>17</v>
      </c>
      <c r="W31" s="775">
        <f t="shared" si="12"/>
        <v>100</v>
      </c>
      <c r="X31" s="1810"/>
      <c r="Y31" s="3160"/>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61" t="s">
        <v>2568</v>
      </c>
      <c r="Q32" s="1807">
        <f t="shared" si="8"/>
        <v>111</v>
      </c>
      <c r="R32" s="774" t="s">
        <v>17</v>
      </c>
      <c r="S32" s="775">
        <f t="shared" si="10"/>
        <v>100</v>
      </c>
      <c r="T32" s="774" t="s">
        <v>17</v>
      </c>
      <c r="U32" s="775">
        <f t="shared" si="11"/>
        <v>100</v>
      </c>
      <c r="V32" s="774" t="s">
        <v>17</v>
      </c>
      <c r="W32" s="775">
        <f t="shared" si="12"/>
        <v>100</v>
      </c>
      <c r="X32" s="1810"/>
      <c r="Y32" s="3162"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2"/>
      <c r="Q33" s="1807">
        <f t="shared" si="8"/>
        <v>111</v>
      </c>
      <c r="R33" s="777" t="s">
        <v>17</v>
      </c>
      <c r="S33" s="778">
        <f t="shared" si="10"/>
        <v>100</v>
      </c>
      <c r="T33" s="777" t="s">
        <v>17</v>
      </c>
      <c r="U33" s="778">
        <f t="shared" si="11"/>
        <v>100</v>
      </c>
      <c r="V33" s="777" t="s">
        <v>17</v>
      </c>
      <c r="W33" s="778">
        <f t="shared" si="12"/>
        <v>100</v>
      </c>
      <c r="X33" s="779"/>
      <c r="Y33" s="3162"/>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2"/>
      <c r="Q34" s="1807" t="str">
        <f>B34</f>
        <v>宗地面积</v>
      </c>
      <c r="R34" s="774" t="s">
        <v>17</v>
      </c>
      <c r="S34" s="775" t="e">
        <f t="shared" si="10"/>
        <v>#N/A</v>
      </c>
      <c r="T34" s="774" t="s">
        <v>17</v>
      </c>
      <c r="U34" s="775" t="e">
        <f t="shared" si="11"/>
        <v>#N/A</v>
      </c>
      <c r="V34" s="774" t="s">
        <v>17</v>
      </c>
      <c r="W34" s="775" t="e">
        <f t="shared" si="12"/>
        <v>#N/A</v>
      </c>
      <c r="X34" s="1810"/>
      <c r="Y34" s="3162"/>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2"/>
      <c r="Q35" s="1807" t="str">
        <f t="shared" ref="Q35:Q40" si="14">B35</f>
        <v>宗地形状</v>
      </c>
      <c r="R35" s="774" t="s">
        <v>17</v>
      </c>
      <c r="S35" s="775">
        <f t="shared" si="10"/>
        <v>100</v>
      </c>
      <c r="T35" s="774" t="s">
        <v>17</v>
      </c>
      <c r="U35" s="775">
        <f t="shared" si="11"/>
        <v>100</v>
      </c>
      <c r="V35" s="774" t="s">
        <v>17</v>
      </c>
      <c r="W35" s="775">
        <f t="shared" si="12"/>
        <v>100</v>
      </c>
      <c r="X35" s="1810"/>
      <c r="Y35" s="3162"/>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2"/>
      <c r="Q36" s="1807" t="str">
        <f t="shared" si="14"/>
        <v>宗地开发程度</v>
      </c>
      <c r="R36" s="770" t="s">
        <v>17</v>
      </c>
      <c r="S36" s="771">
        <f t="shared" si="10"/>
        <v>100</v>
      </c>
      <c r="T36" s="770" t="s">
        <v>17</v>
      </c>
      <c r="U36" s="771">
        <f t="shared" si="11"/>
        <v>100</v>
      </c>
      <c r="V36" s="770" t="s">
        <v>17</v>
      </c>
      <c r="W36" s="771">
        <f t="shared" si="12"/>
        <v>100</v>
      </c>
      <c r="X36" s="772"/>
      <c r="Y36" s="3162"/>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2" t="s">
        <v>2568</v>
      </c>
      <c r="Q37" s="1807" t="str">
        <f t="shared" si="14"/>
        <v>工程地质条件</v>
      </c>
      <c r="R37" s="774" t="s">
        <v>17</v>
      </c>
      <c r="S37" s="775">
        <f t="shared" si="10"/>
        <v>100</v>
      </c>
      <c r="T37" s="774" t="s">
        <v>17</v>
      </c>
      <c r="U37" s="775">
        <f t="shared" si="11"/>
        <v>100</v>
      </c>
      <c r="V37" s="774" t="s">
        <v>17</v>
      </c>
      <c r="W37" s="775">
        <f t="shared" si="12"/>
        <v>100</v>
      </c>
      <c r="X37" s="1810"/>
      <c r="Y37" s="3162"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2"/>
      <c r="Q38" s="1807">
        <f t="shared" si="14"/>
        <v>111</v>
      </c>
      <c r="R38" s="774" t="s">
        <v>17</v>
      </c>
      <c r="S38" s="775">
        <f t="shared" si="10"/>
        <v>100</v>
      </c>
      <c r="T38" s="774" t="s">
        <v>17</v>
      </c>
      <c r="U38" s="775">
        <f t="shared" si="11"/>
        <v>100</v>
      </c>
      <c r="V38" s="774" t="s">
        <v>17</v>
      </c>
      <c r="W38" s="775">
        <f t="shared" si="12"/>
        <v>100</v>
      </c>
      <c r="X38" s="1810"/>
      <c r="Y38" s="3162"/>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2"/>
      <c r="Q39" s="1807">
        <f t="shared" si="14"/>
        <v>111</v>
      </c>
      <c r="R39" s="774" t="s">
        <v>17</v>
      </c>
      <c r="S39" s="775">
        <f t="shared" si="10"/>
        <v>100</v>
      </c>
      <c r="T39" s="774" t="s">
        <v>17</v>
      </c>
      <c r="U39" s="775">
        <f t="shared" si="11"/>
        <v>100</v>
      </c>
      <c r="V39" s="774" t="s">
        <v>17</v>
      </c>
      <c r="W39" s="775">
        <f t="shared" si="12"/>
        <v>100</v>
      </c>
      <c r="X39" s="1810"/>
      <c r="Y39" s="3162"/>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2"/>
      <c r="Q40" s="1807">
        <f t="shared" si="14"/>
        <v>111</v>
      </c>
      <c r="R40" s="777" t="s">
        <v>17</v>
      </c>
      <c r="S40" s="778">
        <f t="shared" si="10"/>
        <v>100</v>
      </c>
      <c r="T40" s="777" t="s">
        <v>17</v>
      </c>
      <c r="U40" s="778">
        <f t="shared" si="11"/>
        <v>100</v>
      </c>
      <c r="V40" s="777" t="s">
        <v>17</v>
      </c>
      <c r="W40" s="778">
        <f t="shared" si="12"/>
        <v>100</v>
      </c>
      <c r="X40" s="779"/>
      <c r="Y40" s="3162"/>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57" t="str">
        <f>A41</f>
        <v>成交单价</v>
      </c>
      <c r="Q41" s="3157"/>
      <c r="R41" s="3163">
        <f>E41</f>
        <v>0</v>
      </c>
      <c r="S41" s="3163"/>
      <c r="T41" s="3163">
        <f>G41</f>
        <v>0</v>
      </c>
      <c r="U41" s="3163"/>
      <c r="V41" s="3163">
        <f>I41</f>
        <v>0</v>
      </c>
      <c r="W41" s="3163"/>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57" t="str">
        <f>A42</f>
        <v>比较价值（元/平方米）</v>
      </c>
      <c r="Q42" s="3157"/>
      <c r="R42" s="3150" t="e">
        <f>ROUND(PRODUCT(R41,AA7:AA40),0)</f>
        <v>#DIV/0!</v>
      </c>
      <c r="S42" s="3150"/>
      <c r="T42" s="3150" t="e">
        <f>ROUND(PRODUCT(T41,AB7:AB40),0)</f>
        <v>#DIV/0!</v>
      </c>
      <c r="U42" s="3150"/>
      <c r="V42" s="3150" t="e">
        <f>ROUND(PRODUCT(V41,AC7:AC40),0)</f>
        <v>#DIV/0!</v>
      </c>
      <c r="W42" s="3150"/>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51" t="str">
        <f>A43</f>
        <v>估价对象XX用房的比较价值（楼面单价，元/平方米）</v>
      </c>
      <c r="Q43" s="3152"/>
      <c r="R43" s="3153" t="e">
        <f>ROUND(AVERAGE(R42:V42),0)</f>
        <v>#DIV/0!</v>
      </c>
      <c r="S43" s="3153"/>
      <c r="T43" s="3153"/>
      <c r="U43" s="3153"/>
      <c r="V43" s="3153"/>
      <c r="W43" s="3153"/>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54" t="s">
        <v>2767</v>
      </c>
      <c r="H50" s="3155"/>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56"/>
      <c r="H51" s="3157"/>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58"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58"/>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58"/>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58"/>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2"/>
      <c r="B4" s="3253"/>
      <c r="C4" s="3253"/>
      <c r="D4" s="3254"/>
      <c r="E4" s="3254"/>
      <c r="F4" s="3254"/>
      <c r="G4" s="3254"/>
      <c r="H4" s="3254"/>
      <c r="I4" s="3254"/>
      <c r="J4" s="3255"/>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56"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7"/>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49" t="s">
        <v>2842</v>
      </c>
      <c r="X8" s="3250"/>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7"/>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1"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7"/>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7"/>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1"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56"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1"/>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8"/>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51"/>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58"/>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59"/>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6"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7"/>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66"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7"/>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7"/>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68"/>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60" t="s">
        <v>2976</v>
      </c>
      <c r="B90" s="3260"/>
      <c r="C90" s="3260"/>
      <c r="D90" s="3260"/>
      <c r="E90" s="3260"/>
      <c r="F90" s="3260"/>
      <c r="G90" s="3260"/>
      <c r="H90" s="3260"/>
      <c r="I90" s="3260"/>
      <c r="J90" s="3260"/>
      <c r="K90" s="2892"/>
      <c r="L90" s="2892"/>
      <c r="M90" s="2892"/>
      <c r="N90" s="2892"/>
    </row>
    <row r="91" spans="1:37">
      <c r="A91" s="3262" t="s">
        <v>2977</v>
      </c>
      <c r="B91" s="3262" t="s">
        <v>2978</v>
      </c>
      <c r="C91" s="2846" t="s">
        <v>2979</v>
      </c>
      <c r="D91" s="2847"/>
      <c r="E91" s="2847"/>
      <c r="F91" s="2847"/>
      <c r="G91" s="2847"/>
      <c r="H91" s="2847"/>
      <c r="I91" s="2847"/>
      <c r="J91" s="2893"/>
      <c r="K91" s="2894"/>
      <c r="L91" s="2894"/>
      <c r="M91" s="2894"/>
      <c r="N91" s="2894"/>
    </row>
    <row r="92" spans="1:37">
      <c r="A92" s="3262"/>
      <c r="B92" s="3262"/>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63"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4"/>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3"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64"/>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64"/>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64"/>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64"/>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64"/>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64"/>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64"/>
      <c r="B108" s="3120"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5"/>
      <c r="B109" s="3121"/>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61" t="s">
        <v>2984</v>
      </c>
      <c r="B110" s="3261"/>
      <c r="C110" s="3261"/>
      <c r="D110" s="3261"/>
      <c r="E110" s="3261"/>
      <c r="F110" s="3261"/>
      <c r="G110" s="3261"/>
      <c r="H110" s="3261"/>
      <c r="I110" s="3261"/>
      <c r="J110" s="3261"/>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69" t="s">
        <v>183</v>
      </c>
      <c r="B18" s="877" t="s">
        <v>560</v>
      </c>
      <c r="C18" s="878" t="s">
        <v>561</v>
      </c>
      <c r="D18" s="879"/>
      <c r="E18" s="877">
        <v>1</v>
      </c>
      <c r="F18" s="880" t="s">
        <v>562</v>
      </c>
      <c r="G18" s="881"/>
      <c r="H18" s="873"/>
      <c r="I18" s="873"/>
    </row>
    <row r="19" spans="1:9" s="882" customFormat="1" ht="19.5" customHeight="1">
      <c r="A19" s="3269"/>
      <c r="B19" s="3269" t="s">
        <v>563</v>
      </c>
      <c r="C19" s="878" t="s">
        <v>564</v>
      </c>
      <c r="D19" s="879"/>
      <c r="E19" s="877">
        <v>0.9</v>
      </c>
      <c r="F19" s="880" t="s">
        <v>565</v>
      </c>
      <c r="G19" s="881"/>
      <c r="H19" s="873"/>
      <c r="I19" s="873"/>
    </row>
    <row r="20" spans="1:9" s="882" customFormat="1" ht="19.5" customHeight="1">
      <c r="A20" s="3269"/>
      <c r="B20" s="3269"/>
      <c r="C20" s="878" t="s">
        <v>566</v>
      </c>
      <c r="D20" s="879"/>
      <c r="E20" s="877">
        <v>1.1000000000000001</v>
      </c>
      <c r="F20" s="880" t="s">
        <v>567</v>
      </c>
      <c r="G20" s="881"/>
      <c r="H20" s="873"/>
      <c r="I20" s="873"/>
    </row>
    <row r="21" spans="1:9" s="882" customFormat="1" ht="19.5" customHeight="1">
      <c r="A21" s="3269"/>
      <c r="B21" s="3269"/>
      <c r="C21" s="878" t="s">
        <v>568</v>
      </c>
      <c r="D21" s="879"/>
      <c r="E21" s="877">
        <v>0.8</v>
      </c>
      <c r="F21" s="880" t="s">
        <v>569</v>
      </c>
      <c r="G21" s="881"/>
      <c r="H21" s="873"/>
      <c r="I21" s="873"/>
    </row>
    <row r="22" spans="1:9" s="882" customFormat="1" ht="19.5" customHeight="1">
      <c r="A22" s="3269"/>
      <c r="B22" s="3269"/>
      <c r="C22" s="878" t="s">
        <v>570</v>
      </c>
      <c r="D22" s="879"/>
      <c r="E22" s="877">
        <v>0.5</v>
      </c>
      <c r="F22" s="880"/>
      <c r="G22" s="881"/>
      <c r="H22" s="873"/>
      <c r="I22" s="873"/>
    </row>
    <row r="23" spans="1:9" s="882" customFormat="1" ht="19.5" customHeight="1">
      <c r="A23" s="3269" t="s">
        <v>184</v>
      </c>
      <c r="B23" s="877" t="s">
        <v>560</v>
      </c>
      <c r="C23" s="878" t="s">
        <v>571</v>
      </c>
      <c r="D23" s="879"/>
      <c r="E23" s="877">
        <v>1</v>
      </c>
      <c r="F23" s="880" t="s">
        <v>572</v>
      </c>
      <c r="G23" s="881"/>
      <c r="H23" s="873"/>
      <c r="I23" s="873"/>
    </row>
    <row r="24" spans="1:9" s="882" customFormat="1" ht="19.5" customHeight="1">
      <c r="A24" s="3269"/>
      <c r="B24" s="3269" t="s">
        <v>563</v>
      </c>
      <c r="C24" s="878" t="s">
        <v>573</v>
      </c>
      <c r="D24" s="879"/>
      <c r="E24" s="877">
        <v>0.5</v>
      </c>
      <c r="F24" s="880"/>
      <c r="G24" s="881"/>
      <c r="H24" s="873"/>
      <c r="I24" s="873"/>
    </row>
    <row r="25" spans="1:9" s="882" customFormat="1" ht="19.5" customHeight="1">
      <c r="A25" s="3269"/>
      <c r="B25" s="3269"/>
      <c r="C25" s="878" t="s">
        <v>574</v>
      </c>
      <c r="D25" s="879"/>
      <c r="E25" s="877">
        <v>1.1000000000000001</v>
      </c>
      <c r="F25" s="880"/>
      <c r="G25" s="881"/>
      <c r="H25" s="873"/>
      <c r="I25" s="873"/>
    </row>
    <row r="26" spans="1:9" s="882" customFormat="1" ht="19.5" customHeight="1">
      <c r="A26" s="3269"/>
      <c r="B26" s="3269"/>
      <c r="C26" s="878" t="s">
        <v>575</v>
      </c>
      <c r="D26" s="879"/>
      <c r="E26" s="877">
        <v>1.1000000000000001</v>
      </c>
      <c r="F26" s="880"/>
      <c r="G26" s="881"/>
      <c r="H26" s="873"/>
      <c r="I26" s="873"/>
    </row>
    <row r="27" spans="1:9" s="882" customFormat="1" ht="19.5" customHeight="1">
      <c r="A27" s="3269"/>
      <c r="B27" s="3269"/>
      <c r="C27" s="878" t="s">
        <v>576</v>
      </c>
      <c r="D27" s="879"/>
      <c r="E27" s="877">
        <v>0.9</v>
      </c>
      <c r="F27" s="880" t="s">
        <v>577</v>
      </c>
      <c r="G27" s="881"/>
      <c r="H27" s="873"/>
      <c r="I27" s="873"/>
    </row>
    <row r="28" spans="1:9" s="882" customFormat="1" ht="19.5" customHeight="1">
      <c r="A28" s="3269"/>
      <c r="B28" s="3269"/>
      <c r="C28" s="878" t="s">
        <v>578</v>
      </c>
      <c r="D28" s="879"/>
      <c r="E28" s="877">
        <v>0.9</v>
      </c>
      <c r="F28" s="880" t="s">
        <v>579</v>
      </c>
      <c r="G28" s="881"/>
      <c r="H28" s="873"/>
      <c r="I28" s="873"/>
    </row>
    <row r="29" spans="1:9" s="882" customFormat="1" ht="19.5" customHeight="1">
      <c r="A29" s="3269"/>
      <c r="B29" s="3269"/>
      <c r="C29" s="878" t="s">
        <v>580</v>
      </c>
      <c r="D29" s="879"/>
      <c r="E29" s="877">
        <v>0.9</v>
      </c>
      <c r="F29" s="880" t="s">
        <v>581</v>
      </c>
      <c r="G29" s="881"/>
      <c r="H29" s="873"/>
      <c r="I29" s="873"/>
    </row>
    <row r="30" spans="1:9" s="882" customFormat="1" ht="19.5" customHeight="1">
      <c r="A30" s="3269"/>
      <c r="B30" s="3269"/>
      <c r="C30" s="878" t="s">
        <v>582</v>
      </c>
      <c r="D30" s="879"/>
      <c r="E30" s="877">
        <v>0.9</v>
      </c>
      <c r="F30" s="880" t="s">
        <v>583</v>
      </c>
      <c r="G30" s="881"/>
      <c r="H30" s="873"/>
      <c r="I30" s="873"/>
    </row>
    <row r="31" spans="1:9" s="882" customFormat="1" ht="19.5" customHeight="1">
      <c r="A31" s="3269"/>
      <c r="B31" s="3269"/>
      <c r="C31" s="878" t="s">
        <v>584</v>
      </c>
      <c r="D31" s="879"/>
      <c r="E31" s="877">
        <v>0.8</v>
      </c>
      <c r="F31" s="880" t="s">
        <v>585</v>
      </c>
      <c r="G31" s="881"/>
      <c r="H31" s="873"/>
      <c r="I31" s="873"/>
    </row>
    <row r="32" spans="1:9" s="882" customFormat="1" ht="19.5" customHeight="1">
      <c r="A32" s="3269"/>
      <c r="B32" s="3269"/>
      <c r="C32" s="878" t="s">
        <v>586</v>
      </c>
      <c r="D32" s="879"/>
      <c r="E32" s="877">
        <v>0.8</v>
      </c>
      <c r="F32" s="880" t="s">
        <v>587</v>
      </c>
      <c r="G32" s="881"/>
      <c r="H32" s="873"/>
      <c r="I32" s="873"/>
    </row>
    <row r="33" spans="1:9" s="882" customFormat="1" ht="19.5" customHeight="1">
      <c r="A33" s="3269" t="s">
        <v>185</v>
      </c>
      <c r="B33" s="877" t="s">
        <v>560</v>
      </c>
      <c r="C33" s="878" t="s">
        <v>588</v>
      </c>
      <c r="D33" s="879"/>
      <c r="E33" s="877">
        <v>1</v>
      </c>
      <c r="F33" s="880" t="s">
        <v>589</v>
      </c>
      <c r="G33" s="881"/>
      <c r="H33" s="873"/>
      <c r="I33" s="873"/>
    </row>
    <row r="34" spans="1:9" s="882" customFormat="1" ht="19.5" customHeight="1">
      <c r="A34" s="3269"/>
      <c r="B34" s="877" t="s">
        <v>563</v>
      </c>
      <c r="C34" s="878" t="s">
        <v>590</v>
      </c>
      <c r="D34" s="879"/>
      <c r="E34" s="877">
        <v>1.5</v>
      </c>
      <c r="F34" s="880" t="s">
        <v>591</v>
      </c>
      <c r="G34" s="881"/>
      <c r="H34" s="873"/>
      <c r="I34" s="873"/>
    </row>
    <row r="35" spans="1:9" s="882" customFormat="1" ht="19.5" customHeight="1">
      <c r="A35" s="3269" t="s">
        <v>186</v>
      </c>
      <c r="B35" s="877" t="s">
        <v>560</v>
      </c>
      <c r="C35" s="878" t="s">
        <v>592</v>
      </c>
      <c r="D35" s="879"/>
      <c r="E35" s="877">
        <v>1</v>
      </c>
      <c r="F35" s="880" t="s">
        <v>593</v>
      </c>
      <c r="G35" s="881"/>
      <c r="H35" s="873"/>
      <c r="I35" s="873"/>
    </row>
    <row r="36" spans="1:9" s="882" customFormat="1" ht="19.5" customHeight="1">
      <c r="A36" s="3269"/>
      <c r="B36" s="3269" t="s">
        <v>563</v>
      </c>
      <c r="C36" s="878" t="s">
        <v>594</v>
      </c>
      <c r="D36" s="879"/>
      <c r="E36" s="877">
        <v>1</v>
      </c>
      <c r="F36" s="880" t="s">
        <v>595</v>
      </c>
      <c r="G36" s="881"/>
      <c r="H36" s="873"/>
      <c r="I36" s="873"/>
    </row>
    <row r="37" spans="1:9" s="882" customFormat="1" ht="19.5" customHeight="1">
      <c r="A37" s="3269"/>
      <c r="B37" s="3269"/>
      <c r="C37" s="878" t="s">
        <v>596</v>
      </c>
      <c r="D37" s="879"/>
      <c r="E37" s="877">
        <v>1.5</v>
      </c>
      <c r="F37" s="880" t="s">
        <v>597</v>
      </c>
      <c r="G37" s="881"/>
      <c r="H37" s="873"/>
      <c r="I37" s="873"/>
    </row>
    <row r="38" spans="1:9" s="882" customFormat="1" ht="19.5" customHeight="1">
      <c r="A38" s="3269"/>
      <c r="B38" s="3269"/>
      <c r="C38" s="878" t="s">
        <v>598</v>
      </c>
      <c r="D38" s="879"/>
      <c r="E38" s="877">
        <v>1</v>
      </c>
      <c r="F38" s="880" t="s">
        <v>599</v>
      </c>
      <c r="G38" s="881"/>
      <c r="H38" s="873"/>
      <c r="I38" s="873"/>
    </row>
    <row r="39" spans="1:9" s="882" customFormat="1" ht="19.5" customHeight="1">
      <c r="A39" s="3269"/>
      <c r="B39" s="326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69" t="s">
        <v>614</v>
      </c>
      <c r="C61" s="813" t="s">
        <v>615</v>
      </c>
      <c r="D61" s="813" t="s">
        <v>616</v>
      </c>
      <c r="E61" s="890">
        <v>0.5</v>
      </c>
      <c r="F61" s="877">
        <v>80</v>
      </c>
    </row>
    <row r="62" spans="1:8" s="873" customFormat="1" ht="24">
      <c r="A62" s="877">
        <v>2</v>
      </c>
      <c r="B62" s="3269"/>
      <c r="C62" s="813" t="s">
        <v>617</v>
      </c>
      <c r="D62" s="813" t="s">
        <v>618</v>
      </c>
      <c r="E62" s="890">
        <v>0.5</v>
      </c>
      <c r="F62" s="877">
        <v>80</v>
      </c>
    </row>
    <row r="63" spans="1:8" s="873" customFormat="1" ht="36">
      <c r="A63" s="877">
        <v>3</v>
      </c>
      <c r="B63" s="3269"/>
      <c r="C63" s="813" t="s">
        <v>619</v>
      </c>
      <c r="D63" s="813" t="s">
        <v>620</v>
      </c>
      <c r="E63" s="890">
        <v>0.5</v>
      </c>
      <c r="F63" s="877">
        <v>80</v>
      </c>
    </row>
    <row r="64" spans="1:8" s="873" customFormat="1" ht="36">
      <c r="A64" s="877">
        <v>4</v>
      </c>
      <c r="B64" s="3269"/>
      <c r="C64" s="813" t="s">
        <v>621</v>
      </c>
      <c r="D64" s="813" t="s">
        <v>622</v>
      </c>
      <c r="E64" s="890">
        <v>0.4</v>
      </c>
      <c r="F64" s="877">
        <v>60</v>
      </c>
    </row>
    <row r="65" spans="1:6" s="873" customFormat="1" ht="36">
      <c r="A65" s="877">
        <v>5</v>
      </c>
      <c r="B65" s="3269"/>
      <c r="C65" s="813" t="s">
        <v>623</v>
      </c>
      <c r="D65" s="813" t="s">
        <v>624</v>
      </c>
      <c r="E65" s="890">
        <v>0.2</v>
      </c>
      <c r="F65" s="877">
        <v>30</v>
      </c>
    </row>
    <row r="66" spans="1:6" s="873" customFormat="1" ht="36">
      <c r="A66" s="877">
        <v>6</v>
      </c>
      <c r="B66" s="3269"/>
      <c r="C66" s="813" t="s">
        <v>625</v>
      </c>
      <c r="D66" s="813" t="s">
        <v>626</v>
      </c>
      <c r="E66" s="890">
        <v>0.3</v>
      </c>
      <c r="F66" s="877">
        <v>50</v>
      </c>
    </row>
    <row r="67" spans="1:6" s="873" customFormat="1" ht="36">
      <c r="A67" s="877">
        <v>7</v>
      </c>
      <c r="B67" s="3269"/>
      <c r="C67" s="813" t="s">
        <v>627</v>
      </c>
      <c r="D67" s="813" t="s">
        <v>628</v>
      </c>
      <c r="E67" s="890">
        <v>0.2</v>
      </c>
      <c r="F67" s="877">
        <v>30</v>
      </c>
    </row>
    <row r="68" spans="1:6" s="873" customFormat="1" ht="36">
      <c r="A68" s="877">
        <v>8</v>
      </c>
      <c r="B68" s="3269"/>
      <c r="C68" s="813" t="s">
        <v>629</v>
      </c>
      <c r="D68" s="813" t="s">
        <v>630</v>
      </c>
      <c r="E68" s="890">
        <v>0.2</v>
      </c>
      <c r="F68" s="877">
        <v>30</v>
      </c>
    </row>
    <row r="69" spans="1:6" s="873" customFormat="1" ht="36">
      <c r="A69" s="877">
        <v>9</v>
      </c>
      <c r="B69" s="3269"/>
      <c r="C69" s="813" t="s">
        <v>631</v>
      </c>
      <c r="D69" s="813" t="s">
        <v>632</v>
      </c>
      <c r="E69" s="890">
        <v>0.2</v>
      </c>
      <c r="F69" s="877">
        <v>30</v>
      </c>
    </row>
    <row r="70" spans="1:6" s="873" customFormat="1" ht="48">
      <c r="A70" s="877">
        <v>10</v>
      </c>
      <c r="B70" s="3269"/>
      <c r="C70" s="813" t="s">
        <v>633</v>
      </c>
      <c r="D70" s="813" t="s">
        <v>634</v>
      </c>
      <c r="E70" s="890">
        <v>0.2</v>
      </c>
      <c r="F70" s="877">
        <v>30</v>
      </c>
    </row>
    <row r="71" spans="1:6" s="873" customFormat="1" ht="48">
      <c r="A71" s="877">
        <v>11</v>
      </c>
      <c r="B71" s="3269"/>
      <c r="C71" s="813" t="s">
        <v>635</v>
      </c>
      <c r="D71" s="813" t="s">
        <v>636</v>
      </c>
      <c r="E71" s="890">
        <v>0.2</v>
      </c>
      <c r="F71" s="877">
        <v>30</v>
      </c>
    </row>
    <row r="72" spans="1:6" s="873" customFormat="1" ht="36">
      <c r="A72" s="877">
        <v>12</v>
      </c>
      <c r="B72" s="3269"/>
      <c r="C72" s="813" t="s">
        <v>637</v>
      </c>
      <c r="D72" s="813" t="s">
        <v>638</v>
      </c>
      <c r="E72" s="890">
        <v>0.5</v>
      </c>
      <c r="F72" s="877">
        <v>80</v>
      </c>
    </row>
    <row r="73" spans="1:6" s="873" customFormat="1" ht="24">
      <c r="A73" s="877">
        <v>13</v>
      </c>
      <c r="B73" s="3269"/>
      <c r="C73" s="813" t="s">
        <v>639</v>
      </c>
      <c r="D73" s="813" t="s">
        <v>640</v>
      </c>
      <c r="E73" s="890">
        <v>0.4</v>
      </c>
      <c r="F73" s="877">
        <v>60</v>
      </c>
    </row>
    <row r="74" spans="1:6" s="873" customFormat="1" ht="24">
      <c r="A74" s="877">
        <v>14</v>
      </c>
      <c r="B74" s="3269"/>
      <c r="C74" s="813" t="s">
        <v>641</v>
      </c>
      <c r="D74" s="813" t="s">
        <v>642</v>
      </c>
      <c r="E74" s="890">
        <v>0.2</v>
      </c>
      <c r="F74" s="877">
        <v>30</v>
      </c>
    </row>
    <row r="75" spans="1:6" s="873" customFormat="1" ht="24">
      <c r="A75" s="877">
        <v>15</v>
      </c>
      <c r="B75" s="3269"/>
      <c r="C75" s="813" t="s">
        <v>643</v>
      </c>
      <c r="D75" s="813" t="s">
        <v>644</v>
      </c>
      <c r="E75" s="890">
        <v>0.2</v>
      </c>
      <c r="F75" s="877">
        <v>30</v>
      </c>
    </row>
    <row r="76" spans="1:6" s="873" customFormat="1" ht="24">
      <c r="A76" s="877">
        <v>16</v>
      </c>
      <c r="B76" s="3269" t="s">
        <v>645</v>
      </c>
      <c r="C76" s="813" t="s">
        <v>646</v>
      </c>
      <c r="D76" s="813" t="s">
        <v>647</v>
      </c>
      <c r="E76" s="890">
        <v>0.5</v>
      </c>
      <c r="F76" s="877">
        <v>80</v>
      </c>
    </row>
    <row r="77" spans="1:6" s="873" customFormat="1" ht="24">
      <c r="A77" s="877">
        <v>17</v>
      </c>
      <c r="B77" s="3269"/>
      <c r="C77" s="813" t="s">
        <v>648</v>
      </c>
      <c r="D77" s="813" t="s">
        <v>649</v>
      </c>
      <c r="E77" s="890">
        <v>0.5</v>
      </c>
      <c r="F77" s="877">
        <v>80</v>
      </c>
    </row>
    <row r="78" spans="1:6" s="873" customFormat="1" ht="24">
      <c r="A78" s="877">
        <v>18</v>
      </c>
      <c r="B78" s="3269"/>
      <c r="C78" s="813" t="s">
        <v>650</v>
      </c>
      <c r="D78" s="813" t="s">
        <v>651</v>
      </c>
      <c r="E78" s="890">
        <v>0.2</v>
      </c>
      <c r="F78" s="877">
        <v>30</v>
      </c>
    </row>
    <row r="79" spans="1:6" s="873" customFormat="1" ht="24">
      <c r="A79" s="877">
        <v>19</v>
      </c>
      <c r="B79" s="3269"/>
      <c r="C79" s="813" t="s">
        <v>652</v>
      </c>
      <c r="D79" s="813" t="s">
        <v>653</v>
      </c>
      <c r="E79" s="890">
        <v>0.5</v>
      </c>
      <c r="F79" s="877">
        <v>80</v>
      </c>
    </row>
    <row r="80" spans="1:6" s="873" customFormat="1" ht="36">
      <c r="A80" s="877">
        <v>20</v>
      </c>
      <c r="B80" s="3269"/>
      <c r="C80" s="813" t="s">
        <v>654</v>
      </c>
      <c r="D80" s="813" t="s">
        <v>655</v>
      </c>
      <c r="E80" s="890">
        <v>0.2</v>
      </c>
      <c r="F80" s="877">
        <v>30</v>
      </c>
    </row>
    <row r="81" spans="1:6" s="873" customFormat="1" ht="36">
      <c r="A81" s="877">
        <v>21</v>
      </c>
      <c r="B81" s="3269"/>
      <c r="C81" s="813" t="s">
        <v>656</v>
      </c>
      <c r="D81" s="813" t="s">
        <v>657</v>
      </c>
      <c r="E81" s="890">
        <v>0.2</v>
      </c>
      <c r="F81" s="877">
        <v>30</v>
      </c>
    </row>
    <row r="82" spans="1:6" s="873" customFormat="1" ht="48">
      <c r="A82" s="877">
        <v>22</v>
      </c>
      <c r="B82" s="3269"/>
      <c r="C82" s="813" t="s">
        <v>658</v>
      </c>
      <c r="D82" s="813" t="s">
        <v>659</v>
      </c>
      <c r="E82" s="890">
        <v>0.2</v>
      </c>
      <c r="F82" s="877">
        <v>30</v>
      </c>
    </row>
    <row r="83" spans="1:6" s="873" customFormat="1" ht="48">
      <c r="A83" s="877">
        <v>23</v>
      </c>
      <c r="B83" s="3269"/>
      <c r="C83" s="813" t="s">
        <v>660</v>
      </c>
      <c r="D83" s="813" t="s">
        <v>661</v>
      </c>
      <c r="E83" s="890">
        <v>0.2</v>
      </c>
      <c r="F83" s="877">
        <v>30</v>
      </c>
    </row>
    <row r="84" spans="1:6" s="873" customFormat="1" ht="36">
      <c r="A84" s="877">
        <v>24</v>
      </c>
      <c r="B84" s="3269"/>
      <c r="C84" s="813" t="s">
        <v>662</v>
      </c>
      <c r="D84" s="813" t="s">
        <v>663</v>
      </c>
      <c r="E84" s="890">
        <v>0.2</v>
      </c>
      <c r="F84" s="877">
        <v>30</v>
      </c>
    </row>
    <row r="85" spans="1:6" s="873" customFormat="1" ht="36">
      <c r="A85" s="877">
        <v>25</v>
      </c>
      <c r="B85" s="3269"/>
      <c r="C85" s="813" t="s">
        <v>664</v>
      </c>
      <c r="D85" s="813" t="s">
        <v>665</v>
      </c>
      <c r="E85" s="890">
        <v>0.5</v>
      </c>
      <c r="F85" s="877">
        <v>80</v>
      </c>
    </row>
    <row r="86" spans="1:6" s="873" customFormat="1" ht="36">
      <c r="A86" s="877">
        <v>26</v>
      </c>
      <c r="B86" s="3269"/>
      <c r="C86" s="813" t="s">
        <v>666</v>
      </c>
      <c r="D86" s="813" t="s">
        <v>667</v>
      </c>
      <c r="E86" s="890">
        <v>0.2</v>
      </c>
      <c r="F86" s="877">
        <v>30</v>
      </c>
    </row>
    <row r="87" spans="1:6" s="873" customFormat="1" ht="36">
      <c r="A87" s="877">
        <v>27</v>
      </c>
      <c r="B87" s="3269"/>
      <c r="C87" s="813" t="s">
        <v>668</v>
      </c>
      <c r="D87" s="813" t="s">
        <v>669</v>
      </c>
      <c r="E87" s="890">
        <v>0.2</v>
      </c>
      <c r="F87" s="877">
        <v>30</v>
      </c>
    </row>
    <row r="88" spans="1:6" s="873" customFormat="1" ht="36">
      <c r="A88" s="877">
        <v>28</v>
      </c>
      <c r="B88" s="3269"/>
      <c r="C88" s="813" t="s">
        <v>670</v>
      </c>
      <c r="D88" s="813" t="s">
        <v>671</v>
      </c>
      <c r="E88" s="890">
        <v>0.2</v>
      </c>
      <c r="F88" s="877">
        <v>30</v>
      </c>
    </row>
    <row r="89" spans="1:6" s="873" customFormat="1" ht="24">
      <c r="A89" s="877">
        <v>29</v>
      </c>
      <c r="B89" s="3269"/>
      <c r="C89" s="813" t="s">
        <v>672</v>
      </c>
      <c r="D89" s="813" t="s">
        <v>673</v>
      </c>
      <c r="E89" s="890">
        <v>0.2</v>
      </c>
      <c r="F89" s="877">
        <v>30</v>
      </c>
    </row>
    <row r="90" spans="1:6" s="873" customFormat="1" ht="24">
      <c r="A90" s="877">
        <v>30</v>
      </c>
      <c r="B90" s="3269"/>
      <c r="C90" s="813" t="s">
        <v>674</v>
      </c>
      <c r="D90" s="813" t="s">
        <v>675</v>
      </c>
      <c r="E90" s="890">
        <v>0.2</v>
      </c>
      <c r="F90" s="877">
        <v>30</v>
      </c>
    </row>
    <row r="91" spans="1:6" s="873" customFormat="1" ht="36">
      <c r="A91" s="877">
        <v>31</v>
      </c>
      <c r="B91" s="3269"/>
      <c r="C91" s="813" t="s">
        <v>676</v>
      </c>
      <c r="D91" s="813" t="s">
        <v>677</v>
      </c>
      <c r="E91" s="890">
        <v>0.2</v>
      </c>
      <c r="F91" s="877">
        <v>30</v>
      </c>
    </row>
    <row r="92" spans="1:6" s="873" customFormat="1" ht="24">
      <c r="A92" s="877">
        <v>32</v>
      </c>
      <c r="B92" s="3269" t="s">
        <v>678</v>
      </c>
      <c r="C92" s="877" t="s">
        <v>679</v>
      </c>
      <c r="D92" s="813" t="s">
        <v>680</v>
      </c>
      <c r="E92" s="890">
        <v>0.2</v>
      </c>
      <c r="F92" s="877">
        <v>30</v>
      </c>
    </row>
    <row r="93" spans="1:6" s="873" customFormat="1" ht="36">
      <c r="A93" s="877">
        <v>33</v>
      </c>
      <c r="B93" s="3269"/>
      <c r="C93" s="877" t="s">
        <v>681</v>
      </c>
      <c r="D93" s="813" t="s">
        <v>682</v>
      </c>
      <c r="E93" s="890">
        <v>0.2</v>
      </c>
      <c r="F93" s="877">
        <v>30</v>
      </c>
    </row>
    <row r="94" spans="1:6" s="873" customFormat="1" ht="48">
      <c r="A94" s="877">
        <v>34</v>
      </c>
      <c r="B94" s="3269"/>
      <c r="C94" s="877" t="s">
        <v>683</v>
      </c>
      <c r="D94" s="813" t="s">
        <v>684</v>
      </c>
      <c r="E94" s="890">
        <v>0.2</v>
      </c>
      <c r="F94" s="877">
        <v>30</v>
      </c>
    </row>
    <row r="95" spans="1:6" s="873" customFormat="1" ht="36">
      <c r="A95" s="877">
        <v>35</v>
      </c>
      <c r="B95" s="3269"/>
      <c r="C95" s="877" t="s">
        <v>685</v>
      </c>
      <c r="D95" s="813" t="s">
        <v>686</v>
      </c>
      <c r="E95" s="890">
        <v>0.2</v>
      </c>
      <c r="F95" s="877">
        <v>30</v>
      </c>
    </row>
    <row r="96" spans="1:6" s="873" customFormat="1" ht="48">
      <c r="A96" s="877">
        <v>36</v>
      </c>
      <c r="B96" s="3269"/>
      <c r="C96" s="813" t="s">
        <v>687</v>
      </c>
      <c r="D96" s="813" t="s">
        <v>688</v>
      </c>
      <c r="E96" s="890">
        <v>0.2</v>
      </c>
      <c r="F96" s="877">
        <v>30</v>
      </c>
    </row>
    <row r="97" spans="1:6" s="873" customFormat="1" ht="36">
      <c r="A97" s="877">
        <v>37</v>
      </c>
      <c r="B97" s="3269"/>
      <c r="C97" s="877" t="s">
        <v>689</v>
      </c>
      <c r="D97" s="813" t="s">
        <v>690</v>
      </c>
      <c r="E97" s="890">
        <v>0.2</v>
      </c>
      <c r="F97" s="877">
        <v>30</v>
      </c>
    </row>
    <row r="98" spans="1:6" s="873" customFormat="1" ht="36">
      <c r="A98" s="877">
        <v>38</v>
      </c>
      <c r="B98" s="3269"/>
      <c r="C98" s="877" t="s">
        <v>691</v>
      </c>
      <c r="D98" s="813" t="s">
        <v>692</v>
      </c>
      <c r="E98" s="890">
        <v>0.2</v>
      </c>
      <c r="F98" s="877">
        <v>30</v>
      </c>
    </row>
    <row r="99" spans="1:6" s="873" customFormat="1" ht="36">
      <c r="A99" s="877">
        <v>39</v>
      </c>
      <c r="B99" s="3269" t="s">
        <v>693</v>
      </c>
      <c r="C99" s="877" t="s">
        <v>694</v>
      </c>
      <c r="D99" s="813" t="s">
        <v>695</v>
      </c>
      <c r="E99" s="890">
        <v>0.3</v>
      </c>
      <c r="F99" s="877">
        <v>50</v>
      </c>
    </row>
    <row r="100" spans="1:6" s="873" customFormat="1" ht="24">
      <c r="A100" s="877">
        <v>40</v>
      </c>
      <c r="B100" s="3269"/>
      <c r="C100" s="877" t="s">
        <v>696</v>
      </c>
      <c r="D100" s="813" t="s">
        <v>697</v>
      </c>
      <c r="E100" s="890">
        <v>0.2</v>
      </c>
      <c r="F100" s="877">
        <v>30</v>
      </c>
    </row>
    <row r="101" spans="1:6" s="873" customFormat="1" ht="36">
      <c r="A101" s="877">
        <v>41</v>
      </c>
      <c r="B101" s="326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69" t="s">
        <v>708</v>
      </c>
      <c r="C105" s="877" t="s">
        <v>709</v>
      </c>
      <c r="D105" s="813" t="s">
        <v>710</v>
      </c>
      <c r="E105" s="890">
        <v>0.2</v>
      </c>
      <c r="F105" s="877">
        <v>30</v>
      </c>
    </row>
    <row r="106" spans="1:6" s="873" customFormat="1" ht="36">
      <c r="A106" s="877">
        <v>46</v>
      </c>
      <c r="B106" s="3269"/>
      <c r="C106" s="877" t="s">
        <v>711</v>
      </c>
      <c r="D106" s="813" t="s">
        <v>712</v>
      </c>
      <c r="E106" s="890">
        <v>0.2</v>
      </c>
      <c r="F106" s="877">
        <v>30</v>
      </c>
    </row>
    <row r="107" spans="1:6" s="873" customFormat="1" ht="36">
      <c r="A107" s="877">
        <v>47</v>
      </c>
      <c r="B107" s="3269" t="s">
        <v>713</v>
      </c>
      <c r="C107" s="877" t="s">
        <v>714</v>
      </c>
      <c r="D107" s="813" t="s">
        <v>715</v>
      </c>
      <c r="E107" s="890">
        <v>0.3</v>
      </c>
      <c r="F107" s="877">
        <v>50</v>
      </c>
    </row>
    <row r="108" spans="1:6" s="873" customFormat="1" ht="36">
      <c r="A108" s="877">
        <v>48</v>
      </c>
      <c r="B108" s="326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69" t="s">
        <v>724</v>
      </c>
      <c r="C111" s="877" t="s">
        <v>725</v>
      </c>
      <c r="D111" s="813" t="s">
        <v>726</v>
      </c>
      <c r="E111" s="890">
        <v>0.2</v>
      </c>
      <c r="F111" s="877">
        <v>30</v>
      </c>
    </row>
    <row r="112" spans="1:6" s="873" customFormat="1" ht="24">
      <c r="A112" s="877">
        <v>52</v>
      </c>
      <c r="B112" s="3269"/>
      <c r="C112" s="877" t="s">
        <v>727</v>
      </c>
      <c r="D112" s="813" t="s">
        <v>728</v>
      </c>
      <c r="E112" s="890">
        <v>0.2</v>
      </c>
      <c r="F112" s="877">
        <v>30</v>
      </c>
    </row>
    <row r="113" spans="1:6" s="873" customFormat="1" ht="24">
      <c r="A113" s="877">
        <v>53</v>
      </c>
      <c r="B113" s="326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69" t="s">
        <v>737</v>
      </c>
      <c r="C116" s="877" t="s">
        <v>738</v>
      </c>
      <c r="D116" s="813" t="s">
        <v>739</v>
      </c>
      <c r="E116" s="890">
        <v>0.2</v>
      </c>
      <c r="F116" s="877">
        <v>30</v>
      </c>
    </row>
    <row r="117" spans="1:6" ht="36">
      <c r="A117" s="877">
        <v>57</v>
      </c>
      <c r="B117" s="326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1630</v>
      </c>
      <c r="C4" s="2965"/>
      <c r="D4" s="2965"/>
      <c r="E4" s="1958"/>
    </row>
    <row r="5" spans="1:5" ht="16.5" thickTop="1">
      <c r="A5" s="1956"/>
      <c r="B5" s="2963" t="s">
        <v>1622</v>
      </c>
      <c r="C5" s="1959" t="s">
        <v>1623</v>
      </c>
      <c r="D5" s="1038">
        <f ca="1">结果表!H101</f>
        <v>50834</v>
      </c>
      <c r="E5" s="1956"/>
    </row>
    <row r="6" spans="1:5" ht="15.75">
      <c r="A6" s="1956"/>
      <c r="B6" s="2963"/>
      <c r="C6" s="1959" t="s">
        <v>1624</v>
      </c>
      <c r="D6" s="1038" t="str">
        <f ca="1">NUMBERSTRING(INT(D5*10000),2)&amp;"元整"</f>
        <v>伍亿零捌佰叁拾肆万元整</v>
      </c>
      <c r="E6" s="1956"/>
    </row>
    <row r="7" spans="1:5" ht="15.75">
      <c r="A7" s="1956"/>
      <c r="B7" s="2968"/>
      <c r="C7" s="1960" t="s">
        <v>1625</v>
      </c>
      <c r="D7" s="1039">
        <f ca="1">结果表!H102</f>
        <v>10154</v>
      </c>
      <c r="E7" s="1956"/>
    </row>
    <row r="8" spans="1:5" ht="15.75">
      <c r="A8" s="1956"/>
      <c r="B8" s="2969" t="str">
        <f>结果表!E103</f>
        <v>2.估价师知悉的法定优先受偿款</v>
      </c>
      <c r="C8" s="1961" t="s">
        <v>1626</v>
      </c>
      <c r="D8" s="1039">
        <f>结果表!H103</f>
        <v>0</v>
      </c>
      <c r="E8" s="1956"/>
    </row>
    <row r="9" spans="1:5" ht="15.75">
      <c r="A9" s="1956"/>
      <c r="B9" s="2971"/>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2962" t="str">
        <f>结果表!E107</f>
        <v>3.房地产抵押价值</v>
      </c>
      <c r="C13" s="1964" t="s">
        <v>1623</v>
      </c>
      <c r="D13" s="1041">
        <f ca="1">结果表!H107</f>
        <v>50834</v>
      </c>
      <c r="E13" s="1956"/>
    </row>
    <row r="14" spans="1:5" ht="15.75">
      <c r="A14" s="1956"/>
      <c r="B14" s="2963"/>
      <c r="C14" s="1959" t="s">
        <v>1624</v>
      </c>
      <c r="D14" s="1038" t="str">
        <f ca="1">NUMBERSTRING(INT(D13*10000),2)&amp;"元整"</f>
        <v>伍亿零捌佰叁拾肆万元整</v>
      </c>
      <c r="E14" s="1956"/>
    </row>
    <row r="15" spans="1:5" ht="15">
      <c r="A15" s="1956"/>
      <c r="B15" s="2968"/>
      <c r="C15" s="1960" t="s">
        <v>1634</v>
      </c>
      <c r="D15" s="1050">
        <f ca="1">结果表!H108</f>
        <v>10154</v>
      </c>
      <c r="E15" s="1956"/>
    </row>
    <row r="16" spans="1:5" ht="15">
      <c r="A16" s="1956"/>
      <c r="B16" s="2969" t="str">
        <f>结果表!E109</f>
        <v>——</v>
      </c>
      <c r="C16" s="1964" t="s">
        <v>1635</v>
      </c>
      <c r="D16" s="1965" t="str">
        <f>结果表!H109</f>
        <v>——</v>
      </c>
      <c r="E16" s="1956"/>
    </row>
    <row r="17" spans="1:5" ht="15.75">
      <c r="A17" s="1956"/>
      <c r="B17" s="2970"/>
      <c r="C17" s="1959" t="s">
        <v>1636</v>
      </c>
      <c r="D17" s="1038" t="e">
        <f>NUMBERSTRING(INT(D16*10000),2)&amp;"元整"</f>
        <v>#VALUE!</v>
      </c>
      <c r="E17" s="1956"/>
    </row>
    <row r="18" spans="1:5" ht="15">
      <c r="A18" s="1956"/>
      <c r="B18" s="2971"/>
      <c r="C18" s="1960" t="s">
        <v>1625</v>
      </c>
      <c r="D18" s="1050" t="str">
        <f>结果表!H110</f>
        <v>——</v>
      </c>
      <c r="E18" s="1956"/>
    </row>
    <row r="19" spans="1:5" ht="15.75">
      <c r="A19" s="1956"/>
      <c r="B19" s="2962" t="str">
        <f>结果表!E111</f>
        <v>——</v>
      </c>
      <c r="C19" s="1964" t="s">
        <v>1623</v>
      </c>
      <c r="D19" s="1039" t="str">
        <f>结果表!H111</f>
        <v>——</v>
      </c>
      <c r="E19" s="1956"/>
    </row>
    <row r="20" spans="1:5" ht="15.75">
      <c r="A20" s="1956"/>
      <c r="B20" s="2963"/>
      <c r="C20" s="1959" t="s">
        <v>1636</v>
      </c>
      <c r="D20" s="1038" t="e">
        <f>NUMBERSTRING(INT(D19*10000),2)&amp;"元整"</f>
        <v>#VALUE!</v>
      </c>
      <c r="E20" s="1956"/>
    </row>
    <row r="21" spans="1:5" ht="15.75" thickBot="1">
      <c r="A21" s="1956"/>
      <c r="B21" s="2964"/>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5" t="s">
        <v>1150</v>
      </c>
      <c r="C1" s="3275"/>
      <c r="D1" s="3275"/>
      <c r="E1" s="3275"/>
      <c r="F1" s="3275"/>
      <c r="G1" s="3274" t="s">
        <v>1151</v>
      </c>
      <c r="H1" s="3274"/>
      <c r="I1" s="3274"/>
      <c r="J1" s="3274"/>
      <c r="K1" s="3274"/>
      <c r="L1" s="3274"/>
      <c r="N1" s="3274" t="s">
        <v>1152</v>
      </c>
      <c r="O1" s="3274"/>
      <c r="P1" s="3274"/>
      <c r="Q1" s="3274"/>
      <c r="R1" s="1444"/>
      <c r="S1" s="3274" t="s">
        <v>1153</v>
      </c>
      <c r="T1" s="3274"/>
      <c r="U1" s="3274"/>
      <c r="V1" s="3274"/>
      <c r="X1" s="3273" t="s">
        <v>1154</v>
      </c>
      <c r="Y1" s="3274"/>
      <c r="Z1" s="3274"/>
      <c r="AA1" s="3274"/>
      <c r="AB1" s="3274"/>
      <c r="AD1" s="3273" t="s">
        <v>1155</v>
      </c>
      <c r="AE1" s="3274"/>
      <c r="AF1" s="3274"/>
      <c r="AG1" s="3274"/>
      <c r="AH1" s="327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6">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1"/>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1"/>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2"/>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0">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1"/>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1"/>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2"/>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0">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1"/>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1"/>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2"/>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7">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8"/>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8"/>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79"/>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0">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1"/>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1"/>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2"/>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0">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1">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1">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2">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0">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1">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1">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2">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0">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1">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1">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2">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0">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1">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1">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2">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0">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1">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1">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2">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0">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1">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1">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2">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0">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1">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1">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2">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0">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1">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1">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2">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0">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1">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1">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2">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0">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1">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1">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2">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1" t="s">
        <v>3010</v>
      </c>
      <c r="D1" s="3282"/>
      <c r="E1" s="3282"/>
      <c r="F1" s="3282"/>
      <c r="G1" s="3282"/>
      <c r="H1" s="3282"/>
      <c r="I1" s="3282"/>
      <c r="J1" s="3282"/>
      <c r="K1" s="3282"/>
      <c r="L1" s="3282"/>
      <c r="M1" s="3282"/>
      <c r="N1" s="3282"/>
      <c r="O1" s="3282"/>
      <c r="P1" s="3282"/>
      <c r="Q1" s="3282"/>
      <c r="R1" s="3282"/>
      <c r="S1" s="3283"/>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42" t="s">
        <v>33</v>
      </c>
      <c r="D22" s="3143"/>
      <c r="E22" s="3143"/>
      <c r="F22" s="3143"/>
      <c r="G22" s="3143"/>
      <c r="H22" s="3143"/>
      <c r="I22" s="3143"/>
      <c r="J22" s="3143"/>
      <c r="K22" s="3143"/>
      <c r="L22" s="3143"/>
      <c r="M22" s="3143"/>
      <c r="N22" s="3143"/>
      <c r="O22" s="3143"/>
      <c r="P22" s="3143"/>
      <c r="Q22" s="3280"/>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1101</v>
      </c>
      <c r="D10" s="1030">
        <f>'数据-汇总表'!E6</f>
        <v>50064.18</v>
      </c>
      <c r="E10" s="269">
        <f>'数据-取费表'!B28</f>
        <v>220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7" t="s">
        <v>121</v>
      </c>
    </row>
    <row r="43" spans="1:7" ht="13.5" customHeight="1">
      <c r="A43" s="949" t="s">
        <v>792</v>
      </c>
      <c r="B43" s="259" t="s">
        <v>1064</v>
      </c>
      <c r="C43" s="282">
        <f ca="1">ROUND(IF('数据-取费表'!B22&lt;=1,C39*F22*'数据-取费表'!B21/2,C39*(POWER((1+F22),'数据-取费表'!B21/2)-1)),0)</f>
        <v>15</v>
      </c>
      <c r="D43" s="282"/>
      <c r="E43" s="282"/>
      <c r="F43" s="283"/>
      <c r="G43" s="3148"/>
    </row>
    <row r="44" spans="1:7" ht="13.5" customHeight="1">
      <c r="A44" s="949" t="s">
        <v>793</v>
      </c>
      <c r="B44" s="259" t="s">
        <v>1066</v>
      </c>
      <c r="C44" s="282">
        <f ca="1">ROUND(IF('数据-取费表'!B22&lt;=1,C40*F22*'数据-取费表'!B21/2,C40*(POWER((1+F22),'数据-取费表'!B21/2)-1)),4)</f>
        <v>1.4E-3</v>
      </c>
      <c r="D44" s="282"/>
      <c r="E44" s="282"/>
      <c r="F44" s="283"/>
      <c r="G44" s="3149"/>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4" t="s">
        <v>156</v>
      </c>
      <c r="B1" s="3284"/>
      <c r="C1" s="3284"/>
      <c r="D1" s="3284"/>
      <c r="E1" s="3284"/>
      <c r="F1" s="328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5" t="s">
        <v>169</v>
      </c>
      <c r="B2" s="3285"/>
      <c r="C2" s="3285"/>
      <c r="D2" s="3285"/>
      <c r="E2" s="3285"/>
      <c r="F2" s="328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4" t="s">
        <v>871</v>
      </c>
      <c r="B1" s="328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8" sqref="G8"/>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94133.45</v>
      </c>
    </row>
    <row r="6" spans="2:5">
      <c r="B6" s="2959" t="s">
        <v>3233</v>
      </c>
      <c r="C6">
        <f>ROUND(C5/C4*C3,2)</f>
        <v>7531.02</v>
      </c>
      <c r="D6" s="2959" t="s">
        <v>3234</v>
      </c>
      <c r="E6">
        <f>ROUND('数据-基础表'!B3/分摊土地面积计算!C5*分摊土地面积计算!C6,2)</f>
        <v>4005.32</v>
      </c>
    </row>
    <row r="7" spans="2:5">
      <c r="D7" s="2959" t="s">
        <v>3235</v>
      </c>
      <c r="E7">
        <f>C6-E6</f>
        <v>3525.7000000000003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t="e">
        <f ca="1">结果表!D118</f>
        <v>#REF!</v>
      </c>
      <c r="E4" s="1042" t="e">
        <f ca="1">结果表!E118</f>
        <v>#REF!</v>
      </c>
      <c r="F4" s="1042" t="e">
        <f ca="1">结果表!F118</f>
        <v>#REF!</v>
      </c>
      <c r="G4" s="1042" t="e">
        <f ca="1">结果表!G118</f>
        <v>#REF!</v>
      </c>
      <c r="H4" s="1042">
        <f ca="1">结果表!H118</f>
        <v>50834</v>
      </c>
      <c r="I4" s="1042">
        <f ca="1">结果表!I118</f>
        <v>10154</v>
      </c>
    </row>
    <row r="5" spans="1:9" ht="30" customHeight="1">
      <c r="A5" s="2976" t="s">
        <v>1640</v>
      </c>
      <c r="B5" s="2976"/>
      <c r="C5" s="2976"/>
      <c r="D5" s="2977" t="e">
        <f ca="1">结果表!D119</f>
        <v>#REF!</v>
      </c>
      <c r="E5" s="2977"/>
      <c r="F5" s="2977" t="e">
        <f ca="1">结果表!F119</f>
        <v>#REF!</v>
      </c>
      <c r="G5" s="2977"/>
      <c r="H5" s="2977" t="str">
        <f ca="1">结果表!H119</f>
        <v>伍亿零捌佰叁拾肆万元整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1640</v>
      </c>
      <c r="B7" s="2976"/>
      <c r="C7" s="2976"/>
      <c r="D7" s="2978" t="str">
        <f>结果表!D121</f>
        <v>零元整</v>
      </c>
      <c r="E7" s="2979"/>
      <c r="F7" s="2979"/>
      <c r="G7" s="2979"/>
      <c r="H7" s="2979"/>
      <c r="I7" s="2980"/>
    </row>
    <row r="8" spans="1:9" ht="15.75">
      <c r="A8" s="2975" t="str">
        <f>结果表!A122</f>
        <v>房地产抵押价值</v>
      </c>
      <c r="B8" s="2975"/>
      <c r="C8" s="2975"/>
      <c r="D8" s="2975">
        <f ca="1">结果表!D122</f>
        <v>50834</v>
      </c>
      <c r="E8" s="2975"/>
      <c r="F8" s="2975"/>
      <c r="G8" s="2975"/>
      <c r="H8" s="2975"/>
      <c r="I8" s="2975"/>
    </row>
    <row r="9" spans="1:9" ht="15">
      <c r="A9" s="2976" t="s">
        <v>1640</v>
      </c>
      <c r="B9" s="2976"/>
      <c r="C9" s="2976"/>
      <c r="D9" s="2977" t="str">
        <f ca="1">结果表!D123</f>
        <v>伍亿零捌佰叁拾肆万元整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1640</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9" t="s">
        <v>1662</v>
      </c>
      <c r="B1" s="2989"/>
      <c r="C1" s="2989"/>
      <c r="D1" s="2989"/>
    </row>
    <row r="2" spans="1:4" ht="18">
      <c r="A2" s="2990" t="s">
        <v>1646</v>
      </c>
      <c r="B2" s="2990"/>
      <c r="C2" s="2990"/>
      <c r="D2" s="2990"/>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90" t="s">
        <v>1652</v>
      </c>
      <c r="B6" s="2990"/>
      <c r="C6" s="2990"/>
      <c r="D6" s="2990"/>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3" t="str">
        <f>IF(项目基本情况!B8="抵押","3.抵押双方在办理抵押登记手续时，应使用本公司出具的正式《房地产评估报告》，特提醒报告使用者注意。","——")</f>
        <v>——</v>
      </c>
      <c r="B13" s="2988"/>
      <c r="C13" s="2988"/>
      <c r="D13" s="2988"/>
    </row>
    <row r="14" spans="1:4" ht="15.75" customHeight="1">
      <c r="A14" s="2983" t="str">
        <f>IF(项目基本情况!B8="抵押","4.本次评估估价师所知悉的法定优先受偿款情况说明如下：","——")</f>
        <v>——</v>
      </c>
      <c r="B14" s="2988"/>
      <c r="C14" s="2988"/>
      <c r="D14" s="2988"/>
    </row>
    <row r="15" spans="1:4" ht="42" customHeight="1">
      <c r="A15" s="2983" t="str">
        <f>IF(项目基本情况!B8="抵押","（1）"&amp;CONCATENATE(项目基本情况!L20,项目基本情况!L21,项目基本情况!L22),"——")</f>
        <v>——</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IF(项目基本情况!B8="抵押",结果表!K120,"——")</f>
        <v>——</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1658</v>
      </c>
      <c r="B22" s="2987"/>
      <c r="C22" s="2987"/>
      <c r="D22" s="2987"/>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7" t="s">
        <v>1669</v>
      </c>
      <c r="B15" s="2992" t="s">
        <v>136</v>
      </c>
      <c r="C15" s="2993"/>
    </row>
    <row r="16" spans="1:7" ht="13.5">
      <c r="A16" s="2998"/>
      <c r="B16" s="2992" t="s">
        <v>69</v>
      </c>
      <c r="C16" s="2993"/>
    </row>
    <row r="17" spans="1:3" ht="13.5">
      <c r="A17" s="2998"/>
      <c r="B17" s="2995" t="s">
        <v>1670</v>
      </c>
      <c r="C17" s="1997" t="s">
        <v>1669</v>
      </c>
    </row>
    <row r="18" spans="1:3" ht="13.5">
      <c r="A18" s="2998"/>
      <c r="B18" s="2995"/>
      <c r="C18" s="1997" t="s">
        <v>1671</v>
      </c>
    </row>
    <row r="19" spans="1:3" ht="13.5">
      <c r="A19" s="2998"/>
      <c r="B19" s="2995"/>
      <c r="C19" s="1997" t="s">
        <v>1672</v>
      </c>
    </row>
    <row r="20" spans="1:3" ht="13.5">
      <c r="A20" s="2999"/>
      <c r="B20" s="2994" t="s">
        <v>1673</v>
      </c>
      <c r="C20" s="2993"/>
    </row>
    <row r="21" spans="1:3" ht="13.5">
      <c r="A21" s="1998" t="s">
        <v>1674</v>
      </c>
      <c r="B21" s="1999"/>
      <c r="C21" s="2000"/>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7" t="s">
        <v>1680</v>
      </c>
    </row>
    <row r="26" spans="1:3" ht="13.5">
      <c r="A26" s="2996"/>
      <c r="B26" s="2995"/>
      <c r="C26" s="1997" t="s">
        <v>1681</v>
      </c>
    </row>
    <row r="27" spans="1:3" ht="13.5">
      <c r="A27" s="2996"/>
      <c r="B27" s="2995"/>
      <c r="C27" s="1997" t="s">
        <v>1682</v>
      </c>
    </row>
    <row r="28" spans="1:3" ht="13.5">
      <c r="A28" s="2996"/>
      <c r="B28" s="2995"/>
      <c r="C28" s="1997" t="s">
        <v>1683</v>
      </c>
    </row>
    <row r="29" spans="1:3" ht="13.5">
      <c r="A29" s="2996"/>
      <c r="B29" s="2995"/>
      <c r="C29" s="1997" t="s">
        <v>1684</v>
      </c>
    </row>
    <row r="30" spans="1:3" ht="13.5">
      <c r="A30" s="2996"/>
      <c r="B30" s="2995"/>
      <c r="C30" s="1997" t="s">
        <v>1685</v>
      </c>
    </row>
    <row r="31" spans="1:3" ht="13.5">
      <c r="A31" s="2996"/>
      <c r="B31" s="2995"/>
      <c r="C31" s="1997" t="s">
        <v>1686</v>
      </c>
    </row>
    <row r="32" spans="1:3" ht="13.5">
      <c r="A32" s="2996"/>
      <c r="B32" s="2995"/>
      <c r="C32" s="1997" t="s">
        <v>1687</v>
      </c>
    </row>
    <row r="33" spans="1:3" ht="13.5">
      <c r="A33" s="2996"/>
      <c r="B33" s="2995"/>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43346</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0" t="s">
        <v>846</v>
      </c>
      <c r="B25" s="3000"/>
      <c r="C25" s="3000"/>
      <c r="D25" s="3000"/>
      <c r="E25" s="3000"/>
      <c r="F25" s="3000"/>
      <c r="G25" s="3000"/>
    </row>
    <row r="26" spans="1:7" s="1023" customFormat="1" ht="24" customHeight="1">
      <c r="A26" s="3001" t="s">
        <v>847</v>
      </c>
      <c r="B26" s="3001"/>
      <c r="C26" s="3002"/>
      <c r="D26" s="3003" t="s">
        <v>848</v>
      </c>
      <c r="E26" s="3001"/>
      <c r="F26" s="3001"/>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2018-09-03T11:31:27Z</dcterms:modified>
</cp:coreProperties>
</file>