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75" yWindow="75" windowWidth="11370" windowHeight="11055" tabRatio="875" firstSheet="11"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Sheet2" sheetId="7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Sheet1" sheetId="72" r:id="rId20"/>
    <sheet name="剩余法-待开发" sheetId="12" r:id="rId21"/>
    <sheet name="剩余法-现房" sheetId="43" state="hidden" r:id="rId22"/>
    <sheet name="比较法-住宅、综合" sheetId="39"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9" hidden="1">Sheet1!$A$1:$Q$55</definedName>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36" i="40" l="1"/>
  <c r="G36" i="40"/>
  <c r="E36" i="40"/>
  <c r="C36" i="40"/>
  <c r="U23" i="1"/>
  <c r="V23" i="1"/>
  <c r="V22" i="1"/>
  <c r="V21" i="1"/>
  <c r="T22" i="1"/>
  <c r="T21" i="1"/>
  <c r="I9" i="40"/>
  <c r="G9" i="40"/>
  <c r="E9" i="40"/>
  <c r="I7" i="40"/>
  <c r="G7" i="40"/>
  <c r="E7" i="40"/>
  <c r="F19" i="6"/>
  <c r="AN13" i="3"/>
  <c r="AL13" i="3"/>
  <c r="I13" i="3"/>
  <c r="E10" i="73"/>
  <c r="E12" i="73"/>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S7" i="70" l="1"/>
  <c r="S8" i="70"/>
  <c r="S6" i="70"/>
  <c r="U7" i="70"/>
  <c r="U8" i="70"/>
  <c r="U6" i="70"/>
  <c r="S26" i="70"/>
  <c r="S27" i="70"/>
  <c r="S28" i="70"/>
  <c r="U27" i="70"/>
  <c r="U28" i="70"/>
  <c r="U26" i="70"/>
  <c r="K3" i="70"/>
  <c r="R5" i="70"/>
  <c r="P5" i="70"/>
  <c r="T5" i="70"/>
  <c r="W5" i="70" s="1"/>
  <c r="O3" i="70"/>
  <c r="V5" i="70"/>
  <c r="R8" i="70"/>
  <c r="R6" i="70"/>
  <c r="R7" i="70"/>
  <c r="P9" i="70"/>
  <c r="T8" i="70"/>
  <c r="W8" i="70" s="1"/>
  <c r="T7" i="70"/>
  <c r="W7" i="70" s="1"/>
  <c r="T6" i="70"/>
  <c r="W6" i="70" s="1"/>
  <c r="V8" i="70"/>
  <c r="V6" i="70"/>
  <c r="V7" i="70"/>
  <c r="P29" i="70"/>
  <c r="T27" i="70"/>
  <c r="W27" i="70" s="1"/>
  <c r="T28" i="70"/>
  <c r="W28" i="70" s="1"/>
  <c r="T26" i="70"/>
  <c r="W26" i="70" s="1"/>
  <c r="Z3"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C28" i="59" s="1"/>
  <c r="N29" i="59"/>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D66" i="59"/>
  <c r="Q65" i="59"/>
  <c r="P65" i="59"/>
  <c r="O65" i="59"/>
  <c r="N65" i="59"/>
  <c r="Q64" i="59"/>
  <c r="P64" i="59"/>
  <c r="O64" i="59"/>
  <c r="N64" i="59"/>
  <c r="Q63" i="59"/>
  <c r="P63" i="59"/>
  <c r="O63" i="59"/>
  <c r="N63" i="59"/>
  <c r="Q62" i="59"/>
  <c r="F63" i="59"/>
  <c r="P62" i="59"/>
  <c r="E63" i="59"/>
  <c r="E64" i="59" s="1"/>
  <c r="E65" i="59"/>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c r="E61" i="59" s="1"/>
  <c r="U61" i="59" s="1"/>
  <c r="O58" i="59"/>
  <c r="C59" i="59"/>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P40" i="59"/>
  <c r="O40" i="59"/>
  <c r="Y40" i="59" s="1"/>
  <c r="Z40" i="59" s="1"/>
  <c r="N40" i="59"/>
  <c r="X40" i="59"/>
  <c r="Q39" i="59"/>
  <c r="P39" i="59"/>
  <c r="AA39" i="59" s="1"/>
  <c r="O39" i="59"/>
  <c r="N39" i="59"/>
  <c r="X39" i="59" s="1"/>
  <c r="Q38" i="59"/>
  <c r="F39" i="59"/>
  <c r="P38" i="59"/>
  <c r="E39" i="59"/>
  <c r="E40" i="59" s="1"/>
  <c r="E41" i="59" s="1"/>
  <c r="U41" i="59" s="1"/>
  <c r="O38" i="59"/>
  <c r="Y38" i="59" s="1"/>
  <c r="Z38" i="59" s="1"/>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AA34"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X30" i="59" s="1"/>
  <c r="D30" i="59"/>
  <c r="X26" i="59"/>
  <c r="X28" i="59"/>
  <c r="AA3" i="59"/>
  <c r="AA27" i="59"/>
  <c r="AA29" i="59"/>
  <c r="AB3" i="59"/>
  <c r="AB27" i="59"/>
  <c r="AB28" i="59"/>
  <c r="E31" i="59"/>
  <c r="E32" i="59"/>
  <c r="E33" i="59" s="1"/>
  <c r="U33" i="59" s="1"/>
  <c r="B52" i="59"/>
  <c r="B53" i="59"/>
  <c r="S53" i="59" s="1"/>
  <c r="E52" i="59"/>
  <c r="E53" i="59" s="1"/>
  <c r="U53" i="59" s="1"/>
  <c r="S6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4" i="59" s="1"/>
  <c r="D43" i="59"/>
  <c r="C48" i="59"/>
  <c r="D48" i="59" s="1"/>
  <c r="D47" i="59"/>
  <c r="C52" i="59"/>
  <c r="D51" i="59"/>
  <c r="C56" i="59"/>
  <c r="D55" i="59"/>
  <c r="C60" i="59"/>
  <c r="D59" i="59"/>
  <c r="C64" i="59"/>
  <c r="D63" i="59"/>
  <c r="C36" i="59"/>
  <c r="D35" i="59"/>
  <c r="E67" i="59"/>
  <c r="N68" i="59"/>
  <c r="B67" i="59"/>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P16" i="4" s="1"/>
  <c r="O16" i="4"/>
  <c r="M16" i="4"/>
  <c r="K16" i="4"/>
  <c r="P66" i="59"/>
  <c r="P67" i="59"/>
  <c r="D88" i="59"/>
  <c r="C87" i="59"/>
  <c r="D87" i="59"/>
  <c r="C79" i="59"/>
  <c r="D79" i="59" s="1"/>
  <c r="D72" i="59"/>
  <c r="O68" i="59"/>
  <c r="D84" i="59"/>
  <c r="C75" i="59"/>
  <c r="D75" i="59" s="1"/>
  <c r="N66" i="59"/>
  <c r="N67" i="59"/>
  <c r="C37" i="59"/>
  <c r="D37" i="59" s="1"/>
  <c r="D36" i="59"/>
  <c r="C65" i="59"/>
  <c r="D65" i="59" s="1"/>
  <c r="D64" i="59"/>
  <c r="D60" i="59"/>
  <c r="C61" i="59"/>
  <c r="C57" i="59"/>
  <c r="D57" i="59" s="1"/>
  <c r="D56" i="59"/>
  <c r="C53" i="59"/>
  <c r="D53" i="59" s="1"/>
  <c r="D52" i="59"/>
  <c r="C45" i="59"/>
  <c r="D45" i="59" s="1"/>
  <c r="T61" i="59"/>
  <c r="D61" i="59"/>
  <c r="T45" i="59"/>
  <c r="T53" i="59"/>
  <c r="T57" i="59"/>
  <c r="T65" i="59"/>
  <c r="T3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c r="G120" i="34" s="1"/>
  <c r="H120" i="34" s="1"/>
  <c r="I120" i="34" s="1"/>
  <c r="J120" i="34" s="1"/>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S8" i="21"/>
  <c r="W8" i="21"/>
  <c r="H39" i="37"/>
  <c r="AB39" i="37"/>
  <c r="AB27" i="35"/>
  <c r="W10" i="40"/>
  <c r="U11" i="40"/>
  <c r="S40" i="39"/>
  <c r="F11" i="21"/>
  <c r="S11" i="21" s="1"/>
  <c r="AC40" i="21"/>
  <c r="AA38" i="21"/>
  <c r="AB36" i="21"/>
  <c r="AC35" i="21"/>
  <c r="C29" i="39"/>
  <c r="C23" i="39"/>
  <c r="U36" i="39"/>
  <c r="H32" i="33"/>
  <c r="AB32" i="33"/>
  <c r="H11" i="21"/>
  <c r="U11" i="21"/>
  <c r="J11" i="21"/>
  <c r="W11" i="2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295" i="3"/>
  <c r="AZ303" i="3"/>
  <c r="AZ311" i="3"/>
  <c r="AZ315" i="3"/>
  <c r="AZ339" i="3"/>
  <c r="AZ361" i="3"/>
  <c r="F37" i="46"/>
  <c r="AB16" i="35"/>
  <c r="AA43" i="21"/>
  <c r="U43" i="21"/>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32" i="40"/>
  <c r="AA32" i="40"/>
  <c r="F61" i="46"/>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c r="G91" i="40"/>
  <c r="F23" i="40"/>
  <c r="S23" i="40" s="1"/>
  <c r="AC15" i="40"/>
  <c r="W15" i="40"/>
  <c r="W27" i="39"/>
  <c r="S23"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s="1"/>
  <c r="U47" i="39"/>
  <c r="W15" i="39"/>
  <c r="J37" i="34"/>
  <c r="AC37" i="34" s="1"/>
  <c r="J36" i="33"/>
  <c r="W36" i="33" s="1"/>
  <c r="S41" i="40"/>
  <c r="AB23"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W23" i="40"/>
  <c r="B11" i="1"/>
  <c r="E11" i="1" s="1"/>
  <c r="K11" i="1"/>
  <c r="M11" i="1" s="1"/>
  <c r="B9" i="1"/>
  <c r="E9" i="1" s="1"/>
  <c r="K9" i="1"/>
  <c r="M9" i="1" s="1"/>
  <c r="B7" i="1"/>
  <c r="E7" i="1" s="1"/>
  <c r="K7" i="1"/>
  <c r="M7" i="1" s="1"/>
  <c r="AP6" i="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L18" i="3"/>
  <c r="AZ18" i="3" s="1"/>
  <c r="BC5" i="3"/>
  <c r="BD5" i="3"/>
  <c r="BR5" i="3"/>
  <c r="BS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R22" i="31"/>
  <c r="B21" i="31" s="1"/>
  <c r="A17" i="51"/>
  <c r="B13" i="63" s="1"/>
  <c r="AT6" i="3"/>
  <c r="AZ16" i="3"/>
  <c r="E4" i="4"/>
  <c r="B21" i="55" s="1"/>
  <c r="B72" i="63" s="1"/>
  <c r="C4" i="4"/>
  <c r="G66" i="36"/>
  <c r="J18" i="36"/>
  <c r="W18" i="36"/>
  <c r="AC18" i="36"/>
  <c r="L20" i="6"/>
  <c r="B20" i="55"/>
  <c r="B70" i="63" s="1"/>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C24" i="46"/>
  <c r="J7" i="65"/>
  <c r="N7" i="65"/>
  <c r="B13" i="67"/>
  <c r="F9" i="67"/>
  <c r="F9" i="44"/>
  <c r="E10" i="67"/>
  <c r="E9" i="67"/>
  <c r="C19" i="9"/>
  <c r="C20" i="9"/>
  <c r="I6" i="65"/>
  <c r="F11" i="44"/>
  <c r="F40" i="15"/>
  <c r="F38" i="44"/>
  <c r="F36" i="15"/>
  <c r="F38" i="15"/>
  <c r="F45" i="44"/>
  <c r="F13" i="67"/>
  <c r="L48" i="44"/>
  <c r="F40" i="44"/>
  <c r="F39" i="44"/>
  <c r="M31" i="44"/>
  <c r="B8" i="67"/>
  <c r="B14" i="67"/>
  <c r="B9" i="67"/>
  <c r="F7" i="15"/>
  <c r="I5" i="65"/>
  <c r="J5" i="65"/>
  <c r="M11" i="44"/>
  <c r="L48" i="15"/>
  <c r="N5" i="65"/>
  <c r="I4" i="65"/>
  <c r="M29" i="15"/>
  <c r="I7" i="65"/>
  <c r="I3" i="65"/>
  <c r="E11" i="67"/>
  <c r="N6" i="65"/>
  <c r="E8" i="67"/>
  <c r="F8" i="44"/>
  <c r="M30" i="44"/>
  <c r="L47" i="15"/>
  <c r="F12" i="67"/>
  <c r="F8" i="67"/>
  <c r="E14" i="67"/>
  <c r="F10" i="44"/>
  <c r="F43" i="44"/>
  <c r="M24" i="15"/>
  <c r="J17" i="44"/>
  <c r="F37" i="15"/>
  <c r="B11" i="67"/>
  <c r="M26" i="15"/>
  <c r="F14" i="67"/>
  <c r="F18" i="44"/>
  <c r="M26" i="44"/>
  <c r="N4" i="65"/>
  <c r="M8" i="44"/>
  <c r="F8" i="15"/>
  <c r="J6" i="65"/>
  <c r="E13" i="67"/>
  <c r="F6" i="15"/>
  <c r="M22" i="15"/>
  <c r="F26" i="15"/>
  <c r="M28" i="44"/>
  <c r="F11" i="67"/>
  <c r="L49" i="44"/>
  <c r="F28" i="44"/>
  <c r="M25" i="44"/>
  <c r="F9" i="15"/>
  <c r="F15" i="44"/>
  <c r="M9" i="15"/>
  <c r="M24" i="44"/>
  <c r="J3" i="65"/>
  <c r="C21" i="9"/>
  <c r="B12" i="67"/>
  <c r="F42" i="15"/>
  <c r="F16" i="15"/>
  <c r="E12" i="67"/>
  <c r="F43" i="15"/>
  <c r="M6" i="15"/>
  <c r="B10" i="67"/>
  <c r="M10" i="44"/>
  <c r="J15" i="15"/>
  <c r="J4" i="65"/>
  <c r="N3" i="65"/>
  <c r="F10" i="67"/>
  <c r="F13" i="15"/>
  <c r="F13" i="40" l="1"/>
  <c r="S13" i="40" s="1"/>
  <c r="U36" i="40"/>
  <c r="P75" i="15"/>
  <c r="M20" i="44"/>
  <c r="AC13" i="40"/>
  <c r="C20" i="59"/>
  <c r="T21" i="59"/>
  <c r="D21" i="59"/>
  <c r="AZ526" i="3"/>
  <c r="AZ534" i="3"/>
  <c r="AZ542" i="3"/>
  <c r="E5" i="6"/>
  <c r="D12" i="11" s="1"/>
  <c r="C12" i="11" s="1"/>
  <c r="BF5" i="3"/>
  <c r="J9" i="33"/>
  <c r="H9" i="33"/>
  <c r="F9" i="33"/>
  <c r="J12" i="33"/>
  <c r="H12" i="33"/>
  <c r="F12" i="33"/>
  <c r="J34" i="35"/>
  <c r="H34" i="35"/>
  <c r="F34" i="35"/>
  <c r="S21" i="59"/>
  <c r="AC36" i="33"/>
  <c r="S33" i="40"/>
  <c r="AZ486" i="3"/>
  <c r="AZ489" i="3"/>
  <c r="AZ513" i="3"/>
  <c r="AZ518" i="3"/>
  <c r="AZ529" i="3"/>
  <c r="AZ552" i="3"/>
  <c r="AZ571" i="3"/>
  <c r="AB15" i="37"/>
  <c r="AZ356" i="3"/>
  <c r="AZ345" i="3"/>
  <c r="AZ340" i="3"/>
  <c r="AZ329" i="3"/>
  <c r="AZ324" i="3"/>
  <c r="AZ305" i="3"/>
  <c r="AZ381" i="3"/>
  <c r="AZ372" i="3"/>
  <c r="AZ355" i="3"/>
  <c r="AZ307" i="3"/>
  <c r="U12" i="37"/>
  <c r="AC23" i="37"/>
  <c r="AZ514" i="3"/>
  <c r="AZ524" i="3"/>
  <c r="AZ532" i="3"/>
  <c r="AZ546" i="3"/>
  <c r="AZ543" i="3"/>
  <c r="AZ502" i="3"/>
  <c r="AZ550" i="3"/>
  <c r="AZ556" i="3"/>
  <c r="S45" i="21"/>
  <c r="AA27" i="33"/>
  <c r="W31" i="34"/>
  <c r="AB13" i="21"/>
  <c r="AB40" i="37"/>
  <c r="W46" i="33"/>
  <c r="W35" i="35"/>
  <c r="H5" i="3"/>
  <c r="BA572" i="3"/>
  <c r="AZ572" i="3" s="1"/>
  <c r="BA570" i="3"/>
  <c r="AZ570" i="3" s="1"/>
  <c r="BE5" i="3"/>
  <c r="B84" i="46"/>
  <c r="B94" i="46"/>
  <c r="B101" i="46"/>
  <c r="B79" i="46"/>
  <c r="F26" i="37"/>
  <c r="AZ399" i="3"/>
  <c r="AZ403" i="3"/>
  <c r="A30" i="51"/>
  <c r="B22" i="63" s="1"/>
  <c r="A30" i="64"/>
  <c r="A2" i="55"/>
  <c r="B55" i="63" s="1"/>
  <c r="BA389" i="3"/>
  <c r="AZ389" i="3" s="1"/>
  <c r="BA391" i="3"/>
  <c r="AZ391" i="3" s="1"/>
  <c r="BL392" i="3"/>
  <c r="AZ392" i="3" s="1"/>
  <c r="BA393" i="3"/>
  <c r="AZ393" i="3" s="1"/>
  <c r="BL398" i="3"/>
  <c r="AZ398" i="3" s="1"/>
  <c r="BA401" i="3"/>
  <c r="AZ401" i="3" s="1"/>
  <c r="BL402" i="3"/>
  <c r="AZ402" i="3" s="1"/>
  <c r="AZ414" i="3"/>
  <c r="AZ418" i="3"/>
  <c r="AZ428" i="3"/>
  <c r="AZ434" i="3"/>
  <c r="AZ438" i="3"/>
  <c r="AZ444" i="3"/>
  <c r="AZ452" i="3"/>
  <c r="AZ458" i="3"/>
  <c r="AZ466" i="3"/>
  <c r="AZ474" i="3"/>
  <c r="AZ309" i="3"/>
  <c r="AZ313" i="3"/>
  <c r="AZ317" i="3"/>
  <c r="AZ333" i="3"/>
  <c r="AZ349" i="3"/>
  <c r="AZ357" i="3"/>
  <c r="AZ364" i="3"/>
  <c r="AZ369" i="3"/>
  <c r="AZ375" i="3"/>
  <c r="AZ385" i="3"/>
  <c r="AZ2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AZ216" i="3" s="1"/>
  <c r="BL220" i="3"/>
  <c r="AZ220" i="3" s="1"/>
  <c r="BA223" i="3"/>
  <c r="AZ223" i="3" s="1"/>
  <c r="BL224" i="3"/>
  <c r="AZ224" i="3" s="1"/>
  <c r="BL228" i="3"/>
  <c r="AZ228" i="3" s="1"/>
  <c r="BA231" i="3"/>
  <c r="AZ231" i="3" s="1"/>
  <c r="BL232" i="3"/>
  <c r="AZ232" i="3" s="1"/>
  <c r="BL236" i="3"/>
  <c r="AZ236" i="3" s="1"/>
  <c r="BA239" i="3"/>
  <c r="AZ239" i="3" s="1"/>
  <c r="BL240" i="3"/>
  <c r="AZ240" i="3" s="1"/>
  <c r="BL244" i="3"/>
  <c r="AZ244" i="3" s="1"/>
  <c r="BA247" i="3"/>
  <c r="AZ247" i="3" s="1"/>
  <c r="BL248" i="3"/>
  <c r="AZ248" i="3" s="1"/>
  <c r="BL252" i="3"/>
  <c r="AZ252" i="3" s="1"/>
  <c r="BA255" i="3"/>
  <c r="AZ255" i="3" s="1"/>
  <c r="BL256" i="3"/>
  <c r="AZ256" i="3" s="1"/>
  <c r="BL260" i="3"/>
  <c r="AZ260" i="3" s="1"/>
  <c r="BA263" i="3"/>
  <c r="AZ263" i="3" s="1"/>
  <c r="BL264" i="3"/>
  <c r="AZ264" i="3" s="1"/>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AZ148" i="3" s="1"/>
  <c r="BA149" i="3"/>
  <c r="AZ149" i="3" s="1"/>
  <c r="BA152" i="3"/>
  <c r="AZ152" i="3" s="1"/>
  <c r="O67" i="59"/>
  <c r="O66" i="59"/>
  <c r="D67" i="59"/>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D68" i="59"/>
  <c r="AB26" i="59"/>
  <c r="AB29" i="59"/>
  <c r="Y29" i="59"/>
  <c r="Z29" i="59" s="1"/>
  <c r="Y28" i="59"/>
  <c r="Z28" i="59" s="1"/>
  <c r="Y27" i="59"/>
  <c r="Z27" i="59" s="1"/>
  <c r="Y26" i="59"/>
  <c r="Z26" i="59" s="1"/>
  <c r="AA28" i="59"/>
  <c r="AA26" i="59"/>
  <c r="X29" i="59"/>
  <c r="X27" i="59"/>
  <c r="X3" i="59"/>
  <c r="B31" i="59"/>
  <c r="B32" i="59" s="1"/>
  <c r="B33" i="59" s="1"/>
  <c r="S33" i="59" s="1"/>
  <c r="C31" i="59"/>
  <c r="AA30" i="59"/>
  <c r="AB30" i="59"/>
  <c r="Y31" i="59"/>
  <c r="Z31" i="59" s="1"/>
  <c r="AB31" i="59"/>
  <c r="Y32" i="59"/>
  <c r="Z32" i="59" s="1"/>
  <c r="AB32" i="59"/>
  <c r="Y33" i="59"/>
  <c r="Z33" i="59" s="1"/>
  <c r="AB33" i="59"/>
  <c r="X34" i="59"/>
  <c r="Y34" i="59"/>
  <c r="Z34" i="59" s="1"/>
  <c r="E35" i="59"/>
  <c r="E36" i="59" s="1"/>
  <c r="E37" i="59" s="1"/>
  <c r="U37" i="59" s="1"/>
  <c r="F35" i="59"/>
  <c r="F36" i="59" s="1"/>
  <c r="F37" i="59" s="1"/>
  <c r="V37" i="59" s="1"/>
  <c r="X35" i="59"/>
  <c r="AA35" i="59"/>
  <c r="X36" i="59"/>
  <c r="AA36" i="59"/>
  <c r="X37" i="59"/>
  <c r="AA37" i="59"/>
  <c r="B39" i="59"/>
  <c r="B40" i="59" s="1"/>
  <c r="B41" i="59" s="1"/>
  <c r="S41" i="59" s="1"/>
  <c r="C39" i="59"/>
  <c r="AA38" i="59"/>
  <c r="AB38" i="59"/>
  <c r="Y39" i="59"/>
  <c r="Z39" i="59" s="1"/>
  <c r="AB39" i="59"/>
  <c r="X6" i="59"/>
  <c r="X7" i="59"/>
  <c r="X5" i="59"/>
  <c r="X8" i="59"/>
  <c r="X10" i="59"/>
  <c r="AA6" i="59"/>
  <c r="AA7" i="59"/>
  <c r="AA8" i="59"/>
  <c r="AA5" i="59"/>
  <c r="AA10" i="59"/>
  <c r="AA11" i="59"/>
  <c r="Q67" i="59"/>
  <c r="Q66" i="59"/>
  <c r="D28" i="59"/>
  <c r="C27" i="59"/>
  <c r="D27" i="59" s="1"/>
  <c r="F28" i="59"/>
  <c r="F27" i="59" s="1"/>
  <c r="V29" i="59"/>
  <c r="Y6" i="59"/>
  <c r="Z6" i="59" s="1"/>
  <c r="Y5" i="59"/>
  <c r="Z5" i="59" s="1"/>
  <c r="Y7" i="59"/>
  <c r="Z7" i="59" s="1"/>
  <c r="Y8" i="59"/>
  <c r="Z8" i="59" s="1"/>
  <c r="Y10" i="59"/>
  <c r="Z10" i="59" s="1"/>
  <c r="Y11" i="59"/>
  <c r="Z11" i="59" s="1"/>
  <c r="AB6" i="59"/>
  <c r="AB5" i="59"/>
  <c r="AB7" i="59"/>
  <c r="AB8" i="59"/>
  <c r="AB10" i="59"/>
  <c r="AB11" i="59"/>
  <c r="AB40" i="59"/>
  <c r="X24" i="59"/>
  <c r="X25" i="59"/>
  <c r="B29" i="59"/>
  <c r="U29" i="59"/>
  <c r="E28" i="59"/>
  <c r="E27" i="59" s="1"/>
  <c r="T29" i="59"/>
  <c r="D29" i="59"/>
  <c r="X22" i="59"/>
  <c r="Y25" i="59"/>
  <c r="Z25" i="59" s="1"/>
  <c r="AB25" i="59"/>
  <c r="X19" i="59"/>
  <c r="X15" i="59"/>
  <c r="Y18" i="59"/>
  <c r="Z18" i="59" s="1"/>
  <c r="AA15" i="59"/>
  <c r="AB18" i="59"/>
  <c r="X14" i="59"/>
  <c r="O76" i="9"/>
  <c r="K76" i="9"/>
  <c r="AA24" i="59"/>
  <c r="Y24" i="59"/>
  <c r="Z24" i="59" s="1"/>
  <c r="AB24" i="59"/>
  <c r="AA19" i="59"/>
  <c r="Y15" i="59"/>
  <c r="Z15" i="59" s="1"/>
  <c r="AB15" i="59"/>
  <c r="F25" i="59"/>
  <c r="E25" i="59"/>
  <c r="AA22" i="59"/>
  <c r="Y19" i="59"/>
  <c r="Z19" i="59" s="1"/>
  <c r="AB19" i="59"/>
  <c r="AA16" i="59"/>
  <c r="X17" i="59"/>
  <c r="AA12" i="59"/>
  <c r="X13" i="59"/>
  <c r="X11" i="59"/>
  <c r="AB13" i="59"/>
  <c r="Y12" i="59"/>
  <c r="Z12" i="59" s="1"/>
  <c r="Y14" i="59"/>
  <c r="Z14" i="59" s="1"/>
  <c r="AB16" i="59"/>
  <c r="X18" i="59"/>
  <c r="AA18" i="59"/>
  <c r="AA13" i="59"/>
  <c r="AA14" i="59"/>
  <c r="X12" i="59"/>
  <c r="AB12" i="59"/>
  <c r="AB14" i="59"/>
  <c r="Y13" i="59"/>
  <c r="Z13" i="59" s="1"/>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3" i="9"/>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I55" i="44"/>
  <c r="J54" i="44"/>
  <c r="L57" i="44"/>
  <c r="J58" i="44"/>
  <c r="J56" i="44" s="1"/>
  <c r="J59" i="44" s="1"/>
  <c r="Q52" i="44" s="1"/>
  <c r="F63" i="15"/>
  <c r="C4" i="65"/>
  <c r="B39" i="1" s="1"/>
  <c r="C18" i="44"/>
  <c r="M23" i="15"/>
  <c r="M8" i="15"/>
  <c r="E2" i="65"/>
  <c r="E3" i="65"/>
  <c r="J36" i="15"/>
  <c r="M28" i="15"/>
  <c r="C16" i="15"/>
  <c r="AA13" i="40" l="1"/>
  <c r="Q16" i="1"/>
  <c r="F33" i="12" s="1"/>
  <c r="C34" i="12" s="1"/>
  <c r="D33" i="12" s="1"/>
  <c r="H16" i="1"/>
  <c r="AP16" i="1"/>
  <c r="F22" i="11" s="1"/>
  <c r="Q72" i="15"/>
  <c r="M17" i="15"/>
  <c r="B16" i="59"/>
  <c r="B15" i="59" s="1"/>
  <c r="B14" i="59" s="1"/>
  <c r="B13" i="59" s="1"/>
  <c r="S17" i="59"/>
  <c r="C34" i="44"/>
  <c r="J7" i="33"/>
  <c r="U25" i="59"/>
  <c r="E24" i="59"/>
  <c r="E23" i="59" s="1"/>
  <c r="E22" i="59" s="1"/>
  <c r="E21" i="59" s="1"/>
  <c r="C40" i="59"/>
  <c r="D39" i="59"/>
  <c r="C32" i="59"/>
  <c r="D31" i="59"/>
  <c r="S34" i="35"/>
  <c r="AA34" i="35"/>
  <c r="W34" i="35"/>
  <c r="AC34" i="35"/>
  <c r="AB12" i="33"/>
  <c r="U12" i="33"/>
  <c r="S9" i="33"/>
  <c r="AA9" i="33"/>
  <c r="W9" i="33"/>
  <c r="AC9" i="33"/>
  <c r="V25" i="59"/>
  <c r="F24" i="59"/>
  <c r="F23" i="59" s="1"/>
  <c r="F22" i="59" s="1"/>
  <c r="F21" i="59" s="1"/>
  <c r="S29" i="59"/>
  <c r="B28" i="59"/>
  <c r="B27" i="59" s="1"/>
  <c r="AA26" i="37"/>
  <c r="S26" i="37"/>
  <c r="AB34" i="35"/>
  <c r="U34" i="35"/>
  <c r="S12" i="33"/>
  <c r="AA12" i="33"/>
  <c r="W12" i="33"/>
  <c r="AC12" i="33"/>
  <c r="AB9" i="33"/>
  <c r="U9" i="33"/>
  <c r="C19" i="59"/>
  <c r="D20" i="59"/>
  <c r="J60" i="44"/>
  <c r="J61" i="44" s="1"/>
  <c r="Q50" i="44" s="1"/>
  <c r="E83" i="46"/>
  <c r="B81" i="46" s="1"/>
  <c r="D26" i="46"/>
  <c r="C25" i="46" s="1"/>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E63" i="39"/>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AE6" i="1"/>
  <c r="F41" i="15" s="1"/>
  <c r="F46" i="44"/>
  <c r="F20" i="59" l="1"/>
  <c r="F19" i="59" s="1"/>
  <c r="F18" i="59" s="1"/>
  <c r="F17" i="59" s="1"/>
  <c r="V21" i="59"/>
  <c r="E20" i="59"/>
  <c r="E19" i="59" s="1"/>
  <c r="E18" i="59" s="1"/>
  <c r="E17" i="59" s="1"/>
  <c r="U21" i="59"/>
  <c r="C18" i="59"/>
  <c r="D19" i="59"/>
  <c r="C33" i="59"/>
  <c r="D32" i="59"/>
  <c r="C41" i="59"/>
  <c r="D40"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M27" i="15"/>
  <c r="M29" i="44"/>
  <c r="T41" i="59" l="1"/>
  <c r="D41" i="59"/>
  <c r="T33" i="59"/>
  <c r="D33" i="59"/>
  <c r="C17" i="59"/>
  <c r="D18" i="59"/>
  <c r="E16" i="59"/>
  <c r="E15" i="59" s="1"/>
  <c r="E14" i="59" s="1"/>
  <c r="E13" i="59" s="1"/>
  <c r="U17" i="59"/>
  <c r="F16" i="59"/>
  <c r="F15" i="59" s="1"/>
  <c r="F14" i="59" s="1"/>
  <c r="F13" i="59" s="1"/>
  <c r="V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V13" i="59" l="1"/>
  <c r="F12" i="59"/>
  <c r="F11" i="59" s="1"/>
  <c r="F10" i="59" s="1"/>
  <c r="F9" i="59" s="1"/>
  <c r="V9" i="59"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C19" i="44"/>
  <c r="B7" i="67"/>
  <c r="S16" i="1" l="1"/>
  <c r="T9" i="1" s="1"/>
  <c r="D16" i="59"/>
  <c r="C15" i="59"/>
  <c r="C31" i="46"/>
  <c r="C30" i="46"/>
  <c r="B2" i="46" s="1"/>
  <c r="D4" i="46" s="1"/>
  <c r="F14" i="66"/>
  <c r="T11"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1" i="15"/>
  <c r="C14" i="15"/>
  <c r="F35" i="15"/>
  <c r="M23" i="44"/>
  <c r="F37" i="44"/>
  <c r="T6" i="1" l="1"/>
  <c r="T12" i="1"/>
  <c r="T10" i="1"/>
  <c r="T7" i="1"/>
  <c r="T8" i="1"/>
  <c r="T13" i="1"/>
  <c r="D15" i="59"/>
  <c r="C14" i="59"/>
  <c r="B3" i="46"/>
  <c r="B4" i="46"/>
  <c r="C36" i="44"/>
  <c r="J20" i="15"/>
  <c r="C34" i="15"/>
  <c r="R27" i="6"/>
  <c r="H27" i="6"/>
  <c r="C15" i="15"/>
  <c r="C18" i="15"/>
  <c r="E7" i="59"/>
  <c r="B7" i="59"/>
  <c r="F6" i="59"/>
  <c r="I6" i="6"/>
  <c r="I5" i="6"/>
  <c r="J22" i="44"/>
  <c r="F62" i="15"/>
  <c r="C61" i="15" s="1"/>
  <c r="R16" i="1"/>
  <c r="C18" i="43"/>
  <c r="C18" i="12"/>
  <c r="C23" i="12" s="1"/>
  <c r="O46" i="36"/>
  <c r="J7" i="36" s="1"/>
  <c r="F7" i="36"/>
  <c r="H7" i="36"/>
  <c r="J64" i="40"/>
  <c r="I66" i="40"/>
  <c r="J69" i="39"/>
  <c r="I71" i="39"/>
  <c r="B3" i="67"/>
  <c r="B4" i="67"/>
  <c r="C16" i="44"/>
  <c r="T16" i="1" l="1"/>
  <c r="C17" i="44"/>
  <c r="C20" i="44"/>
  <c r="D14" i="59"/>
  <c r="C13" i="59"/>
  <c r="C19" i="15"/>
  <c r="C20" i="15" s="1"/>
  <c r="C26" i="15" s="1"/>
  <c r="F5" i="59"/>
  <c r="V5" i="59" s="1"/>
  <c r="B6" i="59"/>
  <c r="E6" i="59"/>
  <c r="C19" i="43"/>
  <c r="K69" i="39"/>
  <c r="J71" i="39"/>
  <c r="U7" i="36"/>
  <c r="AB7" i="36"/>
  <c r="T36" i="36" s="1"/>
  <c r="G36" i="36" s="1"/>
  <c r="AC7" i="36"/>
  <c r="V36" i="36" s="1"/>
  <c r="I36" i="36" s="1"/>
  <c r="W7" i="36"/>
  <c r="J66" i="40"/>
  <c r="K64" i="40"/>
  <c r="S7" i="36"/>
  <c r="AA7" i="36"/>
  <c r="R36" i="36" s="1"/>
  <c r="C21" i="44" l="1"/>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0" i="9"/>
  <c r="D21" i="9"/>
  <c r="G20" i="9" l="1"/>
  <c r="G21" i="9"/>
  <c r="C32" i="9"/>
  <c r="N43" i="9"/>
  <c r="G22" i="9"/>
  <c r="O38" i="9" l="1"/>
  <c r="C42" i="9"/>
  <c r="C33" i="9"/>
  <c r="O43" i="9"/>
  <c r="C34" i="9"/>
  <c r="C35" i="9"/>
  <c r="F42" i="9" s="1"/>
  <c r="E42" i="9" l="1"/>
  <c r="P5" i="54" s="1"/>
  <c r="B46" i="63" s="1"/>
  <c r="M38" i="9"/>
  <c r="K27" i="9" s="1"/>
  <c r="N38" i="9"/>
  <c r="K28" i="9" s="1"/>
  <c r="D42" i="9"/>
  <c r="Q5" i="54" s="1"/>
  <c r="B47" i="63" s="1"/>
  <c r="K25" i="9"/>
  <c r="K26" i="9"/>
  <c r="D63" i="9"/>
  <c r="R5" i="54"/>
  <c r="B48" i="63" s="1"/>
  <c r="N68" i="9"/>
  <c r="D73" i="9" l="1"/>
  <c r="N73" i="9" s="1"/>
  <c r="C96" i="9"/>
  <c r="C91" i="9" s="1"/>
  <c r="C103" i="9"/>
  <c r="C90" i="9"/>
  <c r="C97" i="9" s="1"/>
  <c r="C111" i="9"/>
  <c r="C104" i="9" s="1"/>
  <c r="C82" i="9"/>
  <c r="C81" i="9" s="1"/>
  <c r="C85" i="9" s="1"/>
  <c r="C86" i="9" s="1"/>
  <c r="D72" i="9" s="1"/>
  <c r="D70" i="9"/>
  <c r="D71" i="9"/>
  <c r="D66" i="9" s="1"/>
  <c r="N72" i="9" s="1"/>
  <c r="C113" i="9" l="1"/>
  <c r="C98" i="9"/>
  <c r="E98" i="9" s="1"/>
  <c r="E99" i="9" s="1"/>
  <c r="C99" i="9"/>
  <c r="C114" i="9" l="1"/>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<sst xmlns="http://schemas.openxmlformats.org/spreadsheetml/2006/main" count="7875" uniqueCount="3457">
  <si>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</si>
  <si>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</si>
  <si>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</si>
  <si>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</si>
  <si>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</si>
  <si>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</si>
  <si>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</si>
  <si>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</si>
  <si>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</si>
  <si>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</si>
  <si>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</si>
  <si>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</si>
  <si>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</si>
  <si>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</si>
  <si>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</si>
  <si>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</si>
  <si>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</si>
  <si>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</si>
  <si>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</si>
  <si>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</si>
  <si>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</si>
  <si>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</si>
  <si>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</si>
  <si>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</si>
  <si>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</si>
  <si>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</si>
  <si>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</si>
  <si>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</si>
  <si>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</si>
  <si>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</si>
  <si>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</si>
  <si>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</si>
  <si>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</si>
  <si>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</si>
  <si>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</si>
  <si>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</si>
  <si>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</si>
  <si>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</si>
  <si>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</si>
  <si>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</si>
  <si>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</si>
  <si>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</si>
  <si>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</si>
  <si>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</si>
  <si>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</si>
  <si>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</si>
  <si>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</si>
  <si>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</si>
  <si>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</si>
  <si>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</si>
  <si>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</si>
  <si>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</si>
  <si>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</si>
  <si>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</si>
  <si>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</si>
  <si>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</si>
  <si>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</si>
  <si>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</si>
  <si>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</si>
  <si>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</si>
  <si>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</si>
  <si>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</si>
  <si>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</si>
  <si>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</si>
  <si>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</si>
  <si>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</si>
  <si>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</si>
  <si>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</si>
  <si>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</si>
  <si>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</si>
  <si>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</si>
  <si>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</si>
  <si>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</si>
  <si>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</si>
  <si>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</si>
  <si>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</si>
  <si>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</si>
  <si>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</si>
  <si>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</si>
  <si>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</si>
  <si>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</si>
  <si>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</si>
  <si>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</si>
  <si>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</si>
  <si>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</si>
  <si>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</si>
  <si>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</si>
  <si>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</si>
  <si>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</si>
  <si>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</si>
  <si>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</si>
  <si>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</si>
  <si>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</si>
  <si>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</si>
  <si>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</si>
  <si>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</si>
  <si>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</si>
  <si>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</si>
  <si>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</si>
  <si>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</si>
  <si>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</si>
  <si>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</si>
  <si>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</si>
  <si>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</si>
  <si>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</si>
  <si>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</si>
  <si>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</si>
  <si>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</si>
  <si>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</si>
  <si>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</si>
  <si>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</si>
  <si>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</si>
  <si>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</si>
  <si>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</si>
  <si>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</si>
  <si>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</si>
  <si>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</si>
  <si>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</si>
  <si>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</si>
  <si>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</si>
  <si>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</si>
  <si>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</si>
  <si>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</si>
  <si>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</si>
  <si>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</si>
  <si>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</si>
  <si>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</si>
  <si>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</si>
  <si>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</si>
  <si>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</si>
  <si>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</si>
  <si>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</si>
  <si>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</si>
  <si>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</si>
  <si>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</si>
  <si>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</si>
  <si>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</si>
  <si>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</si>
  <si>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</si>
  <si>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</si>
  <si>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</si>
  <si>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</si>
  <si>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</si>
  <si>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</si>
  <si>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</si>
  <si>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</si>
  <si>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</si>
  <si>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</si>
  <si>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</si>
  <si>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</si>
  <si>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</si>
  <si>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</si>
  <si>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</si>
  <si>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</si>
  <si>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</si>
  <si>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</si>
  <si>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</si>
  <si>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</si>
  <si>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</si>
  <si>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</si>
  <si>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</si>
  <si>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</si>
  <si>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</si>
  <si>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</si>
  <si>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</si>
  <si>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</si>
  <si>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</si>
  <si>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</si>
  <si>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</si>
  <si>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</si>
  <si>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</si>
  <si>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</si>
  <si>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</si>
  <si>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</si>
  <si>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</si>
  <si>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</si>
  <si>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</si>
  <si>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</si>
  <si>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</si>
  <si>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</si>
  <si>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</si>
  <si>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</si>
  <si>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</si>
  <si>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</si>
  <si>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</si>
  <si>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</si>
  <si>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</si>
  <si>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</si>
  <si>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</si>
  <si>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</si>
  <si>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</si>
  <si>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</si>
  <si>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</si>
  <si>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</si>
  <si>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</si>
  <si>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</si>
  <si>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</si>
  <si>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</si>
  <si>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</si>
  <si>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</si>
  <si>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</si>
  <si>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</si>
  <si>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</si>
  <si>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</si>
  <si>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</si>
  <si>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</si>
  <si>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</si>
  <si>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</si>
  <si>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</si>
  <si>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</si>
  <si>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</si>
  <si>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</si>
  <si>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</si>
  <si>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</si>
  <si>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</si>
  <si>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</si>
  <si>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</si>
  <si>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</si>
  <si>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</si>
  <si>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</si>
  <si>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</si>
  <si>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</si>
  <si>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</si>
  <si>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</si>
  <si>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</si>
  <si>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</si>
  <si>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</si>
  <si>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</si>
  <si>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</si>
  <si>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</si>
  <si>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</si>
  <si>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</si>
  <si>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</si>
  <si>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</si>
  <si>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</si>
  <si>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</si>
  <si>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</si>
  <si>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</si>
  <si>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</si>
  <si>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</si>
  <si>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</si>
  <si>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</si>
  <si>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</si>
  <si>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</si>
  <si>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</si>
  <si>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</si>
  <si>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</si>
  <si>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</si>
  <si>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</si>
  <si>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</si>
  <si>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</si>
  <si>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</si>
  <si>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</si>
  <si>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</si>
  <si>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</si>
  <si>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</si>
  <si>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</si>
  <si>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</si>
  <si>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</si>
  <si>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</si>
  <si>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</si>
  <si>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</si>
  <si>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</si>
  <si>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</si>
  <si>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</si>
  <si>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</si>
  <si>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</si>
  <si>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</si>
  <si>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</si>
  <si>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</si>
  <si>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</si>
  <si>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</si>
  <si>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</si>
  <si>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</si>
  <si>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</si>
  <si>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</si>
  <si>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</si>
  <si>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</si>
  <si>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</si>
  <si>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</si>
  <si>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</si>
  <si>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</si>
  <si>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</si>
  <si>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</si>
  <si>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</si>
  <si>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</si>
  <si>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</si>
  <si>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</si>
  <si>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</si>
  <si>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</si>
  <si>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</si>
  <si>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</si>
  <si>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</si>
  <si>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</si>
  <si>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</si>
  <si>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</si>
  <si>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</si>
  <si>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</si>
  <si>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</si>
  <si>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</si>
  <si>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</si>
  <si>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</si>
  <si>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</si>
  <si>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</si>
  <si>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</si>
  <si>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</si>
  <si>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</si>
  <si>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</si>
  <si>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</si>
  <si>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</si>
  <si>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</si>
  <si>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</si>
  <si>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</si>
  <si>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</si>
  <si>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</si>
  <si>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</si>
  <si>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</si>
  <si>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</si>
  <si>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</si>
  <si>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</si>
  <si>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</si>
  <si>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</si>
  <si>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</si>
  <si>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</si>
  <si>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</si>
  <si>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</si>
  <si>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</si>
  <si>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</si>
  <si>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</si>
  <si>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</si>
  <si>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</si>
  <si>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</si>
  <si>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</si>
  <si>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</si>
  <si>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</si>
  <si>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</si>
  <si>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</si>
  <si>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</si>
  <si>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</si>
  <si>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</si>
  <si>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</si>
  <si>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</si>
  <si>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</si>
  <si>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</si>
  <si>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</si>
  <si>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</si>
  <si>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</si>
  <si>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</si>
  <si>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</si>
  <si>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</si>
  <si>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</si>
  <si>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</si>
  <si>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</si>
  <si>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</si>
  <si>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</si>
  <si>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</si>
  <si>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</si>
  <si>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</si>
  <si>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</si>
  <si>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</si>
  <si>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</si>
  <si>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</si>
  <si>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</si>
  <si>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</si>
  <si>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</si>
  <si>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</si>
  <si>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</si>
  <si>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</si>
  <si>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</si>
  <si>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</si>
  <si>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</si>
  <si>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</si>
  <si>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</si>
  <si>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</si>
  <si>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</si>
  <si>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</si>
  <si>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</si>
  <si>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</si>
  <si>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</si>
  <si>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</si>
  <si>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</si>
  <si>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</si>
  <si>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</si>
  <si>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</si>
  <si>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</si>
  <si>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</si>
  <si>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</si>
  <si>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</si>
  <si>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</si>
  <si>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</si>
  <si>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</si>
  <si>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</si>
  <si>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</si>
  <si>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</si>
  <si>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</si>
  <si>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</si>
  <si>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</si>
  <si>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</si>
  <si>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</si>
  <si>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</si>
  <si>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</si>
  <si>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</si>
  <si>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</si>
  <si>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</si>
  <si>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</si>
  <si>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</si>
  <si>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</si>
  <si>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</si>
  <si>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</si>
  <si>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</si>
  <si>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</si>
  <si>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</si>
  <si>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</si>
  <si>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</si>
  <si>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</si>
  <si>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</si>
  <si>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</si>
  <si>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</si>
  <si>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</si>
  <si>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</si>
  <si>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</si>
  <si>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</si>
  <si>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</si>
  <si>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</si>
  <si>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</si>
  <si>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</si>
  <si>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</si>
  <si>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</si>
  <si>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</si>
  <si>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</si>
  <si>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</si>
  <si>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</si>
  <si>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</si>
  <si>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</si>
  <si>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</si>
  <si>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</si>
  <si>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</si>
  <si>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</si>
  <si>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</si>
  <si>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</si>
  <si>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</si>
  <si>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</si>
  <si>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</si>
  <si>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</si>
  <si>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</si>
  <si>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</si>
  <si>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</si>
  <si>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</si>
  <si>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</si>
  <si>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</si>
  <si>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</si>
  <si>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</si>
  <si>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</si>
  <si>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</si>
  <si>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</si>
  <si>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</si>
  <si>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</si>
  <si>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</si>
  <si>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</si>
  <si>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</si>
  <si>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</si>
  <si>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</si>
  <si>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</si>
  <si>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</si>
  <si>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</si>
  <si>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</si>
  <si>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</si>
  <si>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</si>
  <si>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</si>
  <si>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</si>
  <si>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</si>
  <si>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</si>
  <si>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</si>
  <si>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</si>
  <si>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</si>
  <si>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</si>
  <si>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</si>
  <si>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</si>
  <si>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</si>
  <si>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</si>
  <si>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</si>
  <si>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</si>
  <si>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</si>
  <si>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</si>
  <si>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</si>
  <si>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</si>
  <si>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</si>
  <si>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</si>
  <si>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</si>
  <si>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</si>
  <si>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</si>
  <si>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</si>
  <si>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</si>
  <si>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</si>
  <si>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</si>
  <si>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</si>
  <si>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</si>
  <si>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</si>
  <si>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</si>
  <si>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</si>
  <si>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</si>
  <si>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</si>
  <si>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</si>
  <si>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</si>
  <si>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</si>
  <si>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</si>
  <si>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</si>
  <si>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</si>
  <si>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</si>
  <si>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</si>
  <si>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</si>
  <si>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</si>
  <si>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</si>
  <si>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</si>
  <si>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</si>
  <si>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</si>
  <si>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</si>
  <si>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</si>
  <si>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</si>
  <si>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</si>
  <si>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</si>
  <si>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</si>
  <si>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</si>
  <si>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</si>
  <si>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</si>
  <si>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</si>
  <si>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</si>
  <si>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</si>
  <si>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</si>
  <si>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</si>
  <si>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</si>
  <si>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</si>
  <si>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</si>
  <si>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</si>
  <si>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</si>
  <si>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</si>
  <si>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</si>
  <si>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</si>
  <si>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</si>
  <si>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</si>
  <si>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</si>
  <si>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</si>
  <si>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</si>
  <si>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</si>
  <si>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</si>
  <si>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</si>
  <si>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</si>
  <si>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</si>
  <si>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</si>
  <si>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</si>
  <si>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</si>
  <si>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</si>
  <si>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</si>
  <si>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</si>
  <si>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</si>
  <si>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</si>
  <si>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</si>
  <si>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</si>
  <si>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</si>
  <si>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</si>
  <si>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</si>
  <si>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</si>
  <si>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</si>
  <si>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</si>
  <si>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</si>
  <si>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</si>
  <si>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</si>
  <si>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</si>
  <si>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</si>
  <si>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</si>
  <si>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</si>
  <si>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</si>
  <si>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</si>
  <si>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</si>
  <si>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</si>
  <si>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</si>
  <si>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</si>
  <si>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</si>
  <si>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</si>
  <si>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</si>
  <si>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</si>
  <si>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</si>
  <si>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</si>
  <si>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</si>
  <si>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</si>
  <si>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</si>
  <si>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</si>
  <si>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</si>
  <si>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</si>
  <si>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</si>
  <si>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</si>
  <si>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</si>
  <si>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</si>
  <si>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</si>
  <si>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</si>
  <si>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</si>
  <si>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</si>
  <si>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</si>
  <si>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</si>
  <si>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</si>
  <si>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</si>
  <si>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</si>
  <si>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</si>
  <si>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</si>
  <si>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</si>
  <si>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</si>
  <si>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</si>
  <si>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</si>
  <si>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</si>
  <si>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</si>
  <si>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</si>
  <si>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</si>
  <si>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</si>
  <si>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</si>
  <si>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</si>
  <si>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</si>
  <si>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</si>
  <si>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</si>
  <si>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</si>
  <si>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</si>
  <si>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</si>
  <si>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</si>
  <si>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</si>
  <si>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</si>
  <si>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</si>
  <si>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</si>
  <si>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</si>
  <si>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</si>
  <si>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</si>
  <si>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</si>
  <si>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</si>
  <si>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</si>
  <si>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</si>
  <si>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</si>
  <si>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</si>
  <si>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</si>
  <si>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</si>
  <si>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</si>
  <si>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</si>
  <si>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</si>
  <si>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</si>
  <si>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</si>
  <si>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</si>
  <si>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</si>
  <si>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</si>
  <si>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</si>
  <si>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</si>
  <si>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</si>
  <si>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</si>
  <si>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</si>
  <si>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</si>
  <si>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</si>
  <si>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</si>
  <si>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</si>
  <si>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</si>
  <si>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</si>
  <si>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</si>
  <si>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</si>
  <si>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</si>
  <si>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</si>
  <si>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</si>
  <si>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</si>
  <si>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</si>
  <si>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</si>
  <si>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</si>
  <si>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</si>
  <si>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</si>
  <si>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</si>
  <si>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</si>
  <si>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</si>
  <si>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</si>
  <si>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</si>
  <si>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</si>
  <si>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</si>
  <si>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</si>
  <si>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</si>
  <si>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</si>
  <si>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</si>
  <si>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</si>
  <si>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</si>
  <si>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</si>
  <si>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</si>
  <si>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</si>
  <si>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</si>
  <si>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</si>
  <si>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</si>
  <si>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</si>
  <si>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</si>
  <si>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</si>
  <si>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</si>
  <si>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</si>
  <si>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</si>
  <si>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</si>
  <si>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</si>
  <si>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</si>
  <si>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</si>
  <si>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</si>
  <si>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</si>
  <si>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</si>
  <si>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</si>
  <si>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</si>
  <si>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</si>
  <si>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</si>
  <si>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</si>
  <si>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</si>
  <si>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</si>
  <si>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</si>
  <si>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</si>
  <si>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</si>
  <si>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</si>
  <si>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</si>
  <si>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</si>
  <si>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</si>
  <si>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</si>
  <si>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</si>
  <si>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</si>
  <si>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</si>
  <si>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</si>
  <si>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</si>
  <si>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</si>
  <si>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</si>
  <si>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</si>
  <si>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</si>
  <si>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</si>
  <si>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</si>
  <si>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</si>
  <si>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</si>
  <si>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</si>
  <si>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</si>
  <si>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</si>
  <si>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</si>
  <si>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</si>
  <si>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</si>
  <si>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</si>
  <si>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</si>
  <si>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</si>
  <si>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</si>
  <si>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</si>
  <si>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</si>
  <si>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</si>
  <si>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</si>
  <si>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</si>
  <si>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</si>
  <si>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</si>
  <si>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</si>
  <si>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</si>
  <si>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</si>
  <si>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</si>
  <si>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</si>
  <si>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</si>
  <si>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</si>
  <si>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</si>
  <si>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</si>
  <si>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</si>
  <si>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</si>
  <si>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</si>
  <si>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</si>
  <si>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</si>
  <si>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</si>
  <si>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</si>
  <si>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</si>
  <si>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</si>
  <si>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</si>
  <si>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</si>
  <si>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</si>
  <si>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</si>
  <si>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</si>
  <si>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</si>
  <si>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</si>
  <si>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</si>
  <si>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</si>
  <si>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</si>
  <si>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</si>
  <si>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</si>
  <si>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</si>
  <si>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</si>
  <si>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</si>
  <si>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</si>
  <si>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</si>
  <si>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</si>
  <si>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</si>
  <si>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</si>
  <si>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</si>
  <si>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</si>
  <si>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</si>
  <si>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</si>
  <si>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</si>
  <si>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</si>
  <si>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</si>
  <si>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</si>
  <si>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</si>
  <si>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</si>
  <si>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</si>
  <si>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</si>
  <si>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</si>
  <si>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</si>
  <si>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</si>
  <si>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</si>
  <si>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</si>
  <si>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</si>
  <si>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</si>
  <si>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</si>
  <si>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</si>
  <si>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</si>
  <si>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</si>
  <si>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</si>
  <si>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</si>
  <si>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</si>
  <si>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</si>
  <si>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</si>
  <si>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</si>
  <si>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</si>
  <si>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</si>
  <si>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</si>
  <si>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</si>
  <si>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</si>
  <si>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</si>
  <si>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</si>
  <si>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</si>
  <si>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</si>
  <si>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</si>
  <si>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</si>
  <si>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</si>
  <si>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</si>
  <si>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</si>
  <si>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</si>
  <si>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</si>
  <si>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</si>
  <si>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</si>
  <si>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</si>
  <si>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</si>
  <si>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</si>
  <si>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</si>
  <si>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</si>
  <si>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</si>
  <si>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</si>
  <si>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</si>
  <si>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</si>
  <si>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</si>
  <si>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</si>
  <si>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</si>
  <si>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</si>
  <si>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</si>
  <si>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</si>
  <si>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</si>
  <si>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</si>
  <si>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</si>
  <si>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</si>
  <si>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</si>
  <si>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</si>
  <si>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</si>
  <si>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</si>
  <si>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</si>
  <si>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</si>
  <si>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</si>
  <si>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</si>
  <si>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</si>
  <si>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</si>
  <si>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</si>
  <si>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</si>
  <si>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</si>
  <si>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</si>
  <si>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</si>
  <si>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</si>
  <si>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</si>
  <si>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</si>
  <si>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</si>
  <si>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</si>
  <si>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</si>
  <si>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</si>
  <si>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</si>
  <si>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</si>
  <si>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</si>
  <si>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</si>
  <si>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</si>
  <si>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</si>
  <si>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</si>
  <si>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</si>
  <si>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</si>
  <si>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</si>
  <si>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</si>
  <si>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</si>
  <si>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</si>
  <si>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</si>
  <si>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</si>
  <si>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</si>
  <si>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</si>
  <si>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</si>
  <si>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</si>
  <si>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</si>
  <si>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</si>
  <si>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</si>
  <si>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</si>
  <si>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</si>
  <si>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</si>
  <si>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</si>
  <si>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</si>
  <si>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</si>
  <si>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</si>
  <si>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</si>
  <si>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</si>
  <si>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</si>
  <si>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</si>
  <si>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</si>
  <si>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</si>
  <si>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</si>
  <si>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</si>
  <si>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</si>
  <si>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</si>
  <si>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</si>
  <si>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</si>
  <si>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</si>
  <si>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</si>
  <si>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</si>
  <si>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</si>
  <si>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</si>
  <si>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</si>
  <si>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</si>
  <si>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</si>
  <si>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</si>
  <si>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</si>
  <si>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</si>
  <si>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</si>
  <si>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</si>
  <si>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</si>
  <si>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</si>
  <si>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</si>
  <si>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</si>
  <si>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</si>
  <si>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</si>
  <si>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</si>
  <si>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</si>
  <si>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</si>
  <si>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</si>
  <si>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</si>
  <si>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</si>
  <si>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</si>
  <si>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</si>
  <si>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</si>
  <si>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</si>
  <si>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</si>
  <si>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</si>
  <si>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</si>
  <si>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</si>
  <si>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</si>
  <si>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</si>
  <si>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</si>
  <si>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</si>
  <si>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</si>
  <si>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</si>
  <si>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</si>
  <si>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</si>
  <si>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</si>
  <si>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</si>
  <si>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</si>
  <si>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</si>
  <si>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</si>
  <si>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</si>
  <si>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</si>
  <si>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</si>
  <si>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</si>
  <si>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</si>
  <si>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</si>
  <si>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</si>
  <si>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</si>
  <si>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</si>
  <si>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</si>
  <si>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</si>
  <si>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</si>
  <si>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</si>
  <si>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</si>
  <si>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</si>
  <si>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</si>
  <si>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</si>
  <si>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</si>
  <si>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</si>
  <si>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</si>
  <si>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</si>
  <si>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</si>
  <si>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</si>
  <si>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</si>
  <si>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</si>
  <si>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</si>
  <si>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</si>
  <si>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</si>
  <si>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</si>
  <si>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</si>
  <si>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</si>
  <si>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</si>
  <si>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</si>
  <si>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</si>
  <si>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</si>
  <si>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</si>
  <si>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</si>
  <si>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</si>
  <si>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</si>
  <si>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</si>
  <si>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</si>
  <si>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</si>
  <si>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</si>
  <si>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</si>
  <si>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</si>
  <si>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</si>
  <si>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</si>
  <si>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</si>
  <si>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</si>
  <si>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</si>
  <si>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</si>
  <si>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</si>
  <si>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</si>
  <si>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</si>
  <si>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</si>
  <si>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</si>
  <si>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</si>
  <si>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</si>
  <si>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</si>
  <si>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</si>
  <si>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</si>
  <si>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</si>
  <si>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</si>
  <si>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</si>
  <si>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</si>
  <si>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</si>
  <si>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</si>
  <si>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</si>
  <si>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</si>
  <si>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</si>
  <si>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</si>
  <si>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</si>
  <si>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</si>
  <si>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</si>
  <si>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</si>
  <si>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</si>
  <si>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</si>
  <si>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</si>
  <si>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</si>
  <si>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</si>
  <si>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</si>
  <si>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</si>
  <si>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</si>
  <si>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</si>
  <si>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</si>
  <si>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</si>
  <si>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</si>
  <si>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</si>
  <si>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</si>
  <si>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</si>
  <si>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</si>
  <si>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</si>
  <si>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</si>
  <si>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</si>
  <si>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</si>
  <si>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</si>
  <si>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</si>
  <si>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</si>
  <si>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</si>
  <si>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</si>
  <si>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</si>
  <si>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</si>
  <si>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</si>
  <si>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</si>
  <si>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</si>
  <si>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</si>
  <si>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</si>
  <si>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</si>
  <si>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</si>
  <si>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</si>
  <si>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</si>
  <si>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</si>
  <si>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</si>
  <si>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</si>
  <si>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</si>
  <si>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</si>
  <si>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</si>
  <si>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</si>
  <si>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</si>
  <si>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</si>
  <si>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</si>
  <si>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</si>
  <si>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</si>
  <si>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</si>
  <si>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</si>
  <si>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</si>
  <si>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</si>
  <si>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</si>
  <si>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</si>
  <si>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</si>
  <si>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</si>
  <si>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</si>
  <si>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</si>
  <si>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</si>
  <si>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</si>
  <si>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</si>
  <si>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</si>
  <si>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</si>
  <si>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</si>
  <si>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</si>
  <si>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</si>
  <si>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</si>
  <si>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</si>
  <si>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</si>
  <si>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</si>
  <si>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</si>
  <si>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</si>
  <si>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</si>
  <si>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</si>
  <si>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</si>
  <si>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</si>
  <si>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</si>
  <si>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</si>
  <si>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</si>
  <si>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</si>
  <si>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</si>
  <si>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</si>
  <si>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</si>
  <si>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</si>
  <si>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</si>
  <si>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</si>
  <si>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</si>
  <si>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</si>
  <si>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</si>
  <si>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</si>
  <si>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</si>
  <si>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</si>
  <si>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</si>
  <si>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</si>
  <si>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</si>
  <si>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</si>
  <si>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</si>
  <si>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</si>
  <si>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</si>
  <si>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</si>
  <si>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</si>
  <si>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</si>
  <si>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</si>
  <si>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</si>
  <si>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</si>
  <si>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</si>
  <si>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</si>
  <si>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</si>
  <si>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</si>
  <si>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</si>
  <si>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</si>
  <si>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</si>
  <si>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</si>
  <si>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</si>
  <si>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</si>
  <si>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</si>
  <si>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</si>
  <si>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</si>
  <si>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</si>
  <si>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</si>
  <si>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</si>
  <si>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</si>
  <si>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</si>
  <si>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</si>
  <si>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</si>
  <si>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</si>
  <si>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</si>
  <si>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</si>
  <si>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</si>
  <si>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</si>
  <si>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</si>
  <si>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</si>
  <si>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</si>
  <si>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</si>
  <si>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</si>
  <si>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</si>
  <si>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</si>
  <si>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</si>
  <si>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</si>
  <si>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</si>
  <si>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</si>
  <si>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</si>
  <si>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</si>
  <si>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</si>
  <si>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</si>
  <si>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</si>
  <si>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</si>
  <si>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</si>
  <si>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</si>
  <si>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</si>
  <si>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</si>
  <si>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</si>
  <si>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</si>
  <si>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</si>
  <si>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</si>
  <si>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</si>
  <si>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</si>
  <si>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</si>
  <si>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</si>
  <si>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</si>
  <si>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</si>
  <si>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</si>
  <si>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</si>
  <si>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</si>
  <si>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</si>
  <si>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</si>
  <si>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</si>
  <si>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</si>
  <si>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</si>
  <si>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</si>
  <si>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</si>
  <si>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</si>
  <si>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</si>
  <si>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</si>
  <si>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</si>
  <si>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</si>
  <si>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</si>
  <si>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</si>
  <si>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</si>
  <si>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</si>
  <si>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</si>
  <si>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</si>
  <si>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</si>
  <si>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</si>
  <si>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</si>
  <si>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</si>
  <si>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</si>
  <si>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</si>
  <si>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</si>
  <si>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</si>
  <si>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</si>
  <si>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</si>
  <si>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</si>
  <si>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</si>
  <si>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</si>
  <si>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</si>
  <si>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</si>
  <si>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</si>
  <si>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</si>
  <si>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</si>
  <si>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</si>
  <si>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</si>
  <si>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</si>
  <si>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</si>
  <si>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</si>
  <si>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</si>
  <si>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</si>
  <si>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</si>
  <si>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</si>
  <si>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</si>
  <si>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</si>
  <si>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</si>
  <si>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</si>
  <si>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</si>
  <si>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</si>
  <si>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</si>
  <si>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</si>
  <si>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</si>
  <si>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</si>
  <si>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</si>
  <si>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</si>
  <si>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</si>
  <si>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</si>
  <si>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</si>
  <si>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</si>
  <si>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</si>
  <si>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</si>
  <si>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</si>
  <si>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</si>
  <si>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</si>
  <si>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</si>
  <si>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</si>
  <si>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</si>
  <si>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</si>
  <si>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</si>
  <si>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</si>
  <si>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</si>
  <si>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</si>
  <si>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</si>
  <si>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</si>
  <si>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</si>
  <si>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</si>
  <si>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</si>
  <si>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</si>
  <si>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</si>
  <si>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</si>
  <si>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</si>
  <si>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</si>
  <si>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</si>
  <si>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</si>
  <si>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</si>
  <si>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</si>
  <si>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</si>
  <si>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</si>
  <si>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</si>
  <si>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</si>
  <si>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</si>
  <si>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</si>
  <si>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</si>
  <si>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</si>
  <si>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</si>
  <si>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</si>
  <si>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</si>
  <si>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</si>
  <si>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</si>
  <si>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</si>
  <si>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</si>
  <si>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</si>
  <si>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</si>
  <si>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</si>
  <si>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</si>
  <si>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</si>
  <si>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</si>
  <si>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</si>
  <si>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</si>
  <si>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</si>
  <si>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</si>
  <si>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</si>
  <si>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</si>
  <si>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</si>
  <si>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</si>
  <si>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</si>
  <si>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</si>
  <si>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</si>
  <si>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</si>
  <si>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</si>
  <si>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</si>
  <si>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</si>
  <si>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</si>
  <si>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</si>
  <si>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</si>
  <si>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</si>
  <si>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</si>
  <si>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</si>
  <si>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</si>
  <si>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</si>
  <si>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</si>
  <si>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</si>
  <si>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</si>
  <si>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</si>
  <si>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</si>
  <si>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</si>
  <si>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</si>
  <si>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</si>
  <si>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</si>
  <si>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</si>
  <si>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</si>
  <si>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</si>
  <si>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</si>
  <si>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</si>
  <si>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</si>
  <si>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</si>
  <si>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</si>
  <si>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</si>
  <si>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</si>
  <si>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</si>
  <si>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</si>
  <si>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</si>
  <si>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</si>
  <si>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</si>
  <si>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</si>
  <si>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</si>
  <si>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</si>
  <si>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</si>
  <si>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</si>
  <si>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</si>
  <si>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</si>
  <si>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</si>
  <si>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</si>
  <si>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</si>
  <si>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</si>
  <si>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</si>
  <si>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</si>
  <si>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</si>
  <si>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</si>
  <si>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</si>
  <si>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</si>
  <si>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</si>
  <si>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</si>
  <si>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</si>
  <si>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</si>
  <si>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</si>
  <si>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</si>
  <si>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</si>
  <si>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</si>
  <si>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</si>
  <si>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</si>
  <si>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</si>
  <si>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</si>
  <si>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</si>
  <si>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</si>
  <si>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</si>
  <si>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</si>
  <si>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</si>
  <si>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</si>
  <si>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</si>
  <si>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</si>
  <si>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</si>
  <si>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</si>
  <si>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</si>
  <si>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</si>
  <si>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</si>
  <si>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</si>
  <si>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</si>
  <si>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</si>
  <si>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</si>
  <si>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</si>
  <si>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</si>
  <si>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</si>
  <si>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</si>
  <si>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</si>
  <si>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</si>
  <si>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</si>
  <si>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</si>
  <si>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</si>
  <si>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</si>
  <si>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</si>
  <si>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</si>
  <si>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</si>
  <si>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</si>
  <si>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</si>
  <si>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</si>
  <si>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</si>
  <si>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</si>
  <si>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</si>
  <si>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</si>
  <si>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</si>
  <si>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</si>
  <si>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</si>
  <si>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</si>
  <si>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</si>
  <si>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</si>
  <si>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</si>
  <si>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</si>
  <si>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</si>
  <si>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</si>
  <si>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</si>
  <si>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</si>
  <si>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</si>
  <si>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</si>
  <si>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</si>
  <si>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</si>
  <si>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</si>
  <si>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</si>
  <si>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</si>
  <si>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</si>
  <si>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</si>
  <si>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</si>
  <si>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</si>
  <si>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</si>
  <si>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</si>
  <si>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</si>
  <si>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</si>
  <si>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</si>
  <si>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</si>
  <si>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</si>
  <si>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</si>
  <si>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</si>
  <si>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</si>
  <si>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</si>
  <si>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</si>
  <si>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</si>
  <si>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</si>
  <si>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</si>
  <si>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</si>
  <si>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</si>
  <si>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</si>
  <si>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</si>
  <si>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</si>
  <si>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</si>
  <si>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</si>
  <si>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</si>
  <si>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</si>
  <si>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</si>
  <si>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</si>
  <si>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</si>
  <si>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</si>
  <si>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</si>
  <si>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</si>
  <si>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</si>
  <si>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</si>
  <si>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</si>
  <si>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</si>
  <si>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</si>
  <si>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</si>
  <si>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</si>
  <si>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</si>
  <si>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</si>
  <si>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</si>
  <si>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</si>
  <si>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</si>
  <si>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</si>
  <si>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</si>
  <si>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</si>
  <si>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</si>
  <si>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</si>
  <si>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</si>
  <si>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</si>
  <si>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</si>
  <si>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</si>
  <si>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</si>
  <si>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</si>
  <si>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</si>
  <si>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</si>
  <si>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</si>
  <si>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</si>
  <si>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</si>
  <si>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</si>
  <si>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</si>
  <si>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</si>
  <si>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</si>
  <si>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</si>
  <si>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</si>
  <si>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</si>
  <si>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</si>
  <si>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</si>
  <si>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</si>
  <si>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</si>
  <si>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</si>
  <si>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</si>
  <si>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</si>
  <si>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</si>
  <si>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</si>
  <si>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</si>
  <si>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</si>
  <si>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</si>
  <si>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</si>
  <si>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</si>
  <si>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</si>
  <si>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</si>
  <si>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</si>
  <si>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</si>
  <si>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</si>
  <si>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</si>
  <si>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</si>
  <si>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</si>
  <si>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</si>
  <si>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</si>
  <si>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</si>
  <si>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</si>
  <si>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</si>
  <si>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</si>
  <si>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</si>
  <si>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</si>
  <si>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</si>
  <si>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</si>
  <si>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</si>
  <si>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</si>
  <si>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</si>
  <si>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</si>
  <si>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</si>
  <si>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</si>
  <si>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</si>
  <si>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</si>
  <si>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</si>
  <si>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</si>
  <si>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</si>
  <si>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</si>
  <si>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</si>
  <si>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</si>
  <si>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</si>
  <si>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</si>
  <si>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</si>
  <si>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</si>
  <si>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</si>
  <si>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</si>
  <si>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</si>
  <si>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</si>
  <si>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</si>
  <si>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</si>
  <si>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</si>
  <si>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</si>
  <si>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</si>
  <si>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</si>
  <si>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</si>
  <si>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</si>
  <si>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</si>
  <si>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</si>
  <si>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</si>
  <si>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</si>
  <si>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</si>
  <si>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</si>
  <si>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</si>
  <si>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</si>
  <si>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</si>
  <si>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</si>
  <si>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</si>
  <si>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</si>
  <si>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</si>
  <si>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</si>
  <si>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</si>
  <si>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</si>
  <si>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</si>
  <si>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</si>
  <si>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</si>
  <si>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</si>
  <si>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</si>
  <si>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</si>
  <si>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</si>
  <si>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</si>
  <si>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</si>
  <si>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</si>
  <si>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</si>
  <si>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</si>
  <si>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</si>
  <si>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</si>
  <si>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</si>
  <si>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</si>
  <si>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</si>
  <si>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</si>
  <si>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</si>
  <si>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</si>
  <si>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</si>
  <si>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</si>
  <si>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</si>
  <si>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</si>
  <si>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</si>
  <si>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</si>
  <si>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</si>
  <si>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</si>
  <si>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</si>
  <si>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</si>
  <si>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</si>
  <si>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</si>
  <si>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</si>
  <si>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</si>
  <si>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</si>
  <si>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</si>
  <si>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</si>
  <si>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</si>
  <si>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</si>
  <si>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</si>
  <si>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</si>
  <si>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</si>
  <si>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</si>
  <si>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</si>
  <si>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</si>
  <si>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</si>
  <si>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</si>
  <si>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</si>
  <si>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</si>
  <si>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</si>
  <si>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</si>
  <si>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</si>
  <si>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</si>
  <si>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</si>
  <si>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</si>
  <si>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</si>
  <si>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</si>
  <si>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</si>
  <si>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</si>
  <si>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</si>
  <si>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</si>
  <si>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</si>
  <si>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</si>
  <si>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</si>
  <si>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</si>
  <si>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</si>
  <si>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</si>
  <si>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</si>
  <si>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</si>
  <si>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</si>
  <si>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</si>
  <si>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</si>
  <si>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</si>
  <si>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</si>
  <si>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</si>
  <si>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</si>
  <si>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</si>
  <si>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</si>
  <si>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</si>
  <si>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</si>
  <si>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</si>
  <si>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</si>
  <si>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</si>
  <si>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</si>
  <si>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</si>
  <si>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</si>
  <si>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</si>
  <si>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</si>
  <si>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</si>
  <si>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</si>
  <si>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</si>
  <si>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</si>
  <si>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</si>
  <si>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</si>
  <si>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</si>
  <si>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</si>
  <si>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</si>
  <si>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</si>
  <si>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</si>
  <si>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</si>
  <si>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</si>
  <si>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</si>
  <si>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</si>
  <si>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</si>
  <si>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</si>
  <si>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</si>
  <si>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</si>
  <si>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</si>
  <si>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</si>
  <si>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</si>
  <si>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</si>
  <si>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</si>
  <si>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</si>
  <si>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</si>
  <si>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</si>
  <si>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</si>
  <si>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</si>
  <si>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</si>
  <si>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</si>
  <si>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</si>
  <si>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</si>
  <si>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</si>
  <si>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</si>
  <si>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</si>
  <si>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</si>
  <si>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</si>
  <si>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</si>
  <si>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</si>
  <si>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</si>
  <si>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</si>
  <si>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</si>
  <si>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</si>
  <si>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</si>
  <si>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</si>
  <si>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</si>
  <si>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</si>
  <si>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</si>
  <si>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</si>
  <si>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</si>
  <si>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</si>
  <si>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</si>
  <si>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</si>
  <si>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</si>
  <si>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</si>
  <si>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</si>
  <si>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</si>
  <si>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</si>
  <si>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</si>
  <si>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</si>
  <si>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</si>
  <si>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</si>
  <si>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</si>
  <si>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</si>
  <si>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</si>
  <si>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</si>
  <si>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</si>
  <si>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</si>
  <si>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</si>
  <si>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</si>
  <si>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</si>
  <si>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</si>
  <si>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</si>
  <si>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</si>
  <si>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</si>
  <si>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</si>
  <si>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</si>
  <si>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</si>
  <si>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</si>
  <si>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</si>
  <si>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</si>
  <si>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</si>
  <si>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</si>
  <si>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</si>
  <si>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</si>
  <si>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</si>
  <si>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</si>
  <si>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</si>
  <si>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</si>
  <si>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</si>
  <si>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</si>
  <si>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</si>
  <si>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</si>
  <si>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</si>
  <si>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</si>
  <si>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</si>
  <si>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</si>
  <si>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</si>
  <si>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</si>
  <si>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</si>
  <si>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</si>
  <si>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</si>
  <si>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</si>
  <si>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</si>
  <si>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</si>
  <si>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</si>
  <si>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</si>
  <si>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</si>
  <si>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</si>
  <si>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</si>
  <si>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</si>
  <si>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</si>
  <si>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</si>
  <si>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</si>
  <si>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</si>
  <si>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</si>
  <si>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</si>
  <si>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</si>
  <si>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</si>
  <si>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</si>
  <si>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</si>
  <si>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</si>
  <si>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</si>
  <si>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</si>
  <si>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</si>
  <si>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</si>
  <si>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</si>
  <si>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</si>
  <si>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</si>
  <si>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</si>
  <si>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</si>
  <si>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</si>
  <si>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</si>
  <si>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</si>
  <si>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</si>
  <si>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</si>
  <si>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</si>
  <si>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</si>
  <si>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</si>
  <si>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</si>
  <si>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</si>
  <si>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</si>
  <si>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</si>
  <si>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</si>
  <si>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</si>
  <si>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</si>
  <si>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</si>
  <si>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</si>
  <si>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</si>
  <si>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</si>
  <si>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</si>
  <si>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</si>
  <si>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</si>
  <si>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</si>
  <si>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</si>
  <si>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</si>
  <si>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</si>
  <si>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</si>
  <si>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</si>
  <si>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</si>
  <si>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</si>
  <si>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</si>
  <si>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</si>
  <si>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</si>
  <si>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</si>
  <si>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</si>
  <si>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</si>
  <si>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</si>
  <si>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</si>
  <si>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</si>
  <si>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</si>
  <si>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</si>
  <si>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</si>
  <si>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</si>
  <si>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</si>
  <si>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</si>
  <si>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</si>
  <si>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</si>
  <si>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</si>
  <si>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</si>
  <si>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</si>
  <si>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</si>
  <si>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</si>
  <si>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</si>
  <si>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</si>
  <si>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</si>
  <si>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</si>
  <si>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</si>
  <si>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</si>
  <si>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</si>
  <si>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</si>
  <si>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</si>
  <si>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</si>
  <si>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</si>
  <si>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</si>
  <si>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</si>
  <si>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</si>
  <si>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</si>
  <si>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</si>
  <si>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</si>
  <si>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</si>
  <si>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</si>
  <si>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</si>
  <si>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</si>
  <si>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</si>
  <si>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</si>
  <si>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</si>
  <si>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</si>
  <si>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</si>
  <si>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</si>
  <si>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</si>
  <si>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</si>
  <si>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</si>
  <si>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</si>
  <si>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</si>
  <si>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</si>
  <si>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</si>
  <si>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</si>
  <si>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</si>
  <si>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</si>
  <si>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</si>
  <si>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</si>
  <si>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</si>
  <si>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</si>
  <si>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</si>
  <si>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</si>
  <si>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</si>
  <si>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</si>
  <si>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</si>
  <si>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</si>
  <si>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</si>
  <si>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</si>
  <si>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</si>
  <si>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</si>
  <si>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</si>
  <si>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</si>
  <si>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</si>
  <si>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</si>
  <si>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</si>
  <si>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</si>
  <si>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</si>
  <si>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</si>
  <si>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</si>
  <si>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</si>
  <si>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</si>
  <si>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</si>
  <si>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</si>
  <si>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</si>
  <si>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</si>
  <si>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</si>
  <si>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</si>
  <si>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</si>
  <si>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</si>
  <si>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</si>
  <si>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</si>
  <si>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</si>
  <si>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</si>
  <si>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</si>
  <si>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</si>
  <si>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</si>
  <si>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</si>
  <si>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</si>
  <si>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</si>
  <si>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</si>
  <si>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</si>
  <si>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</si>
  <si>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</si>
  <si>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</si>
  <si>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</si>
  <si>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</si>
  <si>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</si>
  <si>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</si>
  <si>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</si>
  <si>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</si>
  <si>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</si>
  <si>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</si>
  <si>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</si>
  <si>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</si>
  <si>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</si>
  <si>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</si>
  <si>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</si>
  <si>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</si>
  <si>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</si>
  <si>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</si>
  <si>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</si>
  <si>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</si>
  <si>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</si>
  <si>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</si>
  <si>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</si>
  <si>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</si>
  <si>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</si>
  <si>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</si>
  <si>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</si>
  <si>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</si>
  <si>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</si>
  <si>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</si>
  <si>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</si>
  <si>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</si>
  <si>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</si>
  <si>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</si>
  <si>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</si>
  <si>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</si>
  <si>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</si>
  <si>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</si>
  <si>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</si>
  <si>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</si>
  <si>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</si>
  <si>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</si>
  <si>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</si>
  <si>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</si>
  <si>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</si>
  <si>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</si>
  <si>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</si>
  <si>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</si>
  <si>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</si>
  <si>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</si>
  <si>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</si>
  <si>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</si>
  <si>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</si>
  <si>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</si>
  <si>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</si>
  <si>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</si>
  <si>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</si>
  <si>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</si>
  <si>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</si>
  <si>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</si>
  <si>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</si>
  <si>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</si>
  <si>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</si>
  <si>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</si>
  <si>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</si>
  <si>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</si>
  <si>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</si>
  <si>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</si>
  <si>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</si>
  <si>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</si>
  <si>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</si>
  <si>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</si>
  <si>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</si>
  <si>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</si>
  <si>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</si>
  <si>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</si>
  <si>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</si>
  <si>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</si>
  <si>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</si>
  <si>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</si>
  <si>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</si>
  <si>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</si>
  <si>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</si>
  <si>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</si>
  <si>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</si>
  <si>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</si>
  <si>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</si>
  <si>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</si>
  <si>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</si>
  <si>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</si>
  <si>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</si>
  <si>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</si>
  <si>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</si>
  <si>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</si>
  <si>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</si>
  <si>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</si>
  <si>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</si>
  <si>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</si>
  <si>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</si>
  <si>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</si>
  <si>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</si>
  <si>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</si>
  <si>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</si>
  <si>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</si>
  <si>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</si>
  <si>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</si>
  <si>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</si>
  <si>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</si>
  <si>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</si>
  <si>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</si>
  <si>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</si>
  <si>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</si>
  <si>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</si>
  <si>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</si>
  <si>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</si>
  <si>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</si>
  <si>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</si>
  <si>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</si>
  <si>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</si>
  <si>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</si>
  <si>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</si>
  <si>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</si>
  <si>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</si>
  <si>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</si>
  <si>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</si>
  <si>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</si>
  <si>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</si>
  <si>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</si>
  <si>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</si>
  <si>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</si>
  <si>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</si>
  <si>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</si>
  <si>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</si>
  <si>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</si>
  <si>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</si>
  <si>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</si>
  <si>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</si>
  <si>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</si>
  <si>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</si>
  <si>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</si>
  <si>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</si>
  <si>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</si>
  <si>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</si>
  <si>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</si>
  <si>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</si>
  <si>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</si>
  <si>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</si>
  <si>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</si>
  <si>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</si>
  <si>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</si>
  <si>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</si>
  <si>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</si>
  <si>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</si>
  <si>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</si>
  <si>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</si>
  <si>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</si>
  <si>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</si>
  <si>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</si>
  <si>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</si>
  <si>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</si>
  <si>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</si>
  <si>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</si>
  <si>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</si>
  <si>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</si>
  <si>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</si>
  <si>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</si>
  <si>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</si>
  <si>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</si>
  <si>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</si>
  <si>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</si>
  <si>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</si>
  <si>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</si>
  <si>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</si>
  <si>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</si>
  <si>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</si>
  <si>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</si>
  <si>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</si>
  <si>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</si>
  <si>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</si>
  <si>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</si>
  <si>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</si>
  <si>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</si>
  <si>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</si>
  <si>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</si>
  <si>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</si>
  <si>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</si>
  <si>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</si>
  <si>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</si>
  <si>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</si>
  <si>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</si>
  <si>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</si>
  <si>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</si>
  <si>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</si>
  <si>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</si>
  <si>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</si>
  <si>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</si>
  <si>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</si>
  <si>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</si>
  <si>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</si>
  <si>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</si>
  <si>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</si>
  <si>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</si>
  <si>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</si>
  <si>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</si>
  <si>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</si>
  <si>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</si>
  <si>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</si>
  <si>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</si>
  <si>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</si>
  <si>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</si>
  <si>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</si>
  <si>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</si>
  <si>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</si>
  <si>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</si>
  <si>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</si>
  <si>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</si>
  <si>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</si>
  <si>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</si>
  <si>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</si>
  <si>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</si>
  <si>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</si>
  <si>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</si>
  <si>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</si>
  <si>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</si>
  <si>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</si>
  <si>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</si>
  <si>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</si>
  <si>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</si>
  <si>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</si>
  <si>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</si>
  <si>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</si>
  <si>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</si>
  <si>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</si>
  <si>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</si>
  <si>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</si>
  <si>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</si>
  <si>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</si>
  <si>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</si>
  <si>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</si>
  <si>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</si>
  <si>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</si>
  <si>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</si>
  <si>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</si>
  <si>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</si>
  <si>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</si>
  <si>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</si>
  <si>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</si>
  <si>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</si>
  <si>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</si>
  <si>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</si>
  <si>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</si>
  <si>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</si>
  <si>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</si>
  <si>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</si>
  <si>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</si>
  <si>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</si>
  <si>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</si>
  <si>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</si>
  <si>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</si>
  <si>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</si>
  <si>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</si>
  <si>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</si>
  <si>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</si>
  <si>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</si>
  <si>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</si>
  <si>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</si>
  <si>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</si>
  <si>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</si>
  <si>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</si>
  <si>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</si>
  <si>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</si>
  <si>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</si>
  <si>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</si>
  <si>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</si>
  <si>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</si>
  <si>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</si>
  <si>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</si>
  <si>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</si>
  <si>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</si>
  <si>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</si>
  <si>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</si>
  <si>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</si>
  <si>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</si>
  <si>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</si>
  <si>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</si>
  <si>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</si>
  <si>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</si>
  <si>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</si>
  <si>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</si>
  <si>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</si>
  <si>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</si>
  <si>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</si>
  <si>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</si>
  <si>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</si>
  <si>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</si>
  <si>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</si>
  <si>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</si>
  <si>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</si>
  <si>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</si>
  <si>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</si>
  <si>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</si>
  <si>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</si>
  <si>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</si>
  <si>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</si>
  <si>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</si>
  <si>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</si>
  <si>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</si>
  <si>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</si>
  <si>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</si>
  <si>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</si>
  <si>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</si>
  <si>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</si>
  <si>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</si>
  <si>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</si>
  <si>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</si>
  <si>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</si>
  <si>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</si>
  <si>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</si>
  <si>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</si>
  <si>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</si>
  <si>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</si>
  <si>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</si>
  <si>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</si>
  <si>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</si>
  <si>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</si>
  <si>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</si>
  <si>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</si>
  <si>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</si>
  <si>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</si>
  <si>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</si>
  <si>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</si>
  <si>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</si>
  <si>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</si>
  <si>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</si>
  <si>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</si>
  <si>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</si>
  <si>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</si>
  <si>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</si>
  <si>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</si>
  <si>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</si>
  <si>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</si>
  <si>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</si>
  <si>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</si>
  <si>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</si>
  <si>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</si>
  <si>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</si>
  <si>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</si>
  <si>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</si>
  <si>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</si>
  <si>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</si>
  <si>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</si>
  <si>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</si>
  <si>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</si>
  <si>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</si>
  <si>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</si>
  <si>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</si>
  <si>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</si>
  <si>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</si>
  <si>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</si>
  <si>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</si>
  <si>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</si>
  <si>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</si>
  <si>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</si>
  <si>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</si>
  <si>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</si>
  <si>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</si>
  <si>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</si>
  <si>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</si>
  <si>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</si>
  <si>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</si>
  <si>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</si>
  <si>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</si>
  <si>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</si>
  <si>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</si>
  <si>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</si>
  <si>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</si>
  <si>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</si>
  <si>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</si>
  <si>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</si>
  <si>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</si>
  <si>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</si>
  <si>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</si>
  <si>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</si>
  <si>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</si>
  <si>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</si>
  <si>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</si>
  <si>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</si>
  <si>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</si>
  <si>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</si>
  <si>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</si>
  <si>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</si>
  <si>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</si>
  <si>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</si>
  <si>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</si>
  <si>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</si>
  <si>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</si>
  <si>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</si>
  <si>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</si>
  <si>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</si>
  <si>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</si>
  <si>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</si>
  <si>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</si>
  <si>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</si>
  <si>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</si>
  <si>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</si>
  <si>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</si>
  <si>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</si>
  <si>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</si>
  <si>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</si>
  <si>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</si>
  <si>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</si>
  <si>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</si>
  <si>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</si>
  <si>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</si>
  <si>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</si>
  <si>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</si>
  <si>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</si>
  <si>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</si>
  <si>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</si>
  <si>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</si>
  <si>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</si>
  <si>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</si>
  <si>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</si>
  <si>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</si>
  <si>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</si>
  <si>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</si>
  <si>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</si>
  <si>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</si>
  <si>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</si>
  <si>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</si>
  <si>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</si>
  <si>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</si>
  <si>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</si>
  <si>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</si>
  <si>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</si>
  <si>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</si>
  <si>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</si>
  <si>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</si>
  <si>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</si>
  <si>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</si>
  <si>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</si>
  <si>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</si>
  <si>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</si>
  <si>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</si>
  <si>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</si>
  <si>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</si>
  <si>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</si>
  <si>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</si>
  <si>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</si>
  <si>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</si>
  <si>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</si>
  <si>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</si>
  <si>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</si>
  <si>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</si>
  <si>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</si>
  <si>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</si>
  <si>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</si>
  <si>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</si>
  <si>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</si>
  <si>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</si>
  <si>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</si>
  <si>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</si>
  <si>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</si>
  <si>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</si>
  <si>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</si>
  <si>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</si>
  <si>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</si>
  <si>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</si>
  <si>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</si>
  <si>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</si>
  <si>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</si>
  <si>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</si>
  <si>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</si>
  <si>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</si>
  <si>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</si>
  <si>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</si>
  <si>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</si>
  <si>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</si>
  <si>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</si>
  <si>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</si>
  <si>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</si>
  <si>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</si>
  <si>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</si>
  <si>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</si>
  <si>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</si>
  <si>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</si>
  <si>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</si>
  <si>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</si>
  <si>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</si>
  <si>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</si>
  <si>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</si>
  <si>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</si>
  <si>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</si>
  <si>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</si>
  <si>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</si>
  <si>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</si>
  <si>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</si>
  <si>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</si>
  <si>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</si>
  <si>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</si>
  <si>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</si>
  <si>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</si>
  <si>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</si>
  <si>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</si>
  <si>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</si>
  <si>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</si>
  <si>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</si>
  <si>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</si>
  <si>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</si>
  <si>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</si>
  <si>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</si>
  <si>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</si>
  <si>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</si>
  <si>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</si>
  <si>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</si>
  <si>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</si>
  <si>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</si>
  <si>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</si>
  <si>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</si>
  <si>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</si>
  <si>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</si>
  <si>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</si>
  <si>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</si>
  <si>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</si>
  <si>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</si>
  <si>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</si>
  <si>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</si>
  <si>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</si>
  <si>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</si>
  <si>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</si>
  <si>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</si>
  <si>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</si>
  <si>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</si>
  <si>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</si>
  <si>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</si>
  <si>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</si>
  <si>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</si>
  <si>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</si>
  <si>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</si>
  <si>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</si>
  <si>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</si>
  <si>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</si>
  <si>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</si>
  <si>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</si>
  <si>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</si>
  <si>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</si>
  <si>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</si>
  <si>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</si>
  <si>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</si>
  <si>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</si>
  <si>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</si>
  <si>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</si>
  <si>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</si>
  <si>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</si>
  <si>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</si>
  <si>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</si>
  <si>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</si>
  <si>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</si>
  <si>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</si>
  <si>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</si>
  <si>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</si>
  <si>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</si>
  <si>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</si>
  <si>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</si>
  <si>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</si>
  <si>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</si>
  <si>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</si>
  <si>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</si>
  <si>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</si>
  <si>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</si>
  <si>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</si>
  <si>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</si>
  <si>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</si>
  <si>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</si>
  <si>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</si>
  <si>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</si>
  <si>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</si>
  <si>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</si>
  <si>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</si>
  <si>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</si>
  <si>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</si>
  <si>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</si>
  <si>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</si>
  <si>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</si>
  <si>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</si>
  <si>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</si>
  <si>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</si>
  <si>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</si>
  <si>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</si>
  <si>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</si>
  <si>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</si>
  <si>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</si>
  <si>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</si>
  <si>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</si>
  <si>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</si>
  <si>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</si>
  <si>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</si>
  <si>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</si>
  <si>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</si>
  <si>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</si>
  <si>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</si>
  <si>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</si>
  <si>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</si>
  <si>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</si>
  <si>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</si>
  <si>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</si>
  <si>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</si>
  <si>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</si>
  <si>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</si>
  <si>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</si>
  <si>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</si>
  <si>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</si>
  <si>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</si>
  <si>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</si>
  <si>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</si>
  <si>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</si>
  <si>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</si>
  <si>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</si>
  <si>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</si>
  <si>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</si>
  <si>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</si>
  <si>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</si>
  <si>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</si>
  <si>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</si>
  <si>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</si>
  <si>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</si>
  <si>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</si>
  <si>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</si>
  <si>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</si>
  <si>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</si>
  <si>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</si>
  <si>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</si>
  <si>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</si>
  <si>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</si>
  <si>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</si>
  <si>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</si>
  <si>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</si>
  <si>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</si>
  <si>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</si>
  <si>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</si>
  <si>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</si>
  <si>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</si>
  <si>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</si>
  <si>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</si>
  <si>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</si>
  <si>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</si>
  <si>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</si>
  <si>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</si>
  <si>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</si>
  <si>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</si>
  <si>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</si>
  <si>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</si>
  <si>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</si>
  <si>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</si>
  <si>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</si>
  <si>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</si>
  <si>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</si>
  <si>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</si>
  <si>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</si>
  <si>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</si>
  <si>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</si>
  <si>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</si>
  <si>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</si>
  <si>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</si>
  <si>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</si>
  <si>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</si>
  <si>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</si>
  <si>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</si>
  <si>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</si>
  <si>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</si>
  <si>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</si>
  <si>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</si>
  <si>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</si>
  <si>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</si>
  <si>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</si>
  <si>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</si>
  <si>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</si>
  <si>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</si>
  <si>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</si>
  <si>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</si>
  <si>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</si>
  <si>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</si>
  <si>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</si>
  <si>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</si>
  <si>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</si>
  <si>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</si>
  <si>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</si>
  <si>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</si>
  <si>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</si>
  <si>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</si>
  <si>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</si>
  <si>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</si>
  <si>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</si>
  <si>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</si>
  <si>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</si>
  <si>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</si>
  <si>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</si>
  <si>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</si>
  <si>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</si>
  <si>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</si>
  <si>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</si>
  <si>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</si>
  <si>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</si>
  <si>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</si>
  <si>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</si>
  <si>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</si>
  <si>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</si>
  <si>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</si>
  <si>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</si>
  <si>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</si>
  <si>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</si>
  <si>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</si>
  <si>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</si>
  <si>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</si>
  <si>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</si>
  <si>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</si>
  <si>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</si>
  <si>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</si>
  <si>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</si>
  <si>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</si>
  <si>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</si>
  <si>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</si>
  <si>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</si>
  <si>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</si>
  <si>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</si>
  <si>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</si>
  <si>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</si>
  <si>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</si>
  <si>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</si>
  <si>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</si>
  <si>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</si>
  <si>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</si>
  <si>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</si>
  <si>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</si>
  <si>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</si>
  <si>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</si>
  <si>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</si>
  <si>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</si>
  <si>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</si>
  <si>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</si>
  <si>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</si>
  <si>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</si>
  <si>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</si>
  <si>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</si>
  <si>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</si>
  <si>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</si>
  <si>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</si>
  <si>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</si>
  <si>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</si>
  <si>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</si>
  <si>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</si>
  <si>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</si>
  <si>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</si>
  <si>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</si>
  <si>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</si>
  <si>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</si>
  <si>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</si>
  <si>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</si>
  <si>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</si>
  <si>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</si>
  <si>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</si>
  <si>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</si>
  <si>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</si>
  <si>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</si>
  <si>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</si>
  <si>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</si>
  <si>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</si>
  <si>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</si>
  <si>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</si>
  <si>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</si>
  <si>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</si>
  <si>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</si>
  <si>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</si>
  <si>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</si>
  <si>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</si>
  <si>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</si>
  <si>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</si>
  <si>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</si>
  <si>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</si>
  <si>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</si>
  <si>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</si>
  <si>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</si>
  <si>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</si>
  <si>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</si>
  <si>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</si>
  <si>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</si>
  <si>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</si>
  <si>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</si>
  <si>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</si>
  <si>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</si>
  <si>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</si>
  <si>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</si>
  <si>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</si>
  <si>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</si>
  <si>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</si>
  <si>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</si>
  <si>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</si>
  <si>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</si>
  <si>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</si>
  <si>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</si>
  <si>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</si>
  <si>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</si>
  <si>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</si>
  <si>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</si>
  <si>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</si>
  <si>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</si>
  <si>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</si>
  <si>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</si>
  <si>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</si>
  <si>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</si>
  <si>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</si>
  <si>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</si>
  <si>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</si>
  <si>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</si>
  <si>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</si>
  <si>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</si>
  <si>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</si>
  <si>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</si>
  <si>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</si>
  <si>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</si>
  <si>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</si>
  <si>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</si>
  <si>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</si>
  <si>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</si>
  <si>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</si>
  <si>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</si>
  <si>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</si>
  <si>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</si>
  <si>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</si>
  <si>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</si>
  <si>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</si>
  <si>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</si>
  <si>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</si>
  <si>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</si>
  <si>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</si>
  <si>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</si>
  <si>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</si>
  <si>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</si>
  <si>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</si>
  <si>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</si>
  <si>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</si>
  <si>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</si>
  <si>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</si>
  <si>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</si>
  <si>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</si>
  <si>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</si>
  <si>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</si>
  <si>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</si>
  <si>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</si>
  <si>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</si>
  <si>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</si>
  <si>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</si>
  <si>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</si>
  <si>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</si>
  <si>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</si>
  <si>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</si>
  <si>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</si>
  <si>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</si>
  <si>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</si>
  <si>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</si>
  <si>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</si>
  <si>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</si>
  <si>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</si>
  <si>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</si>
  <si>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</si>
  <si>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</si>
  <si>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</si>
  <si>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</si>
  <si>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</si>
  <si>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</si>
  <si>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</si>
  <si>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</si>
  <si>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</si>
  <si>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</si>
  <si>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</si>
  <si>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</si>
  <si>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</si>
  <si>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</si>
  <si>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</si>
  <si>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</si>
  <si>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</si>
  <si>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</si>
  <si>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</si>
  <si>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</si>
  <si>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</si>
  <si>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</si>
  <si>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</si>
  <si>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</si>
  <si>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</si>
  <si>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</si>
  <si>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</si>
  <si>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</si>
  <si>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</si>
  <si>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</si>
  <si>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</si>
  <si>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</si>
  <si>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</si>
  <si>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</si>
  <si>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</si>
  <si>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</si>
  <si>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</si>
  <si>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</si>
  <si>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</si>
  <si>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</si>
  <si>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</si>
  <si>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</si>
  <si>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</si>
  <si>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</si>
  <si>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</si>
  <si>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</si>
  <si>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</si>
  <si>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</si>
  <si>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</si>
  <si>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</si>
  <si>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</si>
  <si>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</si>
  <si>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</si>
  <si>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</si>
  <si>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</si>
  <si>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</si>
  <si>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</si>
  <si>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</si>
  <si>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</si>
  <si>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</si>
  <si>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</si>
  <si>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</si>
  <si>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</si>
  <si>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</si>
  <si>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</si>
  <si>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</si>
  <si>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</si>
  <si>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</si>
  <si>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</si>
  <si>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</si>
  <si>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</si>
  <si>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</si>
  <si>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</si>
  <si>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</si>
  <si>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</si>
  <si>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</si>
  <si>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</si>
  <si>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</si>
  <si>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</si>
  <si>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</si>
  <si>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</si>
  <si>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</si>
  <si>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</si>
  <si>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</si>
  <si>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</si>
  <si>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</si>
  <si>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</si>
  <si>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</si>
  <si>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</si>
  <si>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</si>
  <si>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</si>
  <si>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</si>
  <si>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</si>
  <si>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</si>
  <si>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</si>
  <si>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</si>
  <si>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</si>
  <si>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</si>
  <si>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</si>
  <si>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</si>
  <si>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</si>
  <si>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</si>
  <si>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</si>
  <si>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</si>
  <si>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</si>
  <si>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</si>
  <si>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</si>
  <si>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</si>
  <si>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</si>
  <si>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</si>
  <si>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</si>
  <si>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</si>
  <si>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</si>
  <si>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</si>
  <si>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</si>
  <si>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</si>
  <si>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</si>
  <si>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</si>
  <si>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</si>
  <si>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</si>
  <si>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</si>
  <si>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</si>
  <si>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</si>
  <si>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</si>
  <si>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</si>
  <si>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</si>
  <si>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</si>
  <si>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</si>
  <si>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</si>
  <si>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</si>
  <si>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</si>
  <si>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</si>
  <si>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</si>
  <si>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</si>
  <si>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</si>
  <si>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</si>
  <si>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</si>
  <si>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</si>
  <si>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</si>
  <si>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</si>
  <si>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</si>
  <si>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</si>
  <si>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</si>
  <si>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</si>
  <si>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</si>
  <si>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</si>
  <si>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</si>
  <si>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</si>
  <si>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</si>
  <si>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</si>
  <si>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</si>
  <si>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</si>
  <si>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</si>
  <si>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</si>
  <si>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</si>
  <si>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</si>
  <si>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</si>
  <si>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</si>
  <si>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</si>
  <si>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</si>
  <si>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</si>
  <si>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</si>
  <si>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</si>
  <si>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</si>
  <si>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</si>
  <si>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</si>
  <si>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</si>
  <si>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</si>
  <si>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</si>
  <si>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</si>
  <si>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</si>
  <si>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</si>
  <si>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</si>
  <si>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</si>
  <si>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</si>
  <si>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</si>
  <si>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</si>
  <si>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</si>
  <si>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</si>
  <si>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</si>
  <si>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</si>
  <si>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</si>
  <si>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</si>
  <si>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</si>
  <si>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</si>
  <si>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</si>
  <si>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</si>
  <si>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</si>
  <si>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</si>
  <si>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</si>
  <si>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</si>
  <si>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</si>
  <si>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</si>
  <si>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</si>
  <si>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</si>
  <si>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</si>
  <si>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</si>
  <si>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</si>
  <si>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</si>
  <si>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</si>
  <si>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</si>
  <si>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</si>
  <si>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</si>
  <si>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</si>
  <si>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</si>
  <si>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</si>
  <si>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</si>
  <si>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</si>
  <si>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</si>
  <si>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</si>
  <si>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</si>
  <si>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</si>
  <si>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</si>
  <si>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</si>
  <si>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</si>
  <si>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</si>
  <si>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</si>
  <si>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</si>
  <si>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</si>
  <si>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</si>
  <si>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</si>
  <si>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</si>
  <si>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</si>
  <si>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</si>
  <si>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</si>
  <si>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</si>
  <si>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</si>
  <si>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</si>
  <si>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</si>
  <si>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</si>
  <si>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</si>
  <si>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</si>
  <si>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</si>
  <si>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</si>
  <si>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</si>
  <si>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</si>
  <si>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</si>
  <si>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</si>
  <si>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</si>
  <si>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</si>
  <si>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</si>
  <si>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</si>
  <si>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</si>
  <si>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</si>
  <si>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</si>
  <si>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</si>
  <si>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</si>
  <si>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</si>
  <si>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</si>
  <si>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</si>
  <si>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</si>
  <si>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</si>
  <si>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</si>
  <si>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</si>
  <si>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</si>
  <si>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</si>
  <si>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</si>
  <si>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</si>
  <si>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</si>
  <si>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</si>
  <si>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</si>
  <si>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</si>
  <si>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</si>
  <si>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</si>
  <si>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</si>
  <si>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</si>
  <si>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</si>
  <si>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</si>
  <si>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</si>
  <si>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</si>
  <si>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</si>
  <si>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</si>
  <si>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</si>
  <si>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</si>
  <si>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</si>
  <si>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</si>
  <si>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</si>
  <si>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</si>
  <si>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</si>
  <si>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</si>
  <si>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</si>
  <si>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</si>
  <si>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</si>
  <si>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</si>
  <si>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</si>
  <si>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</si>
  <si>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</si>
  <si>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</si>
  <si>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</si>
  <si>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</si>
  <si>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</si>
  <si>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</si>
  <si>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</si>
  <si>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</si>
  <si>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</si>
  <si>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</si>
  <si>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</si>
  <si>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</si>
  <si>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</si>
  <si>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</si>
  <si>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</si>
  <si>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</si>
  <si>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</si>
  <si>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</si>
  <si>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</si>
  <si>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</si>
  <si>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</si>
  <si>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</si>
  <si>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</si>
  <si>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</si>
  <si>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</si>
  <si>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</si>
  <si>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</si>
  <si>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</si>
  <si>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</si>
  <si>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</si>
  <si>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</si>
  <si>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</si>
  <si>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</si>
  <si>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</si>
  <si>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</si>
  <si>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</si>
  <si>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</si>
  <si>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</si>
  <si>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</si>
  <si>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</si>
  <si>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</si>
  <si>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</si>
  <si>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</si>
  <si>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</si>
  <si>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</si>
  <si>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</si>
  <si>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</si>
  <si>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</si>
  <si>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</si>
  <si>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</si>
  <si>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</si>
  <si>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</si>
  <si>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</si>
  <si>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</si>
  <si>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</si>
  <si>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</si>
  <si>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</si>
  <si>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</si>
  <si>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</si>
  <si>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</si>
  <si>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</si>
  <si>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</si>
  <si>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</si>
  <si>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</si>
  <si>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</si>
  <si>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</si>
  <si>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</si>
  <si>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</si>
  <si>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</si>
  <si>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</si>
  <si>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</si>
  <si>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</si>
  <si>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</si>
  <si>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</si>
  <si>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</si>
  <si>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</si>
  <si>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</si>
  <si>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</si>
  <si>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</si>
  <si>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</si>
  <si>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</si>
  <si>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</si>
  <si>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</si>
  <si>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</si>
  <si>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</si>
  <si>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</si>
  <si>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</si>
  <si>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</si>
  <si>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</si>
  <si>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</si>
  <si>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</si>
  <si>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</si>
  <si>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</si>
  <si>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</si>
  <si>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</si>
  <si>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</si>
  <si>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</si>
  <si>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</si>
  <si>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</si>
  <si>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</si>
  <si>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</si>
  <si>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</si>
  <si>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</si>
  <si>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</si>
  <si>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</si>
  <si>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</si>
  <si>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</si>
  <si>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</si>
  <si>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</si>
  <si>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</si>
  <si>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</si>
  <si>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</si>
  <si>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</si>
  <si>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</si>
  <si>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</si>
  <si>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</si>
  <si>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</si>
  <si>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</si>
  <si>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</si>
  <si>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</si>
  <si>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</si>
  <si>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</si>
  <si>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</si>
  <si>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</si>
  <si>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</si>
  <si>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</si>
  <si>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</si>
  <si>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</si>
  <si>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</si>
  <si>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</si>
  <si>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</si>
  <si>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</si>
  <si>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</si>
  <si>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</si>
  <si>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</si>
  <si>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</si>
  <si>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</si>
  <si>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</si>
  <si>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</si>
  <si>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</si>
  <si>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</si>
  <si>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</si>
  <si>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</si>
  <si>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</si>
  <si>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</si>
  <si>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</si>
  <si>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</si>
  <si>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</si>
  <si>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</si>
  <si>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</si>
  <si>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</si>
  <si>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</si>
  <si>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</si>
  <si>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</si>
  <si>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</si>
  <si>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</si>
  <si>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</si>
  <si>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</si>
  <si>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</si>
  <si>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</si>
  <si>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</si>
  <si>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</si>
  <si>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</si>
  <si>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</si>
  <si>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</si>
  <si>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</si>
  <si>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</si>
  <si>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</si>
  <si>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</si>
  <si>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</si>
  <si>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</si>
  <si>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</si>
  <si>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</si>
  <si>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</si>
  <si>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</si>
  <si>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</si>
  <si>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</si>
  <si>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</si>
  <si>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</si>
  <si>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</si>
  <si>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</si>
  <si>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</si>
  <si>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</si>
  <si>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</si>
  <si>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</si>
  <si>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</si>
  <si>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</si>
  <si>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德感工业园</t>
  </si>
  <si>
    <t>重庆市</t>
  </si>
  <si>
    <t>≥0.7</t>
  </si>
  <si>
    <t>拍卖</t>
  </si>
  <si>
    <t>二类工业用地(M2)</t>
  </si>
  <si>
    <t>2022-12-29</t>
  </si>
  <si>
    <t>重庆双兵汽车配件有限公司</t>
  </si>
  <si>
    <t>0星</t>
  </si>
  <si>
    <t>德感工业园F9-01号-02地块</t>
  </si>
  <si>
    <t>二类工业用地</t>
  </si>
  <si>
    <t>2022-11-22</t>
  </si>
  <si>
    <t>重庆市季丰环保设备有限公司</t>
  </si>
  <si>
    <t>2022-11-14</t>
  </si>
  <si>
    <t>重庆宏欣科技有限公司</t>
  </si>
  <si>
    <t>德感工业园F9-01号-03地块</t>
  </si>
  <si>
    <t>重庆卓引动力科技有限责任公司</t>
  </si>
  <si>
    <t>工业用地(M2)</t>
  </si>
  <si>
    <t>2022-10-17</t>
  </si>
  <si>
    <t>重庆施宜工贸有限公司</t>
  </si>
  <si>
    <t>≥0.8</t>
  </si>
  <si>
    <t>重庆荣洁医疗用品有限公司</t>
  </si>
  <si>
    <t>德感工业园E4-03号-03、E4-04号-03地块</t>
  </si>
  <si>
    <t>容积率≥0.7</t>
  </si>
  <si>
    <t>2022-07-11</t>
  </si>
  <si>
    <t>重庆纳川重工设备制造有限公司</t>
  </si>
  <si>
    <t>德感工业园F5-01-1/02号-01地块</t>
  </si>
  <si>
    <t>2022-06-16</t>
  </si>
  <si>
    <t>中诚信建筑劳务集团有限公司</t>
  </si>
  <si>
    <t>德感工业园F5-01-1/02号-03地块</t>
  </si>
  <si>
    <t>容积率≥1.0</t>
  </si>
  <si>
    <t>2022-06-06</t>
  </si>
  <si>
    <t>重庆爱康实业有限公司</t>
  </si>
  <si>
    <t>德感工业园E12-07号-03地块</t>
  </si>
  <si>
    <t>2022-04-28</t>
  </si>
  <si>
    <t>重庆市新彦瑾食品有限公司</t>
  </si>
  <si>
    <t>德感工业园F9-01号-01地块</t>
  </si>
  <si>
    <t>2022-01-17</t>
  </si>
  <si>
    <t>重庆创奥新业科技有限公司</t>
  </si>
  <si>
    <t>德感工业园E18-02-2/01号-03地块</t>
  </si>
  <si>
    <t>≥1.0</t>
  </si>
  <si>
    <t>挂牌</t>
  </si>
  <si>
    <t>2021-12-30</t>
  </si>
  <si>
    <t>重庆市旺发茶叶有限公司</t>
  </si>
  <si>
    <t>德感工业园E5-01号-01地块</t>
  </si>
  <si>
    <t>重庆鸿轩电气有限公司</t>
  </si>
  <si>
    <t>德感工业园C11-01-2号-01地块</t>
  </si>
  <si>
    <t>≤1.5</t>
  </si>
  <si>
    <t>物流仓储用地(W1)</t>
  </si>
  <si>
    <t>重庆融誉实业发展有限公司</t>
  </si>
  <si>
    <t>德感工业园C12-06号-02地块</t>
  </si>
  <si>
    <t>重庆近贤房地产开发有限公司</t>
  </si>
  <si>
    <t>德感工业园E10-01-1号-01地块</t>
  </si>
  <si>
    <t>2021-12-22</t>
  </si>
  <si>
    <t>重庆德伸实业有限公司</t>
  </si>
  <si>
    <t>德感工业园F13-01号-01号地块</t>
  </si>
  <si>
    <t>2021-12-09</t>
  </si>
  <si>
    <t>北冰洋(重庆)食品饮料有限公司</t>
  </si>
  <si>
    <t>德感工业园C12-06号-01地块</t>
  </si>
  <si>
    <t>2021-12-06</t>
  </si>
  <si>
    <t>重庆市北嵘实业有限公司</t>
  </si>
  <si>
    <t>德感工业园E11-01-1号-01地块</t>
  </si>
  <si>
    <t>重庆恒世门窗有限公司</t>
  </si>
  <si>
    <t>德感工业园C4-10号地块</t>
  </si>
  <si>
    <t>重庆利玖机械设备制造有限公司</t>
  </si>
  <si>
    <t>德感工业园F10-01号-01地块</t>
  </si>
  <si>
    <t>2021-11-29</t>
  </si>
  <si>
    <t>重庆斯瓦特精工科技有限公司</t>
  </si>
  <si>
    <t>德感工业园F5-01-1/02号-02地块</t>
  </si>
  <si>
    <t>2021-11-17</t>
  </si>
  <si>
    <t>德感工业园E16-06-1/01号地块</t>
  </si>
  <si>
    <t>德感工业园A7-02号-01地块</t>
  </si>
  <si>
    <t>2021-10-29</t>
  </si>
  <si>
    <t>重庆新源源环保产业有限公司</t>
  </si>
  <si>
    <t>德感工业园E18-02-2/01号-01地块</t>
  </si>
  <si>
    <t>重庆江电讯通产业控股集团有限公司</t>
  </si>
  <si>
    <t>德感工业园D22-01号-01地块</t>
  </si>
  <si>
    <t>华电重庆市江津区能源有限公司</t>
  </si>
  <si>
    <t>德感工业园E18-04号-01地块</t>
  </si>
  <si>
    <t>益嘉丰厨(重庆)食品有限公司</t>
  </si>
  <si>
    <t>德感工业园B7-01号-01、B7-03号-03、B12-01号-03地块</t>
  </si>
  <si>
    <t>≥0.7并且≤2.0</t>
  </si>
  <si>
    <t>2021-10-14</t>
  </si>
  <si>
    <t>重庆德感科技创业投资有限公司</t>
  </si>
  <si>
    <t>德感工业园E12-05号地块</t>
  </si>
  <si>
    <t>2021-10-08</t>
  </si>
  <si>
    <t>重庆长汇实业有限公司</t>
  </si>
  <si>
    <t>德感工业园F5-01-1/01号-01地块</t>
  </si>
  <si>
    <t>2021-05-19</t>
  </si>
  <si>
    <t>德感工业园E4-03号-02地块</t>
  </si>
  <si>
    <t>重庆森宇滤油机制造有限公司</t>
  </si>
  <si>
    <t>德感工业园E18-02-1/01号-03</t>
  </si>
  <si>
    <t>大于或等于1</t>
  </si>
  <si>
    <t>2021-01-13</t>
  </si>
  <si>
    <t>重庆火之际进出口贸易有限公司</t>
  </si>
  <si>
    <t>德感工业园E18-02-1/01号-02</t>
  </si>
  <si>
    <t>重庆辰业食品产业有限公司</t>
  </si>
  <si>
    <t>德感工业园E16-02/01号</t>
  </si>
  <si>
    <t>大于或等于0.7</t>
  </si>
  <si>
    <t>重庆沃菲特泵业有限公司</t>
  </si>
  <si>
    <t>德感工业园A4-07号-01地块</t>
  </si>
  <si>
    <t>2020-12-31</t>
  </si>
  <si>
    <t>重庆龙台里漕科技有限公司</t>
  </si>
  <si>
    <t>德感工业园C4-05-1/01号</t>
  </si>
  <si>
    <t>大于或等于0.7并且小于或等于1.5</t>
  </si>
  <si>
    <t>2020-12-10</t>
  </si>
  <si>
    <t>太极集团重庆中药二厂有限公司</t>
  </si>
  <si>
    <t>德感工业园A5-07-1/01号-01</t>
  </si>
  <si>
    <t>重庆坤煌中锐实业有限公司</t>
  </si>
  <si>
    <t>德感工业园A5-04-1/01号-01</t>
  </si>
  <si>
    <t>德感工业园E18-02-2/01号-01</t>
  </si>
  <si>
    <t>2020-11-30</t>
  </si>
  <si>
    <t>重庆晋川精密五金有限公司</t>
  </si>
  <si>
    <t>德感工业园B7-03号-01、B12-01号-01</t>
  </si>
  <si>
    <t>大于或等于0.7并且小于或等于2</t>
  </si>
  <si>
    <t>2020-11-05</t>
  </si>
  <si>
    <t>德感工业园E12-04号-03</t>
  </si>
  <si>
    <t>2020-10-14</t>
  </si>
  <si>
    <t>重庆东方雨虹建筑材料有限公司</t>
  </si>
  <si>
    <t>德感工业园E12-07号-02</t>
  </si>
  <si>
    <t>大于或等于1并且小于或等于1.5</t>
  </si>
  <si>
    <t>2020-10-09</t>
  </si>
  <si>
    <t>重庆渝梦粮油有限公司</t>
  </si>
  <si>
    <t>德感工业园E12-03号-05、E12-04号-04</t>
  </si>
  <si>
    <t>重庆亿美机械成套设备有限公司</t>
  </si>
  <si>
    <t>德感工业园E12-03号-04</t>
  </si>
  <si>
    <t>重庆忠涛钢结构制造有限公司</t>
  </si>
  <si>
    <t>德感工业园E12-03号-03地块</t>
  </si>
  <si>
    <t>≥0.7并且≤1.5</t>
  </si>
  <si>
    <t>2020-09-10</t>
  </si>
  <si>
    <t>重庆德利克金属制品有限公司</t>
  </si>
  <si>
    <t>德感工业园E15-04号-01地块</t>
  </si>
  <si>
    <t>≥1并且≤1.5</t>
  </si>
  <si>
    <t>重庆福达坊食用油调料有限公司</t>
  </si>
  <si>
    <t>德感工业园A4-05号-01地块</t>
  </si>
  <si>
    <t>＞0.7并且≤2</t>
  </si>
  <si>
    <t>2020-08-06</t>
  </si>
  <si>
    <t>2020-07-07</t>
  </si>
  <si>
    <t>重庆金科德元实业有限公司</t>
  </si>
  <si>
    <t>2020-07-02</t>
  </si>
  <si>
    <t>黄国粮业(重庆)有限公司</t>
  </si>
  <si>
    <t>重庆西进食品有限公司</t>
  </si>
  <si>
    <t>2020-06-03</t>
  </si>
  <si>
    <t>益海嘉里(重庆)粮油有限公司</t>
  </si>
  <si>
    <t>德感工业园E17-01号-04号地块</t>
  </si>
  <si>
    <t>2020-06-01</t>
  </si>
  <si>
    <t>重庆三一国杰工程机械有限公司</t>
  </si>
  <si>
    <t>德感工业园E12-03号-01号地块</t>
  </si>
  <si>
    <t>重庆鑫昊实业有限公司</t>
  </si>
  <si>
    <t>德感工业园B7-01/02、B7-03/02、B12-01/02号地块</t>
  </si>
  <si>
    <t>小于或等于2</t>
  </si>
  <si>
    <t>2020-05-26</t>
  </si>
  <si>
    <t>抵押价格</t>
  </si>
  <si>
    <t>其他：</t>
  </si>
  <si>
    <t>企业</t>
  </si>
  <si>
    <t>一致</t>
  </si>
  <si>
    <t>符合</t>
  </si>
  <si>
    <t>是</t>
  </si>
  <si>
    <t>地上</t>
  </si>
  <si>
    <t>土地面积</t>
    <phoneticPr fontId="224" type="noConversion"/>
  </si>
  <si>
    <t>总建筑面积</t>
    <phoneticPr fontId="224" type="noConversion"/>
  </si>
  <si>
    <t>地上建筑面积</t>
    <phoneticPr fontId="224" type="noConversion"/>
  </si>
  <si>
    <t>工业</t>
    <phoneticPr fontId="224" type="noConversion"/>
  </si>
  <si>
    <t>设备</t>
    <phoneticPr fontId="224" type="noConversion"/>
  </si>
  <si>
    <t>其中</t>
    <phoneticPr fontId="224" type="noConversion"/>
  </si>
  <si>
    <t>配套设施</t>
    <phoneticPr fontId="224" type="noConversion"/>
  </si>
  <si>
    <t>地下建筑面积</t>
    <phoneticPr fontId="224" type="noConversion"/>
  </si>
  <si>
    <t>其中</t>
    <phoneticPr fontId="224" type="noConversion"/>
  </si>
  <si>
    <t>容积率</t>
    <phoneticPr fontId="224" type="noConversion"/>
  </si>
  <si>
    <t>工业</t>
    <phoneticPr fontId="7" type="noConversion"/>
  </si>
  <si>
    <t>正常</t>
    <phoneticPr fontId="28" type="noConversion"/>
  </si>
  <si>
    <t>正常</t>
    <phoneticPr fontId="28" type="noConversion"/>
  </si>
  <si>
    <t>工业</t>
    <phoneticPr fontId="28" type="noConversion"/>
  </si>
  <si>
    <t>不动产收益法</t>
  </si>
  <si>
    <t>利息：取LPR加浮动点数</t>
  </si>
  <si>
    <t>土地（套用方法）</t>
  </si>
  <si>
    <t>押一</t>
  </si>
  <si>
    <t>钢混</t>
  </si>
  <si>
    <t>已全部缴纳</t>
  </si>
  <si>
    <t>单位面积地价</t>
  </si>
  <si>
    <t>比较法-工业</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</si>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</sst>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xf numFmtId="0" fontId="160" fillId="9" borderId="0" xfId="0" applyFont="1" applyFill="1" applyAlignment="1"/>
    <xf numFmtId="0" fontId="160" fillId="6" borderId="0" xfId="0" applyFont="1" applyFill="1" applyAlignment="1"/>
    <xf numFmtId="0" fontId="160" fillId="0" borderId="0" xfId="0" applyFont="1">
      <alignment vertical="center"/>
    </xf>
    <xf numFmtId="0" fontId="160" fillId="0" borderId="2" xfId="0" applyFont="1" applyBorder="1">
      <alignment vertical="center"/>
    </xf>
    <xf numFmtId="49" fontId="77" fillId="2" borderId="33" xfId="0" applyNumberFormat="1" applyFont="1" applyFill="1" applyBorder="1" applyAlignment="1" applyProtection="1">
      <alignment horizontal="center" vertical="center" wrapText="1"/>
      <protection locked="0"/>
    </xf>
    <xf numFmtId="0" fontId="77" fillId="2" borderId="59"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60" fillId="0" borderId="2" xfId="0" applyFont="1" applyBorder="1" applyAlignment="1">
      <alignment horizontal="center" vertical="center"/>
    </xf>
    <xf numFmtId="0" fontId="160" fillId="0" borderId="5" xfId="0" applyFont="1" applyBorder="1" applyAlignment="1">
      <alignment horizontal="center" vertical="center"/>
    </xf>
    <xf numFmtId="0" fontId="160" fillId="0" borderId="8" xfId="0" applyFont="1" applyBorder="1" applyAlignment="1">
      <alignment horizontal="center" vertical="center"/>
    </xf>
    <xf numFmtId="0" fontId="160" fillId="0" borderId="9"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57</xdr:row>
      <xdr:rowOff>85725</xdr:rowOff>
    </xdr:from>
    <xdr:to>
      <xdr:col>15</xdr:col>
      <xdr:colOff>913129</xdr:colOff>
      <xdr:row>109</xdr:row>
      <xdr:rowOff>132354</xdr:rowOff>
    </xdr:to>
    <xdr:pic>
      <xdr:nvPicPr>
        <xdr:cNvPr id="2" name="图片 1"/>
        <xdr:cNvPicPr>
          <a:picLocks noChangeAspect="1"/>
        </xdr:cNvPicPr>
      </xdr:nvPicPr>
      <xdr:blipFill>
        <a:blip xmlns:r="http://schemas.openxmlformats.org/officeDocument/2006/relationships" r:embed="rId1"/>
        <a:stretch>
          <a:fillRect/>
        </a:stretch>
      </xdr:blipFill>
      <xdr:spPr>
        <a:xfrm>
          <a:off x="2981325" y="4505325"/>
          <a:ext cx="10171429" cy="7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受贵公司委托，我公司对出让国有建设用地使用权抵押价格进行了预评估。</v>
      </c>
      <c r="AM6" s="2382"/>
    </row>
    <row r="7" spans="1:55" s="2356" customFormat="1">
      <c r="A7" s="2357" t="s">
        <v>1939</v>
      </c>
      <c r="B7" s="2358" t="str">
        <f>'预评函-1'!A6</f>
        <v>估价对象为使用的、位于出让国有建设用地使用权。根据《国有土地使用证》[]，估价对象（分摊）出让国有建设用地使用权面积为97287.33平方米。根据《建设工程规划许可证》[]、《出让合同》[]，估价对象规划建筑面积为61600.22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2023年2月8日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根据《国有土地使用证》[]，估价对象（分摊）出让国有建设用地使用权面积为97287.33平方米。根据《建设工程规划许可证》[]、《出让合同》[]，估价对象规划建筑面积为61600.22平方米。</v>
      </c>
    </row>
    <row r="16" spans="1:55" s="2356" customFormat="1">
      <c r="A16" s="2357" t="s">
        <v>1951</v>
      </c>
      <c r="B16" s="2358" t="str">
        <f>'预评函-1'!A22</f>
        <v>本次估价对象为出让国有建设用地使用权，《国有土地使用证》[]证载土地终止日期为工业2071年12月26日。截至估价期日，出让国有建设用地使用权剩余土地使用年限为。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2月8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估价期日：2023年2月8日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97287.33</v>
      </c>
    </row>
    <row r="44" spans="1:2">
      <c r="A44" s="2357" t="s">
        <v>2022</v>
      </c>
      <c r="B44" s="2358" t="str">
        <f>'预评函-2'!O3</f>
        <v>规划建筑面积/㎡</v>
      </c>
    </row>
    <row r="45" spans="1:2">
      <c r="A45" s="2357" t="s">
        <v>2004</v>
      </c>
      <c r="B45" s="2358">
        <f>'预评函-2'!O5</f>
        <v>61600.22</v>
      </c>
    </row>
    <row r="46" spans="1:2">
      <c r="A46" s="2357" t="s">
        <v>2005</v>
      </c>
      <c r="B46" s="2358">
        <f ca="1">'预评函-2'!P5</f>
        <v>330</v>
      </c>
    </row>
    <row r="47" spans="1:2">
      <c r="A47" s="2357" t="s">
        <v>2006</v>
      </c>
      <c r="B47" s="2358">
        <f ca="1">'预评函-2'!Q5</f>
        <v>521</v>
      </c>
    </row>
    <row r="48" spans="1:2">
      <c r="A48" s="2357" t="s">
        <v>2007</v>
      </c>
      <c r="B48" s="2358">
        <f ca="1">'预评函-2'!R5</f>
        <v>3210</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44965</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-123.19</v>
      </c>
      <c r="D5" s="3295">
        <f>IF(ISERROR(ROUND(POWER(1+E5,A5-C5)*(POWER(1+E5,C5)-1)/(POWER(1+E5,A5)-1),3)),0,ROUND(POWER(1+E5,A5-C5)*(POWER(1+E5,C5)-1)/(POWER(1+E5,A5)-1),4))</f>
        <v>0</v>
      </c>
      <c r="E5" s="3296"/>
      <c r="F5" s="3289"/>
    </row>
    <row r="6" spans="1:6">
      <c r="A6" s="3294"/>
      <c r="B6" s="3291"/>
      <c r="C6" s="3293">
        <f>ROUNDDOWN(MIN((B6-B3)/365,A6),2)</f>
        <v>-123.19</v>
      </c>
      <c r="D6" s="3295">
        <f>IF(ISERROR(ROUND(POWER(1+E6,A6-C6)*(POWER(1+E6,C6)-1)/(POWER(1+E6,A6)-1),3)),0,ROUND(POWER(1+E6,A6-C6)*(POWER(1+E6,C6)-1)/(POWER(1+E6,A6)-1),4))</f>
        <v>0</v>
      </c>
      <c r="E6" s="3296"/>
      <c r="F6" s="3289"/>
    </row>
    <row r="7" spans="1:6">
      <c r="A7" s="3294"/>
      <c r="B7" s="3291"/>
      <c r="C7" s="3293">
        <f>ROUNDDOWN(MIN((B7-B3)/365,A7),2)</f>
        <v>-123.19</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O29" sqref="O29"/>
    </sheetView>
  </sheetViews>
  <sheetFormatPr defaultColWidth="10" defaultRowHeight="14.25"/>
  <cols>
    <col min="1" max="1" width="15.375" style="1487" customWidth="1"/>
    <col min="2" max="2" width="11.375" style="1487" customWidth="1"/>
    <col min="3" max="7" width="13.125" style="1487" customWidth="1"/>
    <col min="8" max="8" width="15.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6" t="str">
        <f>IF(B10="北京市","北京市",C10)&amp;F10&amp;A17&amp;"国有建设用地使用权"&amp;B9&amp;"预评估"</f>
        <v>出让国有建设用地使用权抵押价格预评估</v>
      </c>
      <c r="C1" s="3717"/>
      <c r="D1" s="3717"/>
      <c r="E1" s="3717"/>
      <c r="F1" s="3717"/>
      <c r="G1" s="3717"/>
      <c r="H1" s="3717"/>
      <c r="I1" s="3718"/>
      <c r="J1" s="2816"/>
      <c r="K1" s="2107" t="str">
        <f>IF(B10="北京市","北京市",C10)&amp;F10&amp;A17&amp;"国有建设用地使用权"&amp;B9</f>
        <v>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v>44965</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22"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3427</v>
      </c>
      <c r="C9" s="1477"/>
      <c r="D9" s="3723"/>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3428</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3429</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9"/>
      <c r="C12" s="3720"/>
      <c r="D12" s="3721"/>
      <c r="E12" s="1494" t="s">
        <v>1579</v>
      </c>
      <c r="F12" s="3737" t="s">
        <v>2163</v>
      </c>
      <c r="G12" s="3738"/>
      <c r="H12" s="3738"/>
      <c r="I12" s="3739"/>
      <c r="J12" s="2816"/>
      <c r="K12" s="2799"/>
      <c r="L12" s="2795"/>
      <c r="M12" s="2795"/>
      <c r="N12" s="2796"/>
      <c r="O12" s="2797"/>
      <c r="P12" s="2796"/>
      <c r="Q12" s="2796"/>
      <c r="R12" s="2796"/>
      <c r="S12" s="2796"/>
      <c r="T12" s="2796"/>
      <c r="U12" s="2796"/>
    </row>
    <row r="13" spans="1:21">
      <c r="A13" s="1485" t="s">
        <v>1577</v>
      </c>
      <c r="B13" s="3719"/>
      <c r="C13" s="3720"/>
      <c r="D13" s="3721"/>
      <c r="E13" s="1494" t="s">
        <v>1579</v>
      </c>
      <c r="F13" s="3737" t="s">
        <v>2164</v>
      </c>
      <c r="G13" s="3738"/>
      <c r="H13" s="3738"/>
      <c r="I13" s="3739"/>
      <c r="J13" s="2816"/>
      <c r="K13" s="2799"/>
      <c r="L13" s="2795"/>
      <c r="M13" s="2795"/>
      <c r="N13" s="2796"/>
      <c r="O13" s="2797"/>
      <c r="P13" s="2796"/>
      <c r="Q13" s="2796"/>
      <c r="R13" s="2796"/>
      <c r="S13" s="2796"/>
      <c r="T13" s="2796"/>
      <c r="U13" s="2796"/>
    </row>
    <row r="14" spans="1:21">
      <c r="A14" s="1464" t="s">
        <v>1580</v>
      </c>
      <c r="B14" s="1494"/>
      <c r="C14" s="1629" t="s">
        <v>3430</v>
      </c>
      <c r="D14" s="1527" t="str">
        <f>IF(C14="不一致","是否符合证载地类范围","")</f>
        <v/>
      </c>
      <c r="E14" s="1494"/>
      <c r="F14" s="1576" t="s">
        <v>3431</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工业2071年12月26日</v>
      </c>
      <c r="T16" s="1494" t="str">
        <f>IF(OR(S16="",U16=""),"","、")</f>
        <v/>
      </c>
      <c r="U16" s="2108" t="str">
        <f>IF(I17="","",I16&amp;TEXT(I17,"yyyy年m月d日;;"))</f>
        <v/>
      </c>
    </row>
    <row r="17" spans="1:21">
      <c r="A17" s="3336" t="s">
        <v>2744</v>
      </c>
      <c r="B17" s="2745" t="s">
        <v>1473</v>
      </c>
      <c r="C17" s="3335"/>
      <c r="D17" s="3335"/>
      <c r="E17" s="3335"/>
      <c r="F17" s="3335"/>
      <c r="G17" s="3335"/>
      <c r="H17" s="3335">
        <v>62818</v>
      </c>
      <c r="I17" s="3335"/>
      <c r="J17" s="2816"/>
      <c r="K17" s="2794" t="str">
        <f>CONCATENATE(K16,L16,M16,N16,O16,P16,Q16,R16,S16,T16,,U16)</f>
        <v>工业2071年12月26日</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48.91</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4"/>
      <c r="E20" s="3735"/>
      <c r="F20" s="3735"/>
      <c r="G20" s="3735"/>
      <c r="H20" s="3735"/>
      <c r="I20" s="3736"/>
      <c r="J20" s="2816"/>
      <c r="K20" s="2799"/>
      <c r="L20" s="2795"/>
      <c r="M20" s="2795"/>
      <c r="N20" s="2796"/>
      <c r="O20" s="2797"/>
      <c r="P20" s="2796"/>
      <c r="Q20" s="2796"/>
      <c r="R20" s="2796"/>
      <c r="S20" s="2796"/>
      <c r="T20" s="2796"/>
      <c r="U20" s="2796"/>
    </row>
    <row r="21" spans="1:21">
      <c r="A21" s="1552" t="s">
        <v>1476</v>
      </c>
      <c r="B21" s="1553" t="s">
        <v>1477</v>
      </c>
      <c r="C21" s="1548">
        <f>'数据-汇总表'!E3</f>
        <v>61600.22</v>
      </c>
      <c r="D21" s="1549" t="s">
        <v>1478</v>
      </c>
      <c r="E21" s="3724" t="s">
        <v>1516</v>
      </c>
      <c r="F21" s="3725"/>
      <c r="G21" s="3725"/>
      <c r="H21" s="3725"/>
      <c r="I21" s="3726"/>
      <c r="J21" s="2816"/>
      <c r="K21" s="2799"/>
      <c r="L21" s="2795"/>
      <c r="M21" s="2795"/>
      <c r="N21" s="2796"/>
      <c r="O21" s="2797"/>
      <c r="P21" s="2796"/>
      <c r="Q21" s="2796"/>
      <c r="R21" s="2796"/>
      <c r="S21" s="2796"/>
      <c r="T21" s="2796"/>
      <c r="U21" s="2796"/>
    </row>
    <row r="22" spans="1:21">
      <c r="A22" s="2556" t="s">
        <v>877</v>
      </c>
      <c r="B22" s="1464" t="s">
        <v>1479</v>
      </c>
      <c r="C22" s="1484">
        <f>'数据-汇总表'!D3</f>
        <v>97287.33</v>
      </c>
      <c r="D22" s="1485" t="s">
        <v>1478</v>
      </c>
      <c r="E22" s="3724" t="s">
        <v>2165</v>
      </c>
      <c r="F22" s="3725"/>
      <c r="G22" s="3725"/>
      <c r="H22" s="3725"/>
      <c r="I22" s="3726"/>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7" t="s">
        <v>1484</v>
      </c>
      <c r="C24" s="3728"/>
      <c r="D24" s="3729" t="s">
        <v>1485</v>
      </c>
      <c r="E24" s="3730"/>
      <c r="F24" s="1502" t="s">
        <v>1486</v>
      </c>
      <c r="G24" s="2816"/>
      <c r="H24" s="2816"/>
      <c r="I24" s="2820"/>
      <c r="J24" s="2816"/>
      <c r="K24" s="371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1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1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01" t="s">
        <v>1519</v>
      </c>
      <c r="B31" s="1553" t="s">
        <v>1520</v>
      </c>
      <c r="C31" s="3740"/>
      <c r="D31" s="3741"/>
      <c r="E31" s="2816"/>
      <c r="F31" s="2816"/>
      <c r="G31" s="2816"/>
      <c r="H31" s="2816"/>
      <c r="I31" s="2820"/>
      <c r="J31" s="2816"/>
      <c r="K31" s="2802"/>
      <c r="L31" s="2796"/>
      <c r="M31" s="2796"/>
      <c r="N31" s="2796"/>
      <c r="O31" s="2796"/>
      <c r="P31" s="2796"/>
      <c r="Q31" s="2796"/>
      <c r="R31" s="2796"/>
      <c r="S31" s="2796"/>
      <c r="T31" s="2796"/>
      <c r="U31" s="2796"/>
    </row>
    <row r="32" spans="1:21">
      <c r="A32" s="370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0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02"/>
      <c r="B34" s="1464" t="s">
        <v>1523</v>
      </c>
      <c r="C34" s="3703"/>
      <c r="D34" s="3704"/>
      <c r="E34" s="2816"/>
      <c r="F34" s="2816"/>
      <c r="G34" s="2816"/>
      <c r="H34" s="2816"/>
      <c r="I34" s="2820"/>
      <c r="J34" s="2816"/>
      <c r="K34" s="2802"/>
      <c r="L34" s="2796"/>
      <c r="M34" s="2796"/>
      <c r="N34" s="2796"/>
      <c r="O34" s="2796"/>
      <c r="P34" s="2796"/>
      <c r="Q34" s="2796"/>
      <c r="R34" s="2796"/>
      <c r="S34" s="2796"/>
      <c r="T34" s="2796"/>
      <c r="U34" s="2796"/>
    </row>
    <row r="35" spans="1:28">
      <c r="A35" s="3705" t="s">
        <v>785</v>
      </c>
      <c r="B35" s="1516"/>
      <c r="C35" s="1562" t="str">
        <f>IF(B35="场地平整","——","具体情况：")</f>
        <v>具体情况：</v>
      </c>
      <c r="D35" s="3707"/>
      <c r="E35" s="3708"/>
      <c r="F35" s="3708"/>
      <c r="G35" s="3708"/>
      <c r="H35" s="3708"/>
      <c r="I35" s="3709"/>
      <c r="J35" s="2816"/>
      <c r="K35" s="2803"/>
      <c r="L35" s="2795"/>
      <c r="M35" s="2795"/>
      <c r="N35" s="2796"/>
      <c r="O35" s="2797"/>
      <c r="P35" s="2796"/>
      <c r="Q35" s="2796"/>
      <c r="R35" s="2796"/>
      <c r="S35" s="2796"/>
      <c r="T35" s="2796"/>
      <c r="U35" s="2796"/>
    </row>
    <row r="36" spans="1:28">
      <c r="A36" s="3701"/>
      <c r="B36" s="3710" t="s">
        <v>1572</v>
      </c>
      <c r="C36" s="3711"/>
      <c r="D36" s="1578"/>
      <c r="E36" s="3712"/>
      <c r="F36" s="3712"/>
      <c r="G36" s="1485" t="str">
        <f>IF(B35="场地未平整","估价结果处理","")</f>
        <v/>
      </c>
      <c r="H36" s="3713"/>
      <c r="I36" s="3713"/>
      <c r="J36" s="2816"/>
      <c r="K36" s="2803"/>
      <c r="L36" s="2795"/>
      <c r="M36" s="2795"/>
      <c r="N36" s="2796"/>
      <c r="O36" s="2797"/>
      <c r="P36" s="2796"/>
      <c r="Q36" s="2796"/>
      <c r="R36" s="2796"/>
      <c r="S36" s="2796"/>
      <c r="T36" s="2796"/>
      <c r="U36" s="2796"/>
    </row>
    <row r="37" spans="1:28" ht="28.5">
      <c r="A37" s="3701"/>
      <c r="B37" s="373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01"/>
      <c r="B38" s="3732"/>
      <c r="C38" s="1472" t="s">
        <v>788</v>
      </c>
      <c r="D38" s="1577">
        <f>ROUNDDOWN(MIN(('数据-取费表'!$B$2-D37)/365,D34),1)</f>
        <v>123.1</v>
      </c>
      <c r="E38" s="1521" t="s">
        <v>789</v>
      </c>
      <c r="F38" s="2816"/>
      <c r="G38" s="2816"/>
      <c r="H38" s="2816"/>
      <c r="I38" s="2820"/>
      <c r="J38" s="2816"/>
      <c r="K38" s="2803"/>
      <c r="L38" s="2796"/>
      <c r="M38" s="2796"/>
      <c r="N38" s="2796"/>
      <c r="O38" s="2796"/>
      <c r="P38" s="2796"/>
      <c r="Q38" s="2796"/>
      <c r="R38" s="2796"/>
      <c r="S38" s="2796"/>
      <c r="T38" s="2796"/>
      <c r="U38" s="2796"/>
    </row>
    <row r="39" spans="1:28">
      <c r="A39" s="3702"/>
      <c r="B39" s="373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14" t="s">
        <v>1503</v>
      </c>
      <c r="T40" s="1525" t="str">
        <f>NUMBERSTRING(7-K40,1)&amp;"通"</f>
        <v>七通</v>
      </c>
      <c r="U40" s="2796"/>
    </row>
    <row r="41" spans="1:28">
      <c r="A41" s="1466"/>
      <c r="B41" s="3706" t="s">
        <v>1250</v>
      </c>
      <c r="C41" s="3706"/>
      <c r="D41" s="3706"/>
      <c r="E41" s="3706"/>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4"/>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3" sqref="L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97287.33</v>
      </c>
      <c r="B3" s="20">
        <f>IF(C3="否",G5-AT5,G5)</f>
        <v>61600.22</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61600.22</v>
      </c>
      <c r="H5" s="25">
        <f t="shared" ref="H5:AT5" si="0">SUM(H13:H641)</f>
        <v>60917.47</v>
      </c>
      <c r="I5" s="25">
        <f t="shared" si="0"/>
        <v>60917.47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682.75</v>
      </c>
      <c r="AD5" s="25">
        <f t="shared" si="0"/>
        <v>0</v>
      </c>
      <c r="AE5" s="25">
        <f t="shared" si="0"/>
        <v>0</v>
      </c>
      <c r="AF5" s="25">
        <f t="shared" si="0"/>
        <v>0</v>
      </c>
      <c r="AG5" s="25">
        <f t="shared" si="0"/>
        <v>0</v>
      </c>
      <c r="AH5" s="25">
        <f t="shared" si="0"/>
        <v>0</v>
      </c>
      <c r="AI5" s="25">
        <f t="shared" si="0"/>
        <v>0</v>
      </c>
      <c r="AJ5" s="25">
        <f t="shared" si="0"/>
        <v>0</v>
      </c>
      <c r="AK5" s="25">
        <f t="shared" si="0"/>
        <v>0</v>
      </c>
      <c r="AL5" s="25">
        <f t="shared" si="0"/>
        <v>258.55</v>
      </c>
      <c r="AM5" s="25">
        <f t="shared" si="0"/>
        <v>0</v>
      </c>
      <c r="AN5" s="25">
        <f t="shared" si="0"/>
        <v>424.2</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61600.22</v>
      </c>
      <c r="BA5" s="27">
        <f t="shared" si="1"/>
        <v>60917.47</v>
      </c>
      <c r="BB5" s="27">
        <f t="shared" si="1"/>
        <v>60917.47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682.75</v>
      </c>
      <c r="BM5" s="27">
        <f t="shared" si="1"/>
        <v>0</v>
      </c>
      <c r="BN5" s="27">
        <f t="shared" si="1"/>
        <v>0</v>
      </c>
      <c r="BO5" s="27">
        <f t="shared" si="1"/>
        <v>0</v>
      </c>
      <c r="BP5" s="27">
        <f t="shared" si="1"/>
        <v>0</v>
      </c>
      <c r="BQ5" s="27">
        <f t="shared" si="1"/>
        <v>258.55</v>
      </c>
      <c r="BR5" s="27">
        <f t="shared" si="1"/>
        <v>424.2</v>
      </c>
      <c r="BS5" s="27">
        <f t="shared" si="1"/>
        <v>0</v>
      </c>
      <c r="BT5" s="28">
        <f t="shared" si="1"/>
        <v>0</v>
      </c>
    </row>
    <row r="6" spans="1:72" s="35" customFormat="1" ht="12.75">
      <c r="A6" s="24" t="s">
        <v>135</v>
      </c>
      <c r="B6" s="29"/>
      <c r="C6" s="29"/>
      <c r="D6" s="30"/>
      <c r="E6" s="25">
        <f>H6+AC6+AT6</f>
        <v>97287.329999999987</v>
      </c>
      <c r="F6" s="25" t="s">
        <v>0</v>
      </c>
      <c r="G6" s="25" t="s">
        <v>1</v>
      </c>
      <c r="H6" s="31">
        <f>SUMIF(I$12:AB$12,"总值",I6:AB6)</f>
        <v>96209.04</v>
      </c>
      <c r="I6" s="25">
        <f t="shared" ref="I6:AB6" si="2">ROUND($A$3*I5/$B$3,2)</f>
        <v>96209.04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1078.29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408.34</v>
      </c>
      <c r="AM6" s="25">
        <f t="shared" si="3"/>
        <v>0</v>
      </c>
      <c r="AN6" s="25">
        <f t="shared" si="3"/>
        <v>669.95</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97287.33</v>
      </c>
      <c r="AZ6" s="25" t="s">
        <v>2</v>
      </c>
      <c r="BA6" s="25">
        <f>ROUND($AY$6*BA5/$AZ$5,2)</f>
        <v>96209.04</v>
      </c>
      <c r="BB6" s="25">
        <f>ROUND($AY$6*BB5/$AZ$5,2)</f>
        <v>96209.04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1078.29</v>
      </c>
      <c r="BM6" s="25">
        <f t="shared" si="5"/>
        <v>0</v>
      </c>
      <c r="BN6" s="25">
        <f t="shared" si="5"/>
        <v>0</v>
      </c>
      <c r="BO6" s="25">
        <f t="shared" si="5"/>
        <v>0</v>
      </c>
      <c r="BP6" s="25">
        <f t="shared" si="5"/>
        <v>0</v>
      </c>
      <c r="BQ6" s="25">
        <f t="shared" si="5"/>
        <v>408.34</v>
      </c>
      <c r="BR6" s="25">
        <f t="shared" si="5"/>
        <v>669.95</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3433</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3432</v>
      </c>
      <c r="E13" s="25">
        <f t="shared" ref="E13:E20" si="6">IF($C$3="是",ROUND($A$3*G13/$B$3,2),ROUND($A$3*(G13-AT13)/$B$3,2))</f>
        <v>97287.33</v>
      </c>
      <c r="F13" s="78"/>
      <c r="G13" s="79">
        <f t="shared" ref="G13:G20" si="7">H13+AC13+AT13</f>
        <v>61600.22</v>
      </c>
      <c r="H13" s="31">
        <f t="shared" ref="H13:H20" si="8">SUMIF(I$12:AB$12,"总值",I13:AB13)</f>
        <v>60917.47</v>
      </c>
      <c r="I13" s="2490">
        <f>Sheet2!E8+Sheet2!E9</f>
        <v>60917.47</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682.75</v>
      </c>
      <c r="AD13" s="2494"/>
      <c r="AE13" s="2494"/>
      <c r="AF13" s="2494"/>
      <c r="AG13" s="2494"/>
      <c r="AH13" s="2494"/>
      <c r="AI13" s="2494"/>
      <c r="AJ13" s="2494"/>
      <c r="AK13" s="2494"/>
      <c r="AL13" s="2494">
        <f>Sheet2!E10</f>
        <v>258.55</v>
      </c>
      <c r="AM13" s="2494"/>
      <c r="AN13" s="2494">
        <f>Sheet2!E12</f>
        <v>424.2</v>
      </c>
      <c r="AO13" s="2494"/>
      <c r="AP13" s="2494"/>
      <c r="AQ13" s="2494"/>
      <c r="AR13" s="2494"/>
      <c r="AS13" s="2494"/>
      <c r="AT13" s="2495"/>
      <c r="AU13" s="2496"/>
      <c r="AV13" s="15">
        <f t="shared" ref="AV13:AX20" si="10">A13</f>
        <v>0</v>
      </c>
      <c r="AW13" s="15">
        <f t="shared" si="10"/>
        <v>0</v>
      </c>
      <c r="AX13" s="15">
        <f t="shared" si="10"/>
        <v>0</v>
      </c>
      <c r="AY13" s="958">
        <f t="shared" ref="AY13:AY20" si="11">ROUND($AY$6*AZ13/$AZ$5,2)</f>
        <v>97287.33</v>
      </c>
      <c r="AZ13" s="25">
        <f t="shared" ref="AZ13:AZ20" si="12">BA13+BL13</f>
        <v>61600.22</v>
      </c>
      <c r="BA13" s="25">
        <f t="shared" ref="BA13:BA20" si="13">SUM(BB13:BK13)</f>
        <v>60917.47</v>
      </c>
      <c r="BB13" s="25">
        <f t="shared" ref="BB13:BB20" si="14">IF($D13="是",I13-J13,0)</f>
        <v>60917.47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682.75</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258.55</v>
      </c>
      <c r="BR13" s="25">
        <f t="shared" ref="BR13:BR20" si="30">IF($D13="是",AN13-AO13,0)</f>
        <v>424.2</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E13"/>
  <sheetViews>
    <sheetView workbookViewId="0">
      <selection activeCell="D16" sqref="D16"/>
    </sheetView>
  </sheetViews>
  <sheetFormatPr defaultRowHeight="12"/>
  <cols>
    <col min="1" max="4" width="9" style="3666"/>
    <col min="5" max="5" width="12.75" style="3666" customWidth="1"/>
    <col min="6" max="16384" width="9" style="3666"/>
  </cols>
  <sheetData>
    <row r="5" spans="2:5">
      <c r="B5" s="3743" t="s">
        <v>3434</v>
      </c>
      <c r="C5" s="3744"/>
      <c r="D5" s="3745"/>
      <c r="E5" s="3667">
        <v>97287.33</v>
      </c>
    </row>
    <row r="6" spans="2:5">
      <c r="B6" s="3743" t="s">
        <v>3435</v>
      </c>
      <c r="C6" s="3744"/>
      <c r="D6" s="3745"/>
      <c r="E6" s="3667">
        <v>61600.22</v>
      </c>
    </row>
    <row r="7" spans="2:5">
      <c r="B7" s="3742" t="s">
        <v>3439</v>
      </c>
      <c r="C7" s="3742" t="s">
        <v>3436</v>
      </c>
      <c r="D7" s="3742"/>
      <c r="E7" s="3667">
        <v>61176.02</v>
      </c>
    </row>
    <row r="8" spans="2:5">
      <c r="B8" s="3742"/>
      <c r="C8" s="3742" t="s">
        <v>3439</v>
      </c>
      <c r="D8" s="3667" t="s">
        <v>3437</v>
      </c>
      <c r="E8" s="3667">
        <v>59230.8</v>
      </c>
    </row>
    <row r="9" spans="2:5">
      <c r="B9" s="3742"/>
      <c r="C9" s="3742"/>
      <c r="D9" s="3667" t="s">
        <v>3440</v>
      </c>
      <c r="E9" s="3667">
        <v>1686.67</v>
      </c>
    </row>
    <row r="10" spans="2:5">
      <c r="B10" s="3742"/>
      <c r="C10" s="3742"/>
      <c r="D10" s="3667" t="s">
        <v>3438</v>
      </c>
      <c r="E10" s="3667">
        <f>682.75-E12</f>
        <v>258.55</v>
      </c>
    </row>
    <row r="11" spans="2:5">
      <c r="B11" s="3742"/>
      <c r="C11" s="3742" t="s">
        <v>3441</v>
      </c>
      <c r="D11" s="3742"/>
      <c r="E11" s="3667">
        <v>424.2</v>
      </c>
    </row>
    <row r="12" spans="2:5">
      <c r="B12" s="3742"/>
      <c r="C12" s="3667" t="s">
        <v>3442</v>
      </c>
      <c r="D12" s="3667" t="s">
        <v>3438</v>
      </c>
      <c r="E12" s="3667">
        <f>E11</f>
        <v>424.2</v>
      </c>
    </row>
    <row r="13" spans="2:5">
      <c r="D13" s="3666" t="s">
        <v>3443</v>
      </c>
      <c r="E13" s="3666">
        <v>1.02</v>
      </c>
    </row>
  </sheetData>
  <mergeCells count="6">
    <mergeCell ref="C7:D7"/>
    <mergeCell ref="C11:D11"/>
    <mergeCell ref="C8:C10"/>
    <mergeCell ref="B7:B12"/>
    <mergeCell ref="B5:D5"/>
    <mergeCell ref="B6:D6"/>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32" sqref="K32"/>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55" t="s">
        <v>169</v>
      </c>
      <c r="B2" s="3755"/>
      <c r="C2" s="3755"/>
      <c r="D2" s="1729" t="s">
        <v>170</v>
      </c>
      <c r="E2" s="102" t="s">
        <v>171</v>
      </c>
      <c r="F2" s="2825"/>
      <c r="G2" s="1096"/>
      <c r="H2" s="1097"/>
      <c r="I2" s="1098" t="s">
        <v>795</v>
      </c>
      <c r="J2" s="2825"/>
      <c r="K2" s="2825"/>
      <c r="L2" s="2825"/>
      <c r="M2" s="2825"/>
      <c r="N2" s="2825"/>
      <c r="O2" s="2825"/>
      <c r="P2" s="2825"/>
    </row>
    <row r="3" spans="1:16" ht="15.75" thickBot="1">
      <c r="A3" s="3756" t="s">
        <v>172</v>
      </c>
      <c r="B3" s="3756"/>
      <c r="C3" s="3756"/>
      <c r="D3" s="103">
        <f>'数据-基础表'!AY6</f>
        <v>97287.33</v>
      </c>
      <c r="E3" s="103">
        <f>'数据-基础表'!AZ5</f>
        <v>61600.22</v>
      </c>
      <c r="F3" s="2825"/>
      <c r="G3" s="271" t="s">
        <v>796</v>
      </c>
      <c r="H3" s="266" t="s">
        <v>797</v>
      </c>
      <c r="I3" s="1730">
        <f>ROUND('数据-基础表'!B3/'数据-基础表'!A3,2)</f>
        <v>0.63</v>
      </c>
      <c r="J3" s="2825"/>
      <c r="K3" s="2825"/>
      <c r="L3" s="2825"/>
      <c r="M3" s="2825"/>
      <c r="N3" s="2825"/>
      <c r="O3" s="2825"/>
      <c r="P3" s="2825"/>
    </row>
    <row r="4" spans="1:16" ht="15">
      <c r="A4" s="3757"/>
      <c r="B4" s="3758"/>
      <c r="C4" s="3759"/>
      <c r="D4" s="104" t="s">
        <v>170</v>
      </c>
      <c r="E4" s="105" t="s">
        <v>171</v>
      </c>
      <c r="F4" s="2825"/>
      <c r="G4" s="1099"/>
      <c r="H4" s="266" t="s">
        <v>798</v>
      </c>
      <c r="I4" s="1730">
        <f>ROUND(SUMIF('数据-基础表'!I9:AS9,"地上",'数据-基础表'!I5:AS5)/'数据-基础表'!A3,2)</f>
        <v>0.63</v>
      </c>
      <c r="J4" s="2825"/>
      <c r="K4" s="2825"/>
      <c r="L4" s="2825"/>
      <c r="M4" s="2825"/>
      <c r="N4" s="2825"/>
      <c r="O4" s="2825"/>
      <c r="P4" s="2825"/>
    </row>
    <row r="5" spans="1:16">
      <c r="A5" s="106" t="s">
        <v>173</v>
      </c>
      <c r="B5" s="3760" t="s">
        <v>196</v>
      </c>
      <c r="C5" s="3760"/>
      <c r="D5" s="107">
        <f>ROUND($D$3*E5/$E$3,2)</f>
        <v>0</v>
      </c>
      <c r="E5" s="108">
        <f>SUMIF('数据-基础表'!$11:$11,"住宅",'数据-基础表'!$5:$5)</f>
        <v>0</v>
      </c>
      <c r="F5" s="2825"/>
      <c r="G5" s="271" t="s">
        <v>799</v>
      </c>
      <c r="H5" s="266" t="s">
        <v>797</v>
      </c>
      <c r="I5" s="1730">
        <f>ROUND(E31/D31,2)</f>
        <v>0.63</v>
      </c>
      <c r="J5" s="2825"/>
      <c r="K5" s="2825"/>
      <c r="L5" s="2825"/>
      <c r="M5" s="2825"/>
      <c r="N5" s="2825"/>
      <c r="O5" s="2825"/>
      <c r="P5" s="2825"/>
    </row>
    <row r="6" spans="1:16" ht="15" thickBot="1">
      <c r="A6" s="109"/>
      <c r="B6" s="3760" t="s">
        <v>174</v>
      </c>
      <c r="C6" s="3760"/>
      <c r="D6" s="107">
        <f>ROUND($D$3*E6/$E$3,2)</f>
        <v>97287.33</v>
      </c>
      <c r="E6" s="108">
        <f>E3-E5</f>
        <v>61600.22</v>
      </c>
      <c r="F6" s="2825"/>
      <c r="G6" s="1099"/>
      <c r="H6" s="266" t="s">
        <v>798</v>
      </c>
      <c r="I6" s="1730">
        <f>ROUND(F31/D31,2)</f>
        <v>0.63</v>
      </c>
      <c r="J6" s="2825"/>
      <c r="K6" s="2825"/>
      <c r="L6" s="2825"/>
      <c r="M6" s="2825"/>
      <c r="N6" s="2825"/>
      <c r="O6" s="2825"/>
      <c r="P6" s="2825"/>
    </row>
    <row r="7" spans="1:16" ht="15">
      <c r="A7" s="3752"/>
      <c r="B7" s="3753"/>
      <c r="C7" s="3754"/>
      <c r="D7" s="104" t="s">
        <v>170</v>
      </c>
      <c r="E7" s="110" t="s">
        <v>197</v>
      </c>
      <c r="F7" s="2825"/>
      <c r="G7" s="1055" t="s">
        <v>1180</v>
      </c>
      <c r="H7" s="1056"/>
      <c r="I7" s="1631">
        <v>1.02</v>
      </c>
      <c r="J7" s="2825"/>
      <c r="K7" s="2825"/>
      <c r="L7" s="2825"/>
      <c r="M7" s="2825"/>
      <c r="N7" s="2825"/>
      <c r="O7" s="2825"/>
      <c r="P7" s="2825"/>
    </row>
    <row r="8" spans="1:16">
      <c r="A8" s="106" t="s">
        <v>175</v>
      </c>
      <c r="B8" s="111" t="s">
        <v>176</v>
      </c>
      <c r="C8" s="107" t="s">
        <v>177</v>
      </c>
      <c r="D8" s="107">
        <f t="shared" ref="D8:D15" si="0">ROUND($D$3*E8/$E$3,2)</f>
        <v>96209.04</v>
      </c>
      <c r="E8" s="112">
        <f>SUMIF('数据-基础表'!BB10:BK10,"地上",'数据-基础表'!BB5:BK5)</f>
        <v>60917.47</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96209.04</v>
      </c>
      <c r="E16" s="116">
        <f>SUM(E8:E15)</f>
        <v>60917.47</v>
      </c>
      <c r="F16" s="2825"/>
      <c r="G16" s="2826"/>
      <c r="H16" s="930" t="s">
        <v>185</v>
      </c>
      <c r="I16" s="931"/>
      <c r="J16" s="1738"/>
      <c r="K16" s="3746" t="s">
        <v>1849</v>
      </c>
      <c r="L16" s="3747"/>
      <c r="M16" s="3747"/>
      <c r="N16" s="3747"/>
      <c r="O16" s="3747"/>
      <c r="P16" s="3748"/>
    </row>
    <row r="17" spans="1:19" ht="15">
      <c r="A17" s="117" t="s">
        <v>182</v>
      </c>
      <c r="B17" s="118" t="s">
        <v>183</v>
      </c>
      <c r="C17" s="2016" t="s">
        <v>1670</v>
      </c>
      <c r="D17" s="104" t="s">
        <v>170</v>
      </c>
      <c r="E17" s="120" t="s">
        <v>171</v>
      </c>
      <c r="F17" s="121"/>
      <c r="G17" s="1225"/>
      <c r="H17" s="932" t="s">
        <v>184</v>
      </c>
      <c r="I17" s="933" t="s">
        <v>1669</v>
      </c>
      <c r="J17" s="1738"/>
      <c r="K17" s="3749" t="s">
        <v>1850</v>
      </c>
      <c r="L17" s="3750"/>
      <c r="M17" s="3751"/>
      <c r="N17" s="3749" t="s">
        <v>1851</v>
      </c>
      <c r="O17" s="3750"/>
      <c r="P17" s="375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3444</v>
      </c>
      <c r="D19" s="107">
        <f t="shared" ref="D19:D26" si="1">ROUND($D$3*E19/$E$3,2)</f>
        <v>96209.04</v>
      </c>
      <c r="E19" s="130">
        <f t="shared" ref="E19:E26" si="2">SUM(F19:G19)</f>
        <v>60917.47</v>
      </c>
      <c r="F19" s="2827">
        <f>'数据-基础表'!I13</f>
        <v>60917.47</v>
      </c>
      <c r="G19" s="2828"/>
      <c r="H19" s="936">
        <f>ROUND($D$3*I19/$E$3,2)</f>
        <v>1078.29</v>
      </c>
      <c r="I19" s="112">
        <f>IF($I$17="自定义",P19,M19)</f>
        <v>682.75</v>
      </c>
      <c r="J19" s="1738"/>
      <c r="K19" s="2215">
        <f t="shared" ref="K19:K26" si="3">ROUND(E$28*E19/E$27,2)</f>
        <v>682.75</v>
      </c>
      <c r="L19" s="266">
        <f t="shared" ref="L19:L26" si="4">ROUND(IF(COUNTIF(C19,"*住宅*")&gt;0,E$29*E19/E$32,0),2)</f>
        <v>0</v>
      </c>
      <c r="M19" s="2216">
        <f>K19+L19</f>
        <v>682.75</v>
      </c>
      <c r="N19" s="2217"/>
      <c r="O19" s="2218"/>
      <c r="P19" s="2219">
        <f>N19+O19</f>
        <v>0</v>
      </c>
      <c r="R19" s="266">
        <f t="shared" ref="R19:S26" si="5">D19+H19</f>
        <v>97287.329999999987</v>
      </c>
      <c r="S19" s="2019">
        <f t="shared" si="5"/>
        <v>61600.22</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96209.04</v>
      </c>
      <c r="E27" s="136">
        <f>IF(SUM(E19:E26)='数据-基础表'!BA5,SUM(E19:E26),IF(F27="地上面积有误","面积有误","地下面积有误"))</f>
        <v>60917.47</v>
      </c>
      <c r="F27" s="130">
        <f>IF(SUM(F19:F26)=E8,SUM(F19:F26),"地上面积有误")</f>
        <v>60917.47</v>
      </c>
      <c r="G27" s="108">
        <f>SUM(G19:G26)</f>
        <v>0</v>
      </c>
      <c r="H27" s="937">
        <f>SUM(H19:H26)</f>
        <v>1078.29</v>
      </c>
      <c r="I27" s="938">
        <f>SUM(I19:I26)</f>
        <v>682.75</v>
      </c>
      <c r="J27" s="1738"/>
      <c r="K27" s="2224">
        <f t="shared" ref="K27:P27" si="10">SUM(K19:K26)</f>
        <v>682.75</v>
      </c>
      <c r="L27" s="2225">
        <f t="shared" si="10"/>
        <v>0</v>
      </c>
      <c r="M27" s="2226">
        <f t="shared" si="10"/>
        <v>682.75</v>
      </c>
      <c r="N27" s="2224">
        <f t="shared" si="10"/>
        <v>0</v>
      </c>
      <c r="O27" s="2225">
        <f t="shared" si="10"/>
        <v>0</v>
      </c>
      <c r="P27" s="2227">
        <f t="shared" si="10"/>
        <v>0</v>
      </c>
      <c r="R27" s="2023">
        <f>IF(SUM(R19:R26)=$D$3,SUM(R19:R26),SUM(R19:R26)&amp;"误差"&amp;ROUND(SUM(R19:R26)-$D$3,2))</f>
        <v>97287.329999999987</v>
      </c>
      <c r="S27" s="266">
        <f>IF(SUM(S19:S26)=$E$3,SUM(S19:S26),SUM(S19:S26)&amp;"误差"&amp;ROUND(SUM(S19:S26)-E3,2))</f>
        <v>61600.22</v>
      </c>
    </row>
    <row r="28" spans="1:19">
      <c r="A28" s="133"/>
      <c r="B28" s="111" t="s">
        <v>193</v>
      </c>
      <c r="C28" s="131" t="s">
        <v>194</v>
      </c>
      <c r="D28" s="107">
        <f>ROUND($D$3*E28/$E$3,2)</f>
        <v>1078.29</v>
      </c>
      <c r="E28" s="130">
        <f>SUM(F28:G28)</f>
        <v>682.75</v>
      </c>
      <c r="F28" s="137">
        <f>'数据-基础表'!BQ5+'数据-基础表'!BS5</f>
        <v>258.55</v>
      </c>
      <c r="G28" s="138">
        <f>'数据-基础表'!BR5+'数据-基础表'!BT5</f>
        <v>424.2</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1078.29</v>
      </c>
      <c r="E30" s="130">
        <f>SUM(E28:E29)</f>
        <v>682.75</v>
      </c>
      <c r="F30" s="130">
        <f>SUM(F28:F29)</f>
        <v>258.55</v>
      </c>
      <c r="G30" s="108">
        <f>SUM(G28:G29)</f>
        <v>424.2</v>
      </c>
      <c r="H30" s="2825"/>
      <c r="I30" s="2825"/>
      <c r="J30" s="2825"/>
      <c r="K30" s="2825"/>
      <c r="L30" s="2825"/>
      <c r="M30" s="2825"/>
      <c r="N30" s="2825"/>
      <c r="O30" s="2825"/>
      <c r="P30" s="2825"/>
    </row>
    <row r="31" spans="1:19" ht="32.25" customHeight="1" thickBot="1">
      <c r="A31" s="1227"/>
      <c r="B31" s="1228" t="s">
        <v>195</v>
      </c>
      <c r="C31" s="2048" t="s">
        <v>1679</v>
      </c>
      <c r="D31" s="1229">
        <f>D27+D30</f>
        <v>97287.329999999987</v>
      </c>
      <c r="E31" s="1229">
        <f>E27+E30</f>
        <v>61600.22</v>
      </c>
      <c r="F31" s="1230">
        <f>F27+F30</f>
        <v>61176.020000000004</v>
      </c>
      <c r="G31" s="1231">
        <f>G27+G30</f>
        <v>424.2</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L6" activePane="bottomRight" state="frozen"/>
      <selection pane="topRight" activeCell="D1" sqref="D1"/>
      <selection pane="bottomLeft" activeCell="A4" sqref="A4"/>
      <selection pane="bottomRight" activeCell="P21" sqref="P2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44965</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62818</v>
      </c>
      <c r="F6" s="167">
        <f>SUMIF(项目基本情况!C$15:I$15,C6,项目基本情况!C$19:I$19)</f>
        <v>48.91</v>
      </c>
      <c r="G6" s="168">
        <f t="shared" ref="G6:G13" si="0">IF(ISERROR(ROUND(POWER(1+H6,D6-F6)*(POWER(1+H6,F6)-1)/(POWER(1+H6,D6)-1),3)),0,ROUND(POWER(1+H6,D6-F6)*(POWER(1+H6,F6)-1)/(POWER(1+H6,D6)-1),3))</f>
        <v>0.99299999999999999</v>
      </c>
      <c r="H6" s="2498">
        <v>0.04</v>
      </c>
      <c r="I6" s="2498">
        <v>4.4999999999999998E-2</v>
      </c>
      <c r="J6" s="169">
        <v>0.06</v>
      </c>
      <c r="K6" s="172">
        <f>SUMIF('数据-汇总表'!C$19:C$33,'数据-取费表'!A6,'数据-汇总表'!E$19:E$33)</f>
        <v>60917.47</v>
      </c>
      <c r="L6" s="2499">
        <v>2000</v>
      </c>
      <c r="M6" s="170">
        <f t="shared" ref="M6:M14" si="1">ROUND(K6*L6/10000,0)</f>
        <v>12183</v>
      </c>
      <c r="N6" s="2500">
        <v>0</v>
      </c>
      <c r="O6" s="170">
        <f>IF($N$5="成新度","——",ROUND(M6*N6,0))</f>
        <v>0</v>
      </c>
      <c r="P6" s="171">
        <f>IF($N$5="成新度","——",M6-O6)</f>
        <v>12183</v>
      </c>
      <c r="Q6" s="2501">
        <v>0.1</v>
      </c>
      <c r="R6" s="172">
        <f>SUMIF('数据-汇总表'!C$19:C$33,A6,'数据-汇总表'!R$19:R$33)</f>
        <v>97287.329999999987</v>
      </c>
      <c r="S6" s="128">
        <f>IF('数据-汇总表'!$I$17="按面积比例",SUMIF('数据-汇总表'!C$19:C$33,A6,'数据-汇总表'!K$19:K$33),SUMIF('数据-汇总表'!C$19:C$33,A6,'数据-汇总表'!N$19:N$33))</f>
        <v>682.75</v>
      </c>
      <c r="T6" s="1952">
        <f>IF($T$4="按面积比例",IF(ISERROR(ROUND($M$14*S6/S$16,0)),"0",ROUND($M$14*S6/S$16,0)),"需自行计算录入")</f>
        <v>0</v>
      </c>
      <c r="U6" s="173">
        <v>0.7</v>
      </c>
      <c r="V6" s="174">
        <v>0.02</v>
      </c>
      <c r="W6" s="174">
        <v>0.1</v>
      </c>
      <c r="X6" s="2039"/>
      <c r="Y6" s="175">
        <v>1</v>
      </c>
      <c r="Z6" s="176"/>
      <c r="AA6" s="169"/>
      <c r="AB6" s="169"/>
      <c r="AC6" s="2042"/>
      <c r="AD6" s="177"/>
      <c r="AE6" s="934">
        <f ca="1">IF(AN6="",0,SUMIF(INDIRECT("'"&amp;AN6&amp;"'"&amp;"!E:E"),$AE$5,INDIRECT("'"&amp;AN6&amp;"'"&amp;"!F:F")))</f>
        <v>46.91</v>
      </c>
      <c r="AF6" s="134"/>
      <c r="AG6" s="1111">
        <f>IF(AF6="",0,AE6-AF6)</f>
        <v>0</v>
      </c>
      <c r="AH6" s="134"/>
      <c r="AI6" s="180">
        <v>365</v>
      </c>
      <c r="AJ6" s="181"/>
      <c r="AK6" s="182">
        <v>0.01</v>
      </c>
      <c r="AL6" s="183">
        <v>1E-3</v>
      </c>
      <c r="AM6" s="2510">
        <v>0.01</v>
      </c>
      <c r="AN6" s="2083" t="s">
        <v>3448</v>
      </c>
      <c r="AO6" s="2835"/>
      <c r="AP6" s="1102">
        <f>ROUND(1-1/(1+H6)^F6,3)</f>
        <v>0.85299999999999998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682.75</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0.99299999999999999</v>
      </c>
      <c r="H16" s="194">
        <f>ROUND(SUMPRODUCT(H6:H13,K6:K13)/SUMPRODUCT((H6:H13&gt;0)*(K6:K13)),3)</f>
        <v>0.04</v>
      </c>
      <c r="I16" s="195"/>
      <c r="J16" s="195"/>
      <c r="K16" s="196">
        <f>SUM(K6:K15)</f>
        <v>61600.22</v>
      </c>
      <c r="L16" s="197">
        <f>ROUND(M16*10000/SUM(K6:K14),0)</f>
        <v>1978</v>
      </c>
      <c r="M16" s="197">
        <f>SUM(M6:M14)</f>
        <v>12183</v>
      </c>
      <c r="N16" s="198">
        <f>ROUND(SUMPRODUCT(M6:M14,N6:N14)/M16,3)</f>
        <v>0</v>
      </c>
      <c r="O16" s="197">
        <f>SUM(O6:O14)</f>
        <v>0</v>
      </c>
      <c r="P16" s="197">
        <f>SUM(P6:P14)</f>
        <v>12183</v>
      </c>
      <c r="Q16" s="199">
        <f>ROUND(SUMPRODUCT(Q6:Q13,K6:K13)/SUMPRODUCT((Q6:Q13&gt;0)*(K6:K13)),2)</f>
        <v>0.1</v>
      </c>
      <c r="R16" s="2029">
        <f>SUM(R6:R13)</f>
        <v>97287.329999999987</v>
      </c>
      <c r="S16" s="200">
        <f>SUM(S6:S13)</f>
        <v>682.75</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0.85299999999999998</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f>'数据-汇总表'!F19</f>
        <v>60917.47</v>
      </c>
      <c r="U21" s="2832">
        <v>0.5</v>
      </c>
      <c r="V21" s="2832">
        <f>T21*U21</f>
        <v>30458.735000000001</v>
      </c>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f>'数据-基础表'!A3*1.02-T21</f>
        <v>38315.606599999999</v>
      </c>
      <c r="U22" s="2832">
        <v>0.3</v>
      </c>
      <c r="V22" s="2832">
        <f>T22*U22</f>
        <v>11494.681979999999</v>
      </c>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f>V23/T21</f>
        <v>0.68869270145329409</v>
      </c>
      <c r="V23" s="2832">
        <f>V21+V22</f>
        <v>41953.416980000002</v>
      </c>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270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0.05</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7.75" thickBot="1">
      <c r="A40" s="3021" t="s">
        <v>3449</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8</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1152</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v>12</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v>10</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v>8</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v>6</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61" t="s">
        <v>1198</v>
      </c>
      <c r="B1" s="3762"/>
      <c r="C1" s="3762"/>
      <c r="D1" s="3762"/>
      <c r="E1" s="3762"/>
      <c r="F1" s="3762"/>
      <c r="G1" s="376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44965</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07" t="str">
        <f>项目基本情况!K2</f>
        <v>出让国有建设用地使用权</v>
      </c>
      <c r="B2" s="3808"/>
      <c r="C2" s="3809"/>
      <c r="D2" s="3809"/>
      <c r="E2" s="3809"/>
      <c r="F2" s="3809"/>
      <c r="G2" s="3808"/>
      <c r="H2" s="3808"/>
      <c r="I2" s="3810"/>
      <c r="J2" s="1753"/>
      <c r="K2" s="1752"/>
      <c r="L2" s="1752"/>
      <c r="M2" s="1752"/>
      <c r="N2" s="1752"/>
      <c r="O2" s="1752"/>
      <c r="P2" s="1752"/>
      <c r="Q2" s="1752"/>
      <c r="R2" s="1752"/>
      <c r="S2" s="1752"/>
      <c r="T2" s="1752"/>
      <c r="U2" s="1752"/>
      <c r="V2" s="1752"/>
    </row>
    <row r="3" spans="1:22" ht="14.25">
      <c r="A3" s="3800" t="s">
        <v>264</v>
      </c>
      <c r="B3" s="3801"/>
      <c r="C3" s="3801"/>
      <c r="D3" s="3801"/>
      <c r="E3" s="3801"/>
      <c r="F3" s="3801"/>
      <c r="G3" s="3801"/>
      <c r="H3" s="3801"/>
      <c r="I3" s="3801"/>
      <c r="J3" s="1753"/>
      <c r="K3" s="1752"/>
      <c r="L3" s="1752"/>
      <c r="M3" s="1752"/>
      <c r="N3" s="1752"/>
      <c r="O3" s="1752"/>
      <c r="P3" s="1752"/>
      <c r="Q3" s="1752"/>
      <c r="R3" s="1752"/>
      <c r="S3" s="1752"/>
      <c r="T3" s="1752"/>
      <c r="U3" s="1752"/>
      <c r="V3" s="1752"/>
    </row>
    <row r="4" spans="1:22" ht="14.25">
      <c r="A4" s="249" t="s">
        <v>265</v>
      </c>
      <c r="B4" s="250" t="s">
        <v>266</v>
      </c>
      <c r="C4" s="251" t="s">
        <v>3455</v>
      </c>
      <c r="D4" s="251" t="s">
        <v>3456</v>
      </c>
      <c r="E4" s="3766" t="s">
        <v>267</v>
      </c>
      <c r="F4" s="3767"/>
      <c r="G4" s="3767"/>
      <c r="H4" s="3767"/>
      <c r="I4" s="3802"/>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65" t="s">
        <v>268</v>
      </c>
      <c r="B5" s="3794">
        <v>25</v>
      </c>
      <c r="C5" s="3792"/>
      <c r="D5" s="3796"/>
      <c r="E5" s="252" t="s">
        <v>269</v>
      </c>
      <c r="F5" s="253"/>
      <c r="G5" s="253"/>
      <c r="H5" s="253"/>
      <c r="I5" s="254"/>
      <c r="J5" s="1753"/>
      <c r="K5" s="1752"/>
      <c r="L5" s="1752"/>
      <c r="M5" s="1752"/>
      <c r="N5" s="1752"/>
      <c r="O5" s="1752"/>
      <c r="P5" s="1752"/>
      <c r="Q5" s="1752"/>
      <c r="R5" s="1752"/>
      <c r="S5" s="1752"/>
      <c r="T5" s="1752"/>
      <c r="U5" s="1752"/>
      <c r="V5" s="1752"/>
    </row>
    <row r="6" spans="1:22" ht="14.25">
      <c r="A6" s="3765"/>
      <c r="B6" s="3794"/>
      <c r="C6" s="3795"/>
      <c r="D6" s="3796"/>
      <c r="E6" s="252" t="s">
        <v>270</v>
      </c>
      <c r="F6" s="253"/>
      <c r="G6" s="253"/>
      <c r="H6" s="253"/>
      <c r="I6" s="254"/>
      <c r="J6" s="1753"/>
      <c r="K6" s="1752"/>
      <c r="L6" s="1752"/>
      <c r="M6" s="1752"/>
      <c r="N6" s="1752"/>
      <c r="O6" s="1752"/>
      <c r="P6" s="1752"/>
      <c r="Q6" s="1752"/>
      <c r="R6" s="1752"/>
      <c r="S6" s="1752"/>
      <c r="T6" s="1752"/>
      <c r="U6" s="1752"/>
      <c r="V6" s="1752"/>
    </row>
    <row r="7" spans="1:22" ht="14.25">
      <c r="A7" s="3765"/>
      <c r="B7" s="3794"/>
      <c r="C7" s="3793"/>
      <c r="D7" s="3796"/>
      <c r="E7" s="252" t="s">
        <v>271</v>
      </c>
      <c r="F7" s="253"/>
      <c r="G7" s="253"/>
      <c r="H7" s="253"/>
      <c r="I7" s="254"/>
      <c r="J7" s="1753"/>
      <c r="K7" s="1752"/>
      <c r="L7" s="1752"/>
      <c r="M7" s="1752"/>
      <c r="N7" s="1752"/>
      <c r="O7" s="1752"/>
      <c r="P7" s="1752"/>
      <c r="Q7" s="1752"/>
      <c r="R7" s="1752"/>
      <c r="S7" s="1752"/>
      <c r="T7" s="1752"/>
      <c r="U7" s="1752"/>
      <c r="V7" s="1752"/>
    </row>
    <row r="8" spans="1:22" ht="14.25">
      <c r="A8" s="3765" t="s">
        <v>272</v>
      </c>
      <c r="B8" s="3794">
        <v>15</v>
      </c>
      <c r="C8" s="3792"/>
      <c r="D8" s="3796"/>
      <c r="E8" s="252" t="s">
        <v>273</v>
      </c>
      <c r="F8" s="253"/>
      <c r="G8" s="253"/>
      <c r="H8" s="253"/>
      <c r="I8" s="254"/>
      <c r="J8" s="1753"/>
      <c r="K8" s="1752"/>
      <c r="L8" s="1752"/>
      <c r="M8" s="1752"/>
      <c r="N8" s="1752"/>
      <c r="O8" s="1752"/>
      <c r="P8" s="1752"/>
      <c r="Q8" s="1752"/>
      <c r="R8" s="1752"/>
      <c r="S8" s="1752"/>
      <c r="T8" s="1752"/>
      <c r="U8" s="1752"/>
      <c r="V8" s="1752"/>
    </row>
    <row r="9" spans="1:22" ht="14.25">
      <c r="A9" s="3765"/>
      <c r="B9" s="3794"/>
      <c r="C9" s="3793"/>
      <c r="D9" s="3796"/>
      <c r="E9" s="252" t="s">
        <v>274</v>
      </c>
      <c r="F9" s="253"/>
      <c r="G9" s="253"/>
      <c r="H9" s="253"/>
      <c r="I9" s="254"/>
      <c r="J9" s="1753"/>
      <c r="K9" s="1752"/>
      <c r="L9" s="1752"/>
      <c r="M9" s="1752"/>
      <c r="N9" s="1752"/>
      <c r="O9" s="1752"/>
      <c r="P9" s="1752"/>
      <c r="Q9" s="1752"/>
      <c r="R9" s="1752"/>
      <c r="S9" s="1752"/>
      <c r="T9" s="1752"/>
      <c r="U9" s="1752"/>
      <c r="V9" s="1752"/>
    </row>
    <row r="10" spans="1:22" ht="14.25">
      <c r="A10" s="3765" t="s">
        <v>275</v>
      </c>
      <c r="B10" s="3794">
        <v>15</v>
      </c>
      <c r="C10" s="3792"/>
      <c r="D10" s="3796"/>
      <c r="E10" s="252" t="s">
        <v>276</v>
      </c>
      <c r="F10" s="253"/>
      <c r="G10" s="253"/>
      <c r="H10" s="253"/>
      <c r="I10" s="254"/>
      <c r="J10" s="1753"/>
      <c r="K10" s="1752"/>
      <c r="L10" s="1752"/>
      <c r="M10" s="1752"/>
      <c r="N10" s="1752"/>
      <c r="O10" s="1752"/>
      <c r="P10" s="1752"/>
      <c r="Q10" s="1752"/>
      <c r="R10" s="1752"/>
      <c r="S10" s="1752"/>
      <c r="T10" s="1752"/>
      <c r="U10" s="1752"/>
      <c r="V10" s="1752"/>
    </row>
    <row r="11" spans="1:22" ht="14.25">
      <c r="A11" s="3765"/>
      <c r="B11" s="3794"/>
      <c r="C11" s="3793"/>
      <c r="D11" s="3796"/>
      <c r="E11" s="252" t="s">
        <v>277</v>
      </c>
      <c r="F11" s="253"/>
      <c r="G11" s="253"/>
      <c r="H11" s="253"/>
      <c r="I11" s="254"/>
      <c r="J11" s="1753"/>
      <c r="K11" s="1752"/>
      <c r="L11" s="1752"/>
      <c r="M11" s="1752"/>
      <c r="N11" s="1752"/>
      <c r="O11" s="1752"/>
      <c r="P11" s="1752"/>
      <c r="Q11" s="1752"/>
      <c r="R11" s="1752"/>
      <c r="S11" s="1752"/>
      <c r="T11" s="1752"/>
      <c r="U11" s="1752"/>
      <c r="V11" s="1752"/>
    </row>
    <row r="12" spans="1:22" ht="14.25">
      <c r="A12" s="3765" t="s">
        <v>278</v>
      </c>
      <c r="B12" s="3794">
        <v>15</v>
      </c>
      <c r="C12" s="3792"/>
      <c r="D12" s="3796"/>
      <c r="E12" s="252" t="s">
        <v>279</v>
      </c>
      <c r="F12" s="253"/>
      <c r="G12" s="253"/>
      <c r="H12" s="253"/>
      <c r="I12" s="254"/>
      <c r="J12" s="1753"/>
      <c r="K12" s="1752"/>
      <c r="L12" s="1752"/>
      <c r="M12" s="1752"/>
      <c r="N12" s="1752"/>
      <c r="O12" s="1752"/>
      <c r="P12" s="1752"/>
      <c r="Q12" s="1752"/>
      <c r="R12" s="1752"/>
      <c r="S12" s="1752"/>
      <c r="T12" s="1752"/>
      <c r="U12" s="1752"/>
      <c r="V12" s="1752"/>
    </row>
    <row r="13" spans="1:22" ht="14.25">
      <c r="A13" s="3765"/>
      <c r="B13" s="3794"/>
      <c r="C13" s="3793"/>
      <c r="D13" s="3796"/>
      <c r="E13" s="252" t="s">
        <v>280</v>
      </c>
      <c r="F13" s="253"/>
      <c r="G13" s="253"/>
      <c r="H13" s="253"/>
      <c r="I13" s="254"/>
      <c r="J13" s="1753"/>
      <c r="K13" s="1752"/>
      <c r="L13" s="1752"/>
      <c r="M13" s="1752"/>
      <c r="N13" s="1752"/>
      <c r="O13" s="1752"/>
      <c r="P13" s="1752"/>
      <c r="Q13" s="1752"/>
      <c r="R13" s="1752"/>
      <c r="S13" s="1752"/>
      <c r="T13" s="1752"/>
      <c r="U13" s="1752"/>
      <c r="V13" s="1752"/>
    </row>
    <row r="14" spans="1:22" ht="14.25">
      <c r="A14" s="3765" t="s">
        <v>281</v>
      </c>
      <c r="B14" s="3794">
        <v>30</v>
      </c>
      <c r="C14" s="3792">
        <v>5</v>
      </c>
      <c r="D14" s="3796">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65"/>
      <c r="B15" s="3794"/>
      <c r="C15" s="3795"/>
      <c r="D15" s="3796"/>
      <c r="E15" s="252" t="s">
        <v>283</v>
      </c>
      <c r="F15" s="253"/>
      <c r="G15" s="253"/>
      <c r="H15" s="253"/>
      <c r="I15" s="254"/>
      <c r="J15" s="1753"/>
      <c r="K15" s="1752"/>
      <c r="L15" s="1752"/>
      <c r="M15" s="1752"/>
      <c r="N15" s="1752"/>
      <c r="O15" s="1752"/>
      <c r="P15" s="1752"/>
      <c r="Q15" s="1752"/>
      <c r="R15" s="1752"/>
      <c r="S15" s="1752"/>
      <c r="T15" s="1752"/>
      <c r="U15" s="1752"/>
      <c r="V15" s="1752"/>
    </row>
    <row r="16" spans="1:22" ht="14.25">
      <c r="A16" s="3765"/>
      <c r="B16" s="3794"/>
      <c r="C16" s="3793"/>
      <c r="D16" s="3796"/>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797" t="s">
        <v>2254</v>
      </c>
      <c r="F18" s="3798"/>
      <c r="G18" s="3798"/>
      <c r="H18" s="3798"/>
      <c r="I18" s="3798"/>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3133</v>
      </c>
      <c r="D19" s="262">
        <f ca="1">SUMIF(INDIRECT("'"&amp;D4&amp;"'"&amp;"!A:A"),结果表!B19,INDIRECT("'"&amp;D4&amp;"'"&amp;"!B:B"))</f>
        <v>3286</v>
      </c>
      <c r="E19" s="259" t="s">
        <v>289</v>
      </c>
      <c r="F19" s="260" t="s">
        <v>288</v>
      </c>
      <c r="G19" s="263">
        <f ca="1">ROUND(C19*$C$18+D19*$D$18,0)</f>
        <v>3210</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509</v>
      </c>
      <c r="D20" s="268">
        <f ca="1">SUMIF(INDIRECT("'"&amp;D4&amp;"'"&amp;"!A:A"),结果表!B20,INDIRECT("'"&amp;D4&amp;"'"&amp;"!B:B"))</f>
        <v>533</v>
      </c>
      <c r="E20" s="265"/>
      <c r="F20" s="266" t="s">
        <v>291</v>
      </c>
      <c r="G20" s="269">
        <f ca="1">ROUND(C20*$C$18+D20*$D$18,0)</f>
        <v>521</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322</v>
      </c>
      <c r="D21" s="144">
        <f ca="1">SUMIF(INDIRECT("'"&amp;D4&amp;"'"&amp;"!A:A"),结果表!B21,INDIRECT("'"&amp;D4&amp;"'"&amp;"!B:B"))</f>
        <v>338</v>
      </c>
      <c r="E21" s="265"/>
      <c r="F21" s="271" t="s">
        <v>293</v>
      </c>
      <c r="G21" s="273">
        <f ca="1">ROUND(C21*$C$18+D21*$D$18,0)</f>
        <v>330</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4.8834982444941E-2</v>
      </c>
      <c r="E22" s="275"/>
      <c r="F22" s="276"/>
      <c r="G22" s="277">
        <f ca="1">ROUND(G19/('数据-汇总表'!D3/666.67),0)</f>
        <v>22</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72"/>
      <c r="B25" s="1190" t="s">
        <v>297</v>
      </c>
      <c r="C25" s="281">
        <f>IF(B30=0,0,C30)</f>
        <v>0</v>
      </c>
      <c r="D25" s="282"/>
      <c r="E25" s="302"/>
      <c r="F25" s="302"/>
      <c r="G25" s="302"/>
      <c r="H25" s="302"/>
      <c r="I25" s="302"/>
      <c r="J25" s="1752"/>
      <c r="K25" s="1124" t="str">
        <f ca="1">项目基本情况!A17&amp;"国有建设用地使用权价格："&amp;O38&amp;"万元"</f>
        <v>出让国有建设用地使用权价格：3210万元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大写金额：人民币叁仟贰佰壹拾万元整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单位面积地价：330元/平方米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楼面地价：521元/平方米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799" t="s">
        <v>2256</v>
      </c>
      <c r="B31" s="3799"/>
      <c r="C31" s="3799"/>
      <c r="D31" s="3799"/>
      <c r="E31" s="3799"/>
      <c r="F31" s="3799"/>
      <c r="G31" s="3799"/>
      <c r="H31" s="3799"/>
      <c r="I31" s="379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3210</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521</v>
      </c>
      <c r="D33" s="1240" t="s">
        <v>1224</v>
      </c>
      <c r="E33" s="377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330</v>
      </c>
      <c r="D34" s="1242" t="s">
        <v>1224</v>
      </c>
      <c r="E34" s="381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22</v>
      </c>
      <c r="D35" s="1245" t="s">
        <v>1226</v>
      </c>
      <c r="E35" s="3816"/>
      <c r="F35" s="292" t="s">
        <v>308</v>
      </c>
      <c r="G35" s="944"/>
      <c r="H35" s="943" t="s">
        <v>309</v>
      </c>
      <c r="I35" s="302"/>
      <c r="J35" s="1752"/>
      <c r="K35" s="3789" t="s">
        <v>316</v>
      </c>
      <c r="L35" s="3789" t="s">
        <v>317</v>
      </c>
      <c r="M35" s="1133" t="s">
        <v>318</v>
      </c>
      <c r="N35" s="3789" t="s">
        <v>319</v>
      </c>
      <c r="O35" s="3789" t="s">
        <v>320</v>
      </c>
      <c r="P35" s="1752"/>
      <c r="V35" s="1752"/>
    </row>
    <row r="36" spans="1:26" ht="16.5" customHeight="1">
      <c r="A36" s="294" t="s">
        <v>310</v>
      </c>
      <c r="B36" s="295" t="s">
        <v>299</v>
      </c>
      <c r="C36" s="296" t="s">
        <v>311</v>
      </c>
      <c r="D36" s="296" t="s">
        <v>312</v>
      </c>
      <c r="E36" s="297" t="s">
        <v>313</v>
      </c>
      <c r="F36" s="302"/>
      <c r="G36" s="302"/>
      <c r="H36" s="302"/>
      <c r="I36" s="302"/>
      <c r="J36" s="1754"/>
      <c r="K36" s="3790"/>
      <c r="L36" s="3790"/>
      <c r="M36" s="1135" t="s">
        <v>321</v>
      </c>
      <c r="N36" s="3790"/>
      <c r="O36" s="3790"/>
      <c r="P36" s="1752"/>
      <c r="V36" s="1752"/>
    </row>
    <row r="37" spans="1:26" ht="16.5" customHeight="1" thickBot="1">
      <c r="A37" s="1129" t="s">
        <v>314</v>
      </c>
      <c r="B37" s="298"/>
      <c r="C37" s="285"/>
      <c r="D37" s="285"/>
      <c r="E37" s="286"/>
      <c r="F37" s="302"/>
      <c r="G37" s="302"/>
      <c r="H37" s="302"/>
      <c r="I37" s="302"/>
      <c r="J37" s="1754"/>
      <c r="K37" s="3791"/>
      <c r="L37" s="3791"/>
      <c r="M37" s="1136"/>
      <c r="N37" s="3791"/>
      <c r="O37" s="3791"/>
      <c r="P37" s="1752"/>
      <c r="V37" s="1752"/>
    </row>
    <row r="38" spans="1:26" ht="16.5" customHeight="1" thickBot="1">
      <c r="A38" s="1129" t="s">
        <v>315</v>
      </c>
      <c r="B38" s="298"/>
      <c r="C38" s="285"/>
      <c r="D38" s="285"/>
      <c r="E38" s="286"/>
      <c r="F38" s="302"/>
      <c r="G38" s="302"/>
      <c r="H38" s="302"/>
      <c r="I38" s="302"/>
      <c r="J38" s="1754"/>
      <c r="K38" s="1137">
        <f>'数据-汇总表'!D3</f>
        <v>97287.33</v>
      </c>
      <c r="L38" s="1138">
        <f>'数据-汇总表'!E3</f>
        <v>61600.22</v>
      </c>
      <c r="M38" s="1138">
        <f ca="1">C34</f>
        <v>330</v>
      </c>
      <c r="N38" s="1138">
        <f ca="1">C33</f>
        <v>521</v>
      </c>
      <c r="O38" s="1139">
        <f ca="1">C32</f>
        <v>3210</v>
      </c>
      <c r="P38" s="1752"/>
      <c r="V38" s="1752"/>
    </row>
    <row r="39" spans="1:26" ht="16.5" customHeight="1" thickBot="1">
      <c r="A39" s="1134"/>
      <c r="B39" s="299"/>
      <c r="C39" s="300"/>
      <c r="D39" s="300"/>
      <c r="E39" s="301"/>
      <c r="F39" s="302"/>
      <c r="G39" s="302"/>
      <c r="H39" s="302"/>
      <c r="I39" s="302"/>
      <c r="J39" s="1754"/>
      <c r="K39" s="3829" t="str">
        <f>MID(A44,3,LEN(A44)-2)</f>
        <v/>
      </c>
      <c r="L39" s="3830"/>
      <c r="M39" s="3830"/>
      <c r="N39" s="3831"/>
      <c r="O39" s="1247" t="str">
        <f>C44</f>
        <v>——</v>
      </c>
      <c r="P39" s="1752"/>
      <c r="V39" s="1752"/>
    </row>
    <row r="40" spans="1:26" ht="19.5" thickBot="1">
      <c r="A40" s="100" t="s">
        <v>810</v>
      </c>
      <c r="B40" s="302"/>
      <c r="C40" s="302"/>
      <c r="D40" s="302"/>
      <c r="E40" s="302"/>
      <c r="F40" s="302"/>
      <c r="G40" s="302"/>
      <c r="H40" s="302"/>
      <c r="I40" s="302"/>
      <c r="J40" s="1754"/>
      <c r="K40" s="3829" t="str">
        <f>MID(A45,3,LEN(A45)-2)</f>
        <v/>
      </c>
      <c r="L40" s="3830"/>
      <c r="M40" s="3830"/>
      <c r="N40" s="3831"/>
      <c r="O40" s="1247" t="str">
        <f>C45</f>
        <v>——</v>
      </c>
      <c r="P40" s="1752"/>
      <c r="V40" s="1752"/>
    </row>
    <row r="41" spans="1:26" ht="16.5" thickBot="1">
      <c r="A41" s="303" t="s">
        <v>322</v>
      </c>
      <c r="B41" s="304"/>
      <c r="C41" s="305" t="s">
        <v>323</v>
      </c>
      <c r="D41" s="306" t="s">
        <v>324</v>
      </c>
      <c r="E41" s="306" t="s">
        <v>325</v>
      </c>
      <c r="F41" s="307" t="s">
        <v>326</v>
      </c>
      <c r="G41" s="302"/>
      <c r="H41" s="302"/>
      <c r="I41" s="302"/>
      <c r="J41" s="1754"/>
      <c r="K41" s="3829" t="str">
        <f>MID(A46,3,LEN(A46)-2)</f>
        <v/>
      </c>
      <c r="L41" s="3830"/>
      <c r="M41" s="3830"/>
      <c r="N41" s="3831"/>
      <c r="O41" s="1247" t="str">
        <f>C46</f>
        <v>——</v>
      </c>
      <c r="P41" s="1752"/>
      <c r="V41" s="1752"/>
    </row>
    <row r="42" spans="1:26" ht="29.25">
      <c r="A42" s="3773" t="s">
        <v>1585</v>
      </c>
      <c r="B42" s="3774"/>
      <c r="C42" s="255">
        <f ca="1">C32</f>
        <v>3210</v>
      </c>
      <c r="D42" s="308">
        <f ca="1">C33</f>
        <v>521</v>
      </c>
      <c r="E42" s="308">
        <f ca="1">C34</f>
        <v>330</v>
      </c>
      <c r="F42" s="309">
        <f ca="1">C35</f>
        <v>22</v>
      </c>
      <c r="G42" s="302"/>
      <c r="H42" s="302"/>
      <c r="I42" s="310"/>
      <c r="J42" s="1754"/>
      <c r="K42" s="1140" t="s">
        <v>327</v>
      </c>
      <c r="L42" s="1771" t="s">
        <v>328</v>
      </c>
      <c r="M42" s="1141" t="s">
        <v>329</v>
      </c>
      <c r="N42" s="1772" t="s">
        <v>330</v>
      </c>
      <c r="O42" s="1773" t="s">
        <v>331</v>
      </c>
      <c r="P42" s="1752"/>
      <c r="V42" s="1752"/>
    </row>
    <row r="43" spans="1:26" ht="18">
      <c r="A43" s="3784" t="s">
        <v>2012</v>
      </c>
      <c r="B43" s="3785"/>
      <c r="C43" s="255">
        <f>IF(H33="正常操作",G33+G34+G35,G34+G35)</f>
        <v>0</v>
      </c>
      <c r="D43" s="308" t="s">
        <v>17</v>
      </c>
      <c r="E43" s="308" t="s">
        <v>18</v>
      </c>
      <c r="F43" s="309" t="s">
        <v>18</v>
      </c>
      <c r="G43" s="2346" t="s">
        <v>877</v>
      </c>
      <c r="H43" s="302"/>
      <c r="I43" s="310"/>
      <c r="J43" s="1754"/>
      <c r="K43" s="1142" t="str">
        <f>C4</f>
        <v>比较法-工业</v>
      </c>
      <c r="L43" s="1143">
        <f ca="1">IF(L42="估价结果/万元",C19,C20)</f>
        <v>3133</v>
      </c>
      <c r="M43" s="1144">
        <f>C18</f>
        <v>0.5</v>
      </c>
      <c r="N43" s="1145">
        <f ca="1">IF(N42="测算结果/万元",G19,G20)</f>
        <v>3210</v>
      </c>
      <c r="O43" s="1146">
        <f ca="1">IF(O42="最终结果/万元",C32,C33)</f>
        <v>3210</v>
      </c>
      <c r="P43" s="1752"/>
      <c r="V43" s="1752"/>
    </row>
    <row r="44" spans="1:26" ht="30.75" thickBot="1">
      <c r="A44" s="3773" t="str">
        <f>IF(OR(项目基本情况!E8="抵押价格",项目基本情况!E8="已注销及未注销"),"3.抵押价格","——")</f>
        <v>——</v>
      </c>
      <c r="B44" s="3774"/>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剩余法-待开发</v>
      </c>
      <c r="L44" s="1148">
        <f ca="1">IF(L42="估价结果/万元",D19,D20)</f>
        <v>3286</v>
      </c>
      <c r="M44" s="1149">
        <f>D18</f>
        <v>0.5</v>
      </c>
      <c r="N44" s="1150"/>
      <c r="O44" s="1151"/>
      <c r="P44" s="1752"/>
      <c r="V44" s="1752"/>
    </row>
    <row r="45" spans="1:26" ht="15">
      <c r="A45" s="3779" t="str">
        <f>IF(项目基本情况!E8="已注销及未注销","4.抵押担保权已注销时的抵押价格",IF(项目基本情况!E8="已注销","3.抵押担保权已注销时的抵押价格","——"))</f>
        <v>——</v>
      </c>
      <c r="B45" s="378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75" t="str">
        <f>IF(项目基本情况!E9="抵押净值",IF(A45="——","4.抵押净值","5.抵押净值"),"——")</f>
        <v>——</v>
      </c>
      <c r="B46" s="377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23" t="s">
        <v>340</v>
      </c>
      <c r="B63" s="3824"/>
      <c r="C63" s="3825"/>
      <c r="D63" s="332">
        <f ca="1">ROUND(C42*F63,0)</f>
        <v>3210</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81" t="s">
        <v>344</v>
      </c>
      <c r="B64" s="3782"/>
      <c r="C64" s="3782"/>
      <c r="D64" s="3782"/>
      <c r="E64" s="3782"/>
      <c r="F64" s="3782"/>
      <c r="G64" s="378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77" t="s">
        <v>352</v>
      </c>
      <c r="B66" s="3778"/>
      <c r="C66" s="3778"/>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38" t="s">
        <v>351</v>
      </c>
      <c r="M66" s="3839"/>
      <c r="N66" s="2110"/>
      <c r="O66" s="2111"/>
      <c r="P66" s="2112"/>
      <c r="Q66" s="1752"/>
      <c r="R66" s="1752"/>
      <c r="S66" s="1752"/>
      <c r="T66" s="1752"/>
      <c r="U66" s="1752"/>
      <c r="V66" s="1752"/>
    </row>
    <row r="67" spans="1:22" ht="25.5" customHeight="1">
      <c r="A67" s="343" t="s">
        <v>355</v>
      </c>
      <c r="B67" s="3768" t="s">
        <v>356</v>
      </c>
      <c r="C67" s="3768"/>
      <c r="D67" s="344">
        <v>0</v>
      </c>
      <c r="E67" s="39" t="s">
        <v>357</v>
      </c>
      <c r="F67" s="60" t="s">
        <v>15</v>
      </c>
      <c r="G67" s="3826"/>
      <c r="H67" s="2749" t="s">
        <v>2257</v>
      </c>
      <c r="I67" s="2751"/>
      <c r="J67" s="1759"/>
      <c r="K67" s="1731">
        <v>2</v>
      </c>
      <c r="L67" s="3832" t="s">
        <v>354</v>
      </c>
      <c r="M67" s="3832"/>
      <c r="N67" s="1194">
        <f>'数据-取费表'!B2</f>
        <v>44965</v>
      </c>
      <c r="O67" s="1194"/>
      <c r="P67" s="1194"/>
      <c r="Q67" s="1752"/>
      <c r="R67" s="1752"/>
      <c r="S67" s="1752"/>
      <c r="T67" s="1752"/>
      <c r="U67" s="1752"/>
      <c r="V67" s="1752"/>
    </row>
    <row r="68" spans="1:22" ht="25.5" customHeight="1">
      <c r="A68" s="345"/>
      <c r="B68" s="3768" t="s">
        <v>359</v>
      </c>
      <c r="C68" s="3768"/>
      <c r="D68" s="346"/>
      <c r="E68" s="75"/>
      <c r="F68" s="347"/>
      <c r="G68" s="3827"/>
      <c r="H68" s="2750" t="s">
        <v>2258</v>
      </c>
      <c r="I68" s="2751"/>
      <c r="J68" s="1759"/>
      <c r="K68" s="1731">
        <v>3</v>
      </c>
      <c r="L68" s="3832" t="s">
        <v>358</v>
      </c>
      <c r="M68" s="3832"/>
      <c r="N68" s="1162">
        <f ca="1">C42</f>
        <v>3210</v>
      </c>
      <c r="O68" s="1162"/>
      <c r="P68" s="1162"/>
      <c r="Q68" s="1752"/>
      <c r="R68" s="1752"/>
      <c r="S68" s="1752"/>
      <c r="T68" s="1752"/>
      <c r="U68" s="1752"/>
      <c r="V68" s="1752"/>
    </row>
    <row r="69" spans="1:22" ht="23.45" customHeight="1">
      <c r="A69" s="348"/>
      <c r="B69" s="3768" t="s">
        <v>360</v>
      </c>
      <c r="C69" s="3768"/>
      <c r="D69" s="349"/>
      <c r="E69" s="71"/>
      <c r="F69" s="347"/>
      <c r="G69" s="3828"/>
      <c r="H69" s="2750" t="s">
        <v>2259</v>
      </c>
      <c r="I69" s="2751"/>
      <c r="J69" s="1759"/>
      <c r="K69" s="1163">
        <v>4</v>
      </c>
      <c r="L69" s="3842" t="s">
        <v>2157</v>
      </c>
      <c r="M69" s="3843"/>
      <c r="N69" s="1164" t="str">
        <f>C44</f>
        <v>——</v>
      </c>
      <c r="O69" s="1164"/>
      <c r="P69" s="1164"/>
      <c r="Q69" s="1752"/>
      <c r="R69" s="1752"/>
      <c r="S69" s="1752"/>
      <c r="T69" s="1752"/>
      <c r="U69" s="1752"/>
      <c r="V69" s="1752"/>
    </row>
    <row r="70" spans="1:22" ht="24" customHeight="1">
      <c r="A70" s="350" t="s">
        <v>361</v>
      </c>
      <c r="B70" s="3768" t="s">
        <v>362</v>
      </c>
      <c r="C70" s="3768"/>
      <c r="D70" s="349">
        <f ca="1">ROUND(D63*'数据-取费表'!B41/(1+'数据-取费表'!C42),0)</f>
        <v>168</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69" t="s">
        <v>2286</v>
      </c>
      <c r="C71" s="3770"/>
      <c r="D71" s="349">
        <f ca="1">ROUND(D63*'数据-取费表'!B41/(1+'数据-取费表'!C42),0)</f>
        <v>168</v>
      </c>
      <c r="E71" s="15" t="s">
        <v>363</v>
      </c>
      <c r="F71" s="351">
        <f>'数据-取费表'!B41</f>
        <v>5.5000000000000007E-2</v>
      </c>
      <c r="G71" s="352"/>
      <c r="H71" s="302"/>
      <c r="I71" s="1161"/>
      <c r="J71" s="1759"/>
      <c r="K71" s="2521" t="s">
        <v>364</v>
      </c>
      <c r="L71" s="3844" t="s">
        <v>365</v>
      </c>
      <c r="M71" s="3844"/>
      <c r="N71" s="2521" t="s">
        <v>366</v>
      </c>
      <c r="O71" s="2521" t="s">
        <v>367</v>
      </c>
      <c r="P71" s="2521" t="s">
        <v>368</v>
      </c>
      <c r="Q71" s="1752"/>
      <c r="R71" s="1752"/>
      <c r="S71" s="1752"/>
      <c r="T71" s="1752"/>
      <c r="U71" s="1752"/>
      <c r="V71" s="1752"/>
    </row>
    <row r="72" spans="1:22" ht="12" customHeight="1">
      <c r="A72" s="350" t="s">
        <v>371</v>
      </c>
      <c r="B72" s="3769" t="s">
        <v>2287</v>
      </c>
      <c r="C72" s="3770"/>
      <c r="D72" s="349">
        <f ca="1">C86</f>
        <v>168</v>
      </c>
      <c r="E72" s="71" t="s">
        <v>372</v>
      </c>
      <c r="F72" s="351">
        <f>'数据-取费表'!B41</f>
        <v>5.5000000000000007E-2</v>
      </c>
      <c r="G72" s="352"/>
      <c r="H72" s="1167"/>
      <c r="I72" s="1161"/>
      <c r="J72" s="1759"/>
      <c r="K72" s="1731">
        <v>1</v>
      </c>
      <c r="L72" s="3819" t="s">
        <v>370</v>
      </c>
      <c r="M72" s="3819"/>
      <c r="N72" s="1165" t="b">
        <f>D66</f>
        <v>0</v>
      </c>
      <c r="O72" s="1636" t="str">
        <f>E66</f>
        <v>销售额×税（费）率</v>
      </c>
      <c r="P72" s="1166">
        <f>F66</f>
        <v>5.5000000000000007E-2</v>
      </c>
      <c r="Q72" s="1752"/>
      <c r="R72" s="1752"/>
      <c r="S72" s="1752"/>
      <c r="T72" s="1752"/>
      <c r="U72" s="1752"/>
      <c r="V72" s="1752"/>
    </row>
    <row r="73" spans="1:22" ht="24" customHeight="1">
      <c r="A73" s="3814" t="s">
        <v>374</v>
      </c>
      <c r="B73" s="3778"/>
      <c r="C73" s="3778"/>
      <c r="D73" s="353">
        <f ca="1">IF(H73="个人住宅",0,ROUND(D63*I73,0))</f>
        <v>2</v>
      </c>
      <c r="E73" s="15" t="s">
        <v>375</v>
      </c>
      <c r="F73" s="351" t="str">
        <f>IF(H73="正常",I73,"免征")</f>
        <v>免征</v>
      </c>
      <c r="G73" s="352"/>
      <c r="H73" s="184"/>
      <c r="I73" s="351">
        <f>'数据-取费表'!B49</f>
        <v>5.0000000000000001E-4</v>
      </c>
      <c r="J73" s="1759"/>
      <c r="K73" s="1731">
        <v>2</v>
      </c>
      <c r="L73" s="3819" t="s">
        <v>373</v>
      </c>
      <c r="M73" s="3819"/>
      <c r="N73" s="1165">
        <f t="shared" ref="N73:P74" ca="1" si="0">D73</f>
        <v>2</v>
      </c>
      <c r="O73" s="1636" t="str">
        <f t="shared" si="0"/>
        <v>销售额×税（费）率</v>
      </c>
      <c r="P73" s="1166" t="str">
        <f t="shared" si="0"/>
        <v>免征</v>
      </c>
      <c r="Q73" s="1752"/>
      <c r="R73" s="1752"/>
      <c r="S73" s="1752"/>
      <c r="T73" s="1752"/>
      <c r="U73" s="1752"/>
      <c r="V73" s="1752"/>
    </row>
    <row r="74" spans="1:22" ht="24.75">
      <c r="A74" s="3814" t="s">
        <v>377</v>
      </c>
      <c r="B74" s="3778"/>
      <c r="C74" s="3778"/>
      <c r="D74" s="353">
        <f ca="1">IF(H74="个人住宅",D75,D76)</f>
        <v>1820</v>
      </c>
      <c r="E74" s="15" t="s">
        <v>378</v>
      </c>
      <c r="F74" s="351" t="str">
        <f>IF(H74="正常",F76,"免征")</f>
        <v>免征</v>
      </c>
      <c r="G74" s="945" t="s">
        <v>379</v>
      </c>
      <c r="H74" s="354"/>
      <c r="I74" s="40"/>
      <c r="J74" s="1759"/>
      <c r="K74" s="1731">
        <v>3</v>
      </c>
      <c r="L74" s="3819" t="s">
        <v>376</v>
      </c>
      <c r="M74" s="3819"/>
      <c r="N74" s="1165">
        <f t="shared" ca="1" si="0"/>
        <v>1820</v>
      </c>
      <c r="O74" s="1636" t="str">
        <f t="shared" si="0"/>
        <v>增值额×税（费）率</v>
      </c>
      <c r="P74" s="1168" t="str">
        <f t="shared" si="0"/>
        <v>免征</v>
      </c>
      <c r="Q74" s="1752"/>
      <c r="R74" s="1752"/>
      <c r="S74" s="1752"/>
      <c r="T74" s="1752"/>
      <c r="U74" s="1752"/>
      <c r="V74" s="1752"/>
    </row>
    <row r="75" spans="1:22" ht="12.75">
      <c r="A75" s="350" t="s">
        <v>380</v>
      </c>
      <c r="B75" s="3766" t="s">
        <v>381</v>
      </c>
      <c r="C75" s="3802"/>
      <c r="D75" s="355">
        <v>0</v>
      </c>
      <c r="E75" s="39" t="s">
        <v>382</v>
      </c>
      <c r="F75" s="356"/>
      <c r="G75" s="352"/>
      <c r="H75" s="40"/>
      <c r="I75" s="40"/>
      <c r="J75" s="1759"/>
      <c r="K75" s="2515">
        <f>IF(H77="非个人房产","",4)</f>
        <v>4</v>
      </c>
      <c r="L75" s="3819" t="str">
        <f>IF(H77="非个人房产","——","个人所得税")</f>
        <v>个人所得税</v>
      </c>
      <c r="M75" s="3819"/>
      <c r="N75" s="1169">
        <f>D77</f>
        <v>0</v>
      </c>
      <c r="O75" s="1637" t="str">
        <f>E77</f>
        <v>差额计税</v>
      </c>
      <c r="P75" s="1170">
        <f>F77</f>
        <v>0.01</v>
      </c>
      <c r="Q75" s="1752"/>
      <c r="R75" s="1752"/>
      <c r="S75" s="1752"/>
      <c r="T75" s="1752"/>
      <c r="U75" s="1752"/>
      <c r="V75" s="1752"/>
    </row>
    <row r="76" spans="1:22" ht="24.75">
      <c r="A76" s="350" t="s">
        <v>361</v>
      </c>
      <c r="B76" s="3766" t="s">
        <v>384</v>
      </c>
      <c r="C76" s="3767"/>
      <c r="D76" s="353">
        <f ca="1">IF(H76="转让取得",C99,C115)</f>
        <v>1820</v>
      </c>
      <c r="E76" s="15" t="s">
        <v>385</v>
      </c>
      <c r="F76" s="51" t="s">
        <v>15</v>
      </c>
      <c r="G76" s="352"/>
      <c r="H76" s="354"/>
      <c r="I76" s="40"/>
      <c r="J76" s="1759"/>
      <c r="K76" s="2515" t="str">
        <f>IF(项目基本情况!K6="上海银行",IF(K75="",4,K75+1),"")</f>
        <v/>
      </c>
      <c r="L76" s="3834" t="str">
        <f>IF(项目基本情况!K6="上海银行","其他处置费用","")</f>
        <v/>
      </c>
      <c r="M76" s="3835"/>
      <c r="N76" s="1165" t="str">
        <f>IF(项目基本情况!K6="上海银行",N89,"")</f>
        <v/>
      </c>
      <c r="O76" s="3836" t="str">
        <f>IF(项目基本情况!K6="上海银行","包含处置中涉及的律师、诉讼、拍卖、评估等费用","")</f>
        <v/>
      </c>
      <c r="P76" s="3837"/>
      <c r="Q76" s="1752"/>
      <c r="R76" s="1752"/>
      <c r="S76" s="1752"/>
      <c r="T76" s="1752"/>
      <c r="U76" s="1752"/>
      <c r="V76" s="1752"/>
    </row>
    <row r="77" spans="1:22" ht="24.75" thickBot="1">
      <c r="A77" s="3821" t="s">
        <v>387</v>
      </c>
      <c r="B77" s="3822"/>
      <c r="C77" s="382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20">
        <f>IF(AND(K75="",K76=""),4,IF(项目基本情况!K6="上海银行",K76+1,K75+1))</f>
        <v>5</v>
      </c>
      <c r="L77" s="3819" t="s">
        <v>2158</v>
      </c>
      <c r="M77" s="2520" t="s">
        <v>383</v>
      </c>
      <c r="N77" s="1171"/>
      <c r="O77" s="1172">
        <f ca="1">SUMIF(N72:N76,"&lt;9e307")</f>
        <v>1822</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20"/>
      <c r="L78" s="3819"/>
      <c r="M78" s="2520" t="s">
        <v>386</v>
      </c>
      <c r="N78" s="1171"/>
      <c r="O78" s="1172" t="str">
        <f ca="1">NUMBERSTRING(INT(O77*10000),2)&amp;"元整"</f>
        <v>壹仟捌佰贰拾贰万元整</v>
      </c>
      <c r="P78" s="1173"/>
      <c r="Q78" s="1752"/>
      <c r="R78" s="1752"/>
      <c r="S78" s="1752"/>
      <c r="T78" s="1752"/>
      <c r="U78" s="1752"/>
      <c r="V78" s="1752"/>
    </row>
    <row r="79" spans="1:22" ht="13.5" thickBot="1">
      <c r="A79" s="3786" t="s">
        <v>388</v>
      </c>
      <c r="B79" s="3786"/>
      <c r="C79" s="3786"/>
      <c r="D79" s="3786"/>
      <c r="E79" s="3786"/>
      <c r="F79" s="40"/>
      <c r="G79" s="40"/>
      <c r="H79" s="965"/>
      <c r="I79" s="302"/>
      <c r="J79" s="1759"/>
      <c r="K79" s="3840">
        <f>K77+1</f>
        <v>6</v>
      </c>
      <c r="L79" s="3819" t="s">
        <v>2159</v>
      </c>
      <c r="M79" s="2520" t="s">
        <v>383</v>
      </c>
      <c r="N79" s="1171"/>
      <c r="O79" s="1172" t="e">
        <f ca="1">N69-O77</f>
        <v>#VALUE!</v>
      </c>
      <c r="P79" s="1173"/>
      <c r="Q79" s="1752"/>
      <c r="R79" s="1752"/>
      <c r="S79" s="1752"/>
      <c r="T79" s="1752"/>
      <c r="U79" s="1752"/>
      <c r="V79" s="1752"/>
    </row>
    <row r="80" spans="1:22" ht="12.75">
      <c r="A80" s="3787" t="s">
        <v>389</v>
      </c>
      <c r="B80" s="3788"/>
      <c r="C80" s="956"/>
      <c r="D80" s="956" t="s">
        <v>390</v>
      </c>
      <c r="E80" s="357" t="s">
        <v>391</v>
      </c>
      <c r="F80" s="40"/>
      <c r="G80" s="40"/>
      <c r="H80" s="965"/>
      <c r="I80" s="302"/>
      <c r="J80" s="1752"/>
      <c r="K80" s="3841"/>
      <c r="L80" s="3819"/>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3057</v>
      </c>
      <c r="D81" s="360"/>
      <c r="E81" s="361"/>
      <c r="F81" s="40"/>
      <c r="G81" s="40"/>
      <c r="H81" s="965"/>
      <c r="I81" s="302"/>
      <c r="J81" s="1752"/>
      <c r="K81" s="2515">
        <f>K79+1</f>
        <v>7</v>
      </c>
      <c r="L81" s="3817" t="s">
        <v>2160</v>
      </c>
      <c r="M81" s="3818"/>
      <c r="N81" s="1175"/>
      <c r="O81" s="1176" t="e">
        <f ca="1">ROUND(O79*10000/'数据-汇总表'!E3,0)</f>
        <v>#VALUE!</v>
      </c>
      <c r="P81" s="1177"/>
      <c r="Q81" s="1752"/>
      <c r="R81" s="1752"/>
      <c r="S81" s="1752"/>
      <c r="T81" s="1752"/>
      <c r="U81" s="1752"/>
      <c r="V81" s="1752"/>
    </row>
    <row r="82" spans="1:26" ht="13.5" thickTop="1">
      <c r="A82" s="362" t="s">
        <v>1353</v>
      </c>
      <c r="B82" s="363" t="s">
        <v>393</v>
      </c>
      <c r="C82" s="364">
        <f ca="1">D63</f>
        <v>3210</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33"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33"/>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3057</v>
      </c>
      <c r="D85" s="365" t="s">
        <v>13</v>
      </c>
      <c r="E85" s="366"/>
      <c r="F85" s="40"/>
      <c r="G85" s="40"/>
      <c r="H85" s="965"/>
      <c r="I85" s="302"/>
      <c r="J85" s="1752"/>
      <c r="K85" s="3833"/>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168</v>
      </c>
      <c r="D86" s="376">
        <f>'数据-取费表'!B41</f>
        <v>5.5000000000000007E-2</v>
      </c>
      <c r="E86" s="377"/>
      <c r="F86" s="40"/>
      <c r="G86" s="40"/>
      <c r="H86" s="965"/>
      <c r="I86" s="302"/>
      <c r="J86" s="1752"/>
      <c r="K86" s="3833"/>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33"/>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12" t="s">
        <v>398</v>
      </c>
      <c r="B88" s="3813"/>
      <c r="C88" s="3813"/>
      <c r="D88" s="3813"/>
      <c r="E88" s="3813"/>
      <c r="F88" s="3813"/>
      <c r="G88" s="3813"/>
      <c r="H88" s="3813"/>
      <c r="I88" s="1184"/>
      <c r="J88" s="1760"/>
      <c r="K88" s="3833"/>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87" t="s">
        <v>389</v>
      </c>
      <c r="B89" s="3788"/>
      <c r="C89" s="956"/>
      <c r="D89" s="956" t="s">
        <v>390</v>
      </c>
      <c r="E89" s="378" t="s">
        <v>399</v>
      </c>
      <c r="F89" s="379"/>
      <c r="G89" s="379"/>
      <c r="H89" s="380"/>
      <c r="I89" s="1185"/>
      <c r="J89" s="1762"/>
      <c r="K89" s="3833"/>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3057</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15</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69" t="s">
        <v>407</v>
      </c>
      <c r="F94" s="3768"/>
      <c r="G94" s="3768"/>
      <c r="H94" s="381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15</v>
      </c>
      <c r="D96" s="393">
        <f>'数据-取费表'!B43</f>
        <v>5.000000000000001E-3</v>
      </c>
      <c r="E96" s="3803" t="s">
        <v>1780</v>
      </c>
      <c r="F96" s="3804"/>
      <c r="G96" s="3804"/>
      <c r="H96" s="380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3042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202.8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1820</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12" t="s">
        <v>414</v>
      </c>
      <c r="B101" s="3813"/>
      <c r="C101" s="3813"/>
      <c r="D101" s="3813"/>
      <c r="E101" s="3813"/>
      <c r="F101" s="3813"/>
      <c r="G101" s="3813"/>
      <c r="H101" s="381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87" t="s">
        <v>389</v>
      </c>
      <c r="B102" s="378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3057</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15</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63" t="s">
        <v>2252</v>
      </c>
      <c r="H108" s="3764"/>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06" t="s">
        <v>422</v>
      </c>
      <c r="F109" s="3804"/>
      <c r="G109" s="380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06" t="s">
        <v>424</v>
      </c>
      <c r="F110" s="3804"/>
      <c r="G110" s="3804"/>
      <c r="H110" s="3805"/>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15</v>
      </c>
      <c r="D111" s="393">
        <f>'数据-取费表'!B43</f>
        <v>5.000000000000001E-3</v>
      </c>
      <c r="E111" s="3803" t="s">
        <v>1780</v>
      </c>
      <c r="F111" s="3804"/>
      <c r="G111" s="3804"/>
      <c r="H111" s="380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06" t="s">
        <v>1799</v>
      </c>
      <c r="F112" s="3804"/>
      <c r="G112" s="3804"/>
      <c r="H112" s="380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3042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202.8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1820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E47" sqref="E4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3133</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f>ROUND(B2*10000/'数据-汇总表'!E3,0)</f>
        <v>509</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322</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21</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1" t="s">
        <v>471</v>
      </c>
      <c r="D6" s="3862"/>
      <c r="E6" s="3863" t="s">
        <v>472</v>
      </c>
      <c r="F6" s="3864"/>
      <c r="G6" s="3861" t="s">
        <v>473</v>
      </c>
      <c r="H6" s="3862"/>
      <c r="I6" s="3861" t="s">
        <v>474</v>
      </c>
      <c r="J6" s="3862"/>
      <c r="K6" s="484" t="s">
        <v>475</v>
      </c>
      <c r="L6" s="1856"/>
      <c r="M6" s="1857"/>
      <c r="N6" s="1857"/>
      <c r="O6" s="1857"/>
      <c r="P6" s="3865" t="s">
        <v>476</v>
      </c>
      <c r="Q6" s="3866"/>
      <c r="R6" s="3847" t="s">
        <v>472</v>
      </c>
      <c r="S6" s="3848"/>
      <c r="T6" s="3847" t="s">
        <v>473</v>
      </c>
      <c r="U6" s="3848"/>
      <c r="V6" s="3873" t="s">
        <v>474</v>
      </c>
      <c r="W6" s="3873"/>
      <c r="X6" s="1380"/>
      <c r="Y6" s="3847" t="s">
        <v>476</v>
      </c>
      <c r="Z6" s="3848"/>
      <c r="AA6" s="3858" t="s">
        <v>472</v>
      </c>
      <c r="AB6" s="3859" t="s">
        <v>473</v>
      </c>
      <c r="AC6" s="3858" t="s">
        <v>474</v>
      </c>
    </row>
    <row r="7" spans="1:29" ht="15">
      <c r="A7" s="485"/>
      <c r="B7" s="486"/>
      <c r="C7" s="3851" t="s">
        <v>2192</v>
      </c>
      <c r="D7" s="3852"/>
      <c r="E7" s="3874" t="str">
        <f>Sheet1!A10</f>
        <v>德感工业园F5-01-1/02号-03地块</v>
      </c>
      <c r="F7" s="3875"/>
      <c r="G7" s="3851" t="str">
        <f>Sheet1!A11</f>
        <v>德感工业园E12-07号-03地块</v>
      </c>
      <c r="H7" s="3852"/>
      <c r="I7" s="3851" t="str">
        <f>Sheet1!A13</f>
        <v>德感工业园E18-02-2/01号-03地块</v>
      </c>
      <c r="J7" s="3852"/>
      <c r="K7" s="484"/>
      <c r="L7" s="1856"/>
      <c r="M7" s="1857"/>
      <c r="N7" s="1857"/>
      <c r="O7" s="1857"/>
      <c r="P7" s="3867"/>
      <c r="Q7" s="3868"/>
      <c r="R7" s="3849"/>
      <c r="S7" s="3850"/>
      <c r="T7" s="3849"/>
      <c r="U7" s="3850"/>
      <c r="V7" s="3873"/>
      <c r="W7" s="3873"/>
      <c r="X7" s="1380"/>
      <c r="Y7" s="3849"/>
      <c r="Z7" s="3850"/>
      <c r="AA7" s="3859"/>
      <c r="AB7" s="3859"/>
      <c r="AC7" s="3859"/>
    </row>
    <row r="8" spans="1:29" ht="15.75" thickBot="1">
      <c r="A8" s="487"/>
      <c r="B8" s="488"/>
      <c r="C8" s="3853" t="s">
        <v>2196</v>
      </c>
      <c r="D8" s="3854"/>
      <c r="E8" s="3856" t="s">
        <v>2196</v>
      </c>
      <c r="F8" s="3857"/>
      <c r="G8" s="3853" t="s">
        <v>2196</v>
      </c>
      <c r="H8" s="3854"/>
      <c r="I8" s="3853" t="s">
        <v>2196</v>
      </c>
      <c r="J8" s="3854"/>
      <c r="K8" s="484" t="s">
        <v>477</v>
      </c>
      <c r="L8" s="1856"/>
      <c r="M8" s="1857"/>
      <c r="N8" s="1857"/>
      <c r="O8" s="1857"/>
      <c r="P8" s="3869"/>
      <c r="Q8" s="3870"/>
      <c r="R8" s="3849"/>
      <c r="S8" s="3850"/>
      <c r="T8" s="3871"/>
      <c r="U8" s="3872"/>
      <c r="V8" s="3873"/>
      <c r="W8" s="3873"/>
      <c r="X8" s="1380"/>
      <c r="Y8" s="3871"/>
      <c r="Z8" s="3872"/>
      <c r="AA8" s="3860"/>
      <c r="AB8" s="3860"/>
      <c r="AC8" s="3860"/>
    </row>
    <row r="9" spans="1:29" s="1118" customFormat="1" ht="15.75" thickBot="1">
      <c r="A9" s="2392"/>
      <c r="B9" s="2399" t="s">
        <v>478</v>
      </c>
      <c r="C9" s="489">
        <f>'数据-取费表'!B2</f>
        <v>44965</v>
      </c>
      <c r="D9" s="490">
        <v>100</v>
      </c>
      <c r="E9" s="491">
        <f>C9</f>
        <v>44965</v>
      </c>
      <c r="F9" s="492">
        <f>SUMIF(66:66,YEAR(E9)&amp;"-"&amp;INT((MONTH(E9)+2)/3),67:67)</f>
        <v>100</v>
      </c>
      <c r="G9" s="493">
        <f>C9</f>
        <v>44965</v>
      </c>
      <c r="H9" s="490">
        <f>SUMIF(66:66,YEAR(G9)&amp;"-"&amp;INT((MONTH(G9)+2)/3),67:67)</f>
        <v>100</v>
      </c>
      <c r="I9" s="493">
        <f>C9</f>
        <v>44965</v>
      </c>
      <c r="J9" s="490">
        <f>SUMIF(66:66,YEAR(I9)&amp;"-"&amp;INT((MONTH(I9)+2)/3),67:67)</f>
        <v>100</v>
      </c>
      <c r="K9" s="494"/>
      <c r="L9" s="1858"/>
      <c r="M9" s="1859"/>
      <c r="N9" s="1859"/>
      <c r="O9" s="1859"/>
      <c r="P9" s="3845" t="s">
        <v>479</v>
      </c>
      <c r="Q9" s="3855"/>
      <c r="R9" s="1381" t="s">
        <v>5</v>
      </c>
      <c r="S9" s="1382">
        <f t="shared" ref="S9:S17" si="0">F9</f>
        <v>100</v>
      </c>
      <c r="T9" s="1381" t="s">
        <v>5</v>
      </c>
      <c r="U9" s="1382">
        <f t="shared" ref="U9:U17" si="1">H9</f>
        <v>100</v>
      </c>
      <c r="V9" s="1381" t="s">
        <v>5</v>
      </c>
      <c r="W9" s="1382">
        <f t="shared" ref="W9:W17" si="2">J9</f>
        <v>100</v>
      </c>
      <c r="X9" s="1383"/>
      <c r="Y9" s="3845" t="s">
        <v>479</v>
      </c>
      <c r="Z9" s="3846"/>
      <c r="AA9" s="1384">
        <f>D9/F9</f>
        <v>1</v>
      </c>
      <c r="AB9" s="1384">
        <f>D9/H9</f>
        <v>1</v>
      </c>
      <c r="AC9" s="1384">
        <f>D9/J9</f>
        <v>1</v>
      </c>
    </row>
    <row r="10" spans="1:29" s="1118" customFormat="1" ht="15.75" thickBot="1">
      <c r="A10" s="2393"/>
      <c r="B10" s="2400" t="s">
        <v>480</v>
      </c>
      <c r="C10" s="495" t="s">
        <v>481</v>
      </c>
      <c r="D10" s="490">
        <v>100</v>
      </c>
      <c r="E10" s="3668" t="s">
        <v>3445</v>
      </c>
      <c r="F10" s="492">
        <f>SUMIF(69:69,E10,70:70)-SUMIF(69:69,C10,70:70)+100</f>
        <v>100</v>
      </c>
      <c r="G10" s="3668" t="s">
        <v>3445</v>
      </c>
      <c r="H10" s="490">
        <f>SUMIF(69:69,G10,70:70)-SUMIF(69:69,C10,70:70)+100</f>
        <v>100</v>
      </c>
      <c r="I10" s="3668" t="s">
        <v>3446</v>
      </c>
      <c r="J10" s="490">
        <f>SUMIF(69:69,I10,70:70)-SUMIF(69:69,C10,70:70)+100</f>
        <v>100</v>
      </c>
      <c r="K10" s="494"/>
      <c r="L10" s="1858"/>
      <c r="M10" s="1859"/>
      <c r="N10" s="1859"/>
      <c r="O10" s="1859"/>
      <c r="P10" s="3845" t="s">
        <v>482</v>
      </c>
      <c r="Q10" s="3846"/>
      <c r="R10" s="1381" t="s">
        <v>5</v>
      </c>
      <c r="S10" s="1382">
        <f t="shared" si="0"/>
        <v>100</v>
      </c>
      <c r="T10" s="1381" t="s">
        <v>5</v>
      </c>
      <c r="U10" s="1382">
        <f t="shared" si="1"/>
        <v>100</v>
      </c>
      <c r="V10" s="1381" t="s">
        <v>5</v>
      </c>
      <c r="W10" s="1382">
        <f t="shared" si="2"/>
        <v>100</v>
      </c>
      <c r="X10" s="1383"/>
      <c r="Y10" s="3845" t="s">
        <v>482</v>
      </c>
      <c r="Z10" s="3846"/>
      <c r="AA10" s="1384">
        <f t="shared" ref="AA10:AA42" si="3">D10/F10</f>
        <v>1</v>
      </c>
      <c r="AB10" s="1384">
        <f t="shared" ref="AB10:AB42" si="4">D10/H10</f>
        <v>1</v>
      </c>
      <c r="AC10" s="1384">
        <f t="shared" ref="AC10:AC42" si="5">D10/J10</f>
        <v>1</v>
      </c>
    </row>
    <row r="11" spans="1:29" s="1118" customFormat="1" ht="15">
      <c r="A11" s="2394"/>
      <c r="B11" s="2401" t="s">
        <v>2038</v>
      </c>
      <c r="C11" s="3669" t="s">
        <v>3447</v>
      </c>
      <c r="D11" s="245">
        <v>100</v>
      </c>
      <c r="E11" s="3669" t="s">
        <v>3447</v>
      </c>
      <c r="F11" s="245">
        <f>SUMIF(71:71,E11,72:72)-SUMIF(71:71,C11,72:72)+100</f>
        <v>100</v>
      </c>
      <c r="G11" s="3669" t="s">
        <v>3447</v>
      </c>
      <c r="H11" s="245">
        <f>SUMIF(71:71,G11,72:72)-SUMIF(71:71,C11,72:72)+100</f>
        <v>100</v>
      </c>
      <c r="I11" s="3669" t="s">
        <v>3447</v>
      </c>
      <c r="J11" s="245">
        <f>SUMIF(71:71,I11,72:72)-SUMIF(71:71,C11,72:72)+100</f>
        <v>100</v>
      </c>
      <c r="K11" s="494"/>
      <c r="L11" s="1858"/>
      <c r="M11" s="1859"/>
      <c r="N11" s="1859"/>
      <c r="O11" s="1860"/>
      <c r="P11" s="3880" t="s">
        <v>484</v>
      </c>
      <c r="Q11" s="1050" t="str">
        <f t="shared" ref="Q11:Q17" si="6">B11</f>
        <v>用途</v>
      </c>
      <c r="R11" s="1381" t="s">
        <v>5</v>
      </c>
      <c r="S11" s="1382">
        <f t="shared" si="0"/>
        <v>100</v>
      </c>
      <c r="T11" s="1381" t="s">
        <v>5</v>
      </c>
      <c r="U11" s="1382">
        <f t="shared" si="1"/>
        <v>100</v>
      </c>
      <c r="V11" s="1381" t="s">
        <v>5</v>
      </c>
      <c r="W11" s="1382">
        <f t="shared" si="2"/>
        <v>100</v>
      </c>
      <c r="X11" s="1383"/>
      <c r="Y11" s="3794"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101</v>
      </c>
      <c r="G12" s="498"/>
      <c r="H12" s="246">
        <f>ROUND(100/'数据-取费表'!G16,0)</f>
        <v>101</v>
      </c>
      <c r="I12" s="498"/>
      <c r="J12" s="246">
        <f>ROUND(100/'数据-取费表'!G16,0)</f>
        <v>101</v>
      </c>
      <c r="K12" s="501"/>
      <c r="L12" s="1861"/>
      <c r="M12" s="1900"/>
      <c r="N12" s="1900"/>
      <c r="O12" s="1862"/>
      <c r="P12" s="3880"/>
      <c r="Q12" s="1050" t="str">
        <f t="shared" si="6"/>
        <v>土地使用年限（年）</v>
      </c>
      <c r="R12" s="1381" t="s">
        <v>5</v>
      </c>
      <c r="S12" s="1382">
        <f t="shared" si="0"/>
        <v>101</v>
      </c>
      <c r="T12" s="1381" t="s">
        <v>5</v>
      </c>
      <c r="U12" s="1382">
        <f t="shared" si="1"/>
        <v>101</v>
      </c>
      <c r="V12" s="1381" t="s">
        <v>5</v>
      </c>
      <c r="W12" s="1382">
        <f t="shared" si="2"/>
        <v>101</v>
      </c>
      <c r="X12" s="1383"/>
      <c r="Y12" s="3794"/>
      <c r="Z12" s="1049" t="str">
        <f t="shared" si="7"/>
        <v>土地使用年限（年）</v>
      </c>
      <c r="AA12" s="1384">
        <f t="shared" si="3"/>
        <v>0.99009900990099009</v>
      </c>
      <c r="AB12" s="1384">
        <f t="shared" si="4"/>
        <v>0.99009900990099009</v>
      </c>
      <c r="AC12" s="1384">
        <f t="shared" si="5"/>
        <v>0.99009900990099009</v>
      </c>
    </row>
    <row r="13" spans="1:29" ht="15">
      <c r="A13" s="2396"/>
      <c r="B13" s="2400" t="s">
        <v>2040</v>
      </c>
      <c r="C13" s="503">
        <v>1.02</v>
      </c>
      <c r="D13" s="246">
        <v>100</v>
      </c>
      <c r="E13" s="503">
        <v>1</v>
      </c>
      <c r="F13" s="246">
        <f>LOOKUP(E13,76:76,77:77)-LOOKUP(C13,76:76,77:77)+100</f>
        <v>100</v>
      </c>
      <c r="G13" s="504">
        <v>1</v>
      </c>
      <c r="H13" s="246">
        <f>LOOKUP(G13,76:76,77:77)-LOOKUP(C13,76:76,77:77)+100</f>
        <v>100</v>
      </c>
      <c r="I13" s="503">
        <v>1</v>
      </c>
      <c r="J13" s="246">
        <f>LOOKUP(I13,76:76,77:77)-LOOKUP(C13,76:76,77:77)+100</f>
        <v>100</v>
      </c>
      <c r="K13" s="505">
        <v>2</v>
      </c>
      <c r="L13" s="1863"/>
      <c r="M13" s="1857"/>
      <c r="N13" s="1857"/>
      <c r="O13" s="1864"/>
      <c r="P13" s="3880"/>
      <c r="Q13" s="1050" t="str">
        <f t="shared" si="6"/>
        <v>容积率</v>
      </c>
      <c r="R13" s="1381" t="s">
        <v>5</v>
      </c>
      <c r="S13" s="1382">
        <f t="shared" si="0"/>
        <v>100</v>
      </c>
      <c r="T13" s="1381" t="s">
        <v>5</v>
      </c>
      <c r="U13" s="1382">
        <f t="shared" si="1"/>
        <v>100</v>
      </c>
      <c r="V13" s="1381" t="s">
        <v>5</v>
      </c>
      <c r="W13" s="1382">
        <f t="shared" si="2"/>
        <v>100</v>
      </c>
      <c r="X13" s="1383"/>
      <c r="Y13" s="3794"/>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80"/>
      <c r="Q14" s="1050">
        <f t="shared" si="6"/>
        <v>111</v>
      </c>
      <c r="R14" s="1381" t="s">
        <v>5</v>
      </c>
      <c r="S14" s="1382">
        <f t="shared" si="0"/>
        <v>100</v>
      </c>
      <c r="T14" s="1381" t="s">
        <v>5</v>
      </c>
      <c r="U14" s="1382">
        <f t="shared" si="1"/>
        <v>100</v>
      </c>
      <c r="V14" s="1381" t="s">
        <v>5</v>
      </c>
      <c r="W14" s="1382">
        <f t="shared" si="2"/>
        <v>100</v>
      </c>
      <c r="X14" s="1383"/>
      <c r="Y14" s="379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80"/>
      <c r="Q15" s="1050">
        <f t="shared" si="6"/>
        <v>111</v>
      </c>
      <c r="R15" s="1381" t="s">
        <v>5</v>
      </c>
      <c r="S15" s="1382">
        <f t="shared" si="0"/>
        <v>100</v>
      </c>
      <c r="T15" s="1381" t="s">
        <v>5</v>
      </c>
      <c r="U15" s="1382">
        <f t="shared" si="1"/>
        <v>100</v>
      </c>
      <c r="V15" s="1381" t="s">
        <v>5</v>
      </c>
      <c r="W15" s="1382">
        <f t="shared" si="2"/>
        <v>100</v>
      </c>
      <c r="X15" s="1383"/>
      <c r="Y15" s="3794"/>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80"/>
      <c r="Q16" s="1050">
        <f t="shared" si="6"/>
        <v>111</v>
      </c>
      <c r="R16" s="1381" t="s">
        <v>5</v>
      </c>
      <c r="S16" s="1382">
        <f t="shared" si="0"/>
        <v>100</v>
      </c>
      <c r="T16" s="1381" t="s">
        <v>5</v>
      </c>
      <c r="U16" s="1382">
        <f t="shared" si="1"/>
        <v>100</v>
      </c>
      <c r="V16" s="1381" t="s">
        <v>5</v>
      </c>
      <c r="W16" s="1382">
        <f t="shared" si="2"/>
        <v>100</v>
      </c>
      <c r="X16" s="1383"/>
      <c r="Y16" s="3794"/>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6" t="s">
        <v>489</v>
      </c>
      <c r="Q17" s="1385" t="str">
        <f t="shared" si="6"/>
        <v>产业集聚程度</v>
      </c>
      <c r="R17" s="1386" t="s">
        <v>5</v>
      </c>
      <c r="S17" s="1387">
        <f t="shared" si="0"/>
        <v>100</v>
      </c>
      <c r="T17" s="1386" t="s">
        <v>5</v>
      </c>
      <c r="U17" s="1387">
        <f t="shared" si="1"/>
        <v>100</v>
      </c>
      <c r="V17" s="1386" t="s">
        <v>5</v>
      </c>
      <c r="W17" s="1387">
        <f t="shared" si="2"/>
        <v>100</v>
      </c>
      <c r="X17" s="1380"/>
      <c r="Y17" s="3876"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7"/>
      <c r="Q18" s="1385"/>
      <c r="R18" s="1386"/>
      <c r="S18" s="1387"/>
      <c r="T18" s="1386"/>
      <c r="U18" s="1387"/>
      <c r="V18" s="1386"/>
      <c r="W18" s="1387"/>
      <c r="X18" s="1380"/>
      <c r="Y18" s="3877"/>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7"/>
      <c r="Q19" s="1385" t="str">
        <f>B19</f>
        <v>交通便捷度</v>
      </c>
      <c r="R19" s="1386" t="s">
        <v>5</v>
      </c>
      <c r="S19" s="1387">
        <f>F19</f>
        <v>100</v>
      </c>
      <c r="T19" s="1386" t="s">
        <v>5</v>
      </c>
      <c r="U19" s="1387">
        <f>H19</f>
        <v>100</v>
      </c>
      <c r="V19" s="1386" t="s">
        <v>5</v>
      </c>
      <c r="W19" s="1387">
        <f>J19</f>
        <v>100</v>
      </c>
      <c r="X19" s="1380"/>
      <c r="Y19" s="3877"/>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7"/>
      <c r="Q20" s="1385"/>
      <c r="R20" s="1386"/>
      <c r="S20" s="1387"/>
      <c r="T20" s="1386"/>
      <c r="U20" s="1387"/>
      <c r="V20" s="1386"/>
      <c r="W20" s="1387"/>
      <c r="X20" s="1380"/>
      <c r="Y20" s="3877"/>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7"/>
      <c r="Q21" s="1385" t="str">
        <f t="shared" ref="Q21:Q35" si="8">B21</f>
        <v>区域土地利用方向</v>
      </c>
      <c r="R21" s="1386" t="s">
        <v>5</v>
      </c>
      <c r="S21" s="1387">
        <f>F21</f>
        <v>100</v>
      </c>
      <c r="T21" s="1386" t="s">
        <v>5</v>
      </c>
      <c r="U21" s="1387">
        <f>H21</f>
        <v>100</v>
      </c>
      <c r="V21" s="1386" t="s">
        <v>5</v>
      </c>
      <c r="W21" s="1387">
        <f>J21</f>
        <v>100</v>
      </c>
      <c r="X21" s="1380"/>
      <c r="Y21" s="3877"/>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7"/>
      <c r="Q22" s="1385"/>
      <c r="R22" s="1386"/>
      <c r="S22" s="1387"/>
      <c r="T22" s="1386"/>
      <c r="U22" s="1387"/>
      <c r="V22" s="1386"/>
      <c r="W22" s="1387"/>
      <c r="X22" s="1380"/>
      <c r="Y22" s="3877"/>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7"/>
      <c r="Q23" s="1385" t="str">
        <f t="shared" si="8"/>
        <v>环境状况</v>
      </c>
      <c r="R23" s="1386" t="s">
        <v>5</v>
      </c>
      <c r="S23" s="1387">
        <f>F23</f>
        <v>100</v>
      </c>
      <c r="T23" s="1386" t="s">
        <v>5</v>
      </c>
      <c r="U23" s="1387">
        <f>H23</f>
        <v>100</v>
      </c>
      <c r="V23" s="1386" t="s">
        <v>5</v>
      </c>
      <c r="W23" s="1387">
        <f>J23</f>
        <v>100</v>
      </c>
      <c r="X23" s="1380"/>
      <c r="Y23" s="3877"/>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7"/>
      <c r="Q24" s="1385"/>
      <c r="R24" s="1386"/>
      <c r="S24" s="1387"/>
      <c r="T24" s="1386"/>
      <c r="U24" s="1387"/>
      <c r="V24" s="1386"/>
      <c r="W24" s="1387"/>
      <c r="X24" s="1380"/>
      <c r="Y24" s="3877"/>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7"/>
      <c r="Q25" s="1050" t="str">
        <f t="shared" si="8"/>
        <v>公共配套设施</v>
      </c>
      <c r="R25" s="1381" t="s">
        <v>5</v>
      </c>
      <c r="S25" s="1382">
        <f>F25</f>
        <v>100</v>
      </c>
      <c r="T25" s="1381" t="s">
        <v>5</v>
      </c>
      <c r="U25" s="1382">
        <f>H25</f>
        <v>100</v>
      </c>
      <c r="V25" s="1381" t="s">
        <v>5</v>
      </c>
      <c r="W25" s="1382">
        <f>J25</f>
        <v>100</v>
      </c>
      <c r="X25" s="1383"/>
      <c r="Y25" s="3877"/>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7"/>
      <c r="Q26" s="1050"/>
      <c r="R26" s="1381"/>
      <c r="S26" s="1382"/>
      <c r="T26" s="1381"/>
      <c r="U26" s="1382"/>
      <c r="V26" s="1381"/>
      <c r="W26" s="1382"/>
      <c r="X26" s="1383"/>
      <c r="Y26" s="3877"/>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7"/>
      <c r="Q27" s="2192" t="str">
        <f>B27</f>
        <v>基础设施水平</v>
      </c>
      <c r="R27" s="1381" t="s">
        <v>5</v>
      </c>
      <c r="S27" s="1382">
        <f>F27</f>
        <v>100</v>
      </c>
      <c r="T27" s="1381" t="s">
        <v>5</v>
      </c>
      <c r="U27" s="1382">
        <f>H27</f>
        <v>100</v>
      </c>
      <c r="V27" s="1381" t="s">
        <v>5</v>
      </c>
      <c r="W27" s="1382">
        <f>J27</f>
        <v>100</v>
      </c>
      <c r="X27" s="1383"/>
      <c r="Y27" s="3877"/>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7"/>
      <c r="Q28" s="2192"/>
      <c r="R28" s="1381"/>
      <c r="S28" s="1382"/>
      <c r="T28" s="1381"/>
      <c r="U28" s="1382"/>
      <c r="V28" s="1381"/>
      <c r="W28" s="1382"/>
      <c r="X28" s="1383"/>
      <c r="Y28" s="3877"/>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7"/>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7"/>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7"/>
      <c r="Q30" s="1385" t="str">
        <f t="shared" si="8"/>
        <v>毗邻道路的类型与等级</v>
      </c>
      <c r="R30" s="1386" t="s">
        <v>5</v>
      </c>
      <c r="S30" s="1387">
        <f t="shared" si="9"/>
        <v>100</v>
      </c>
      <c r="T30" s="1386" t="s">
        <v>5</v>
      </c>
      <c r="U30" s="1387">
        <f t="shared" si="10"/>
        <v>100</v>
      </c>
      <c r="V30" s="1386" t="s">
        <v>5</v>
      </c>
      <c r="W30" s="1387">
        <f t="shared" si="11"/>
        <v>100</v>
      </c>
      <c r="X30" s="1380"/>
      <c r="Y30" s="3877"/>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7"/>
      <c r="Q31" s="1385"/>
      <c r="R31" s="1386"/>
      <c r="S31" s="1387"/>
      <c r="T31" s="1386"/>
      <c r="U31" s="1387"/>
      <c r="V31" s="1386"/>
      <c r="W31" s="1387"/>
      <c r="X31" s="1380"/>
      <c r="Y31" s="3877"/>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7"/>
      <c r="Q32" s="1385" t="str">
        <f t="shared" si="8"/>
        <v>土地级别</v>
      </c>
      <c r="R32" s="1386" t="s">
        <v>5</v>
      </c>
      <c r="S32" s="1387">
        <f t="shared" si="9"/>
        <v>100</v>
      </c>
      <c r="T32" s="1386" t="s">
        <v>5</v>
      </c>
      <c r="U32" s="1387">
        <f t="shared" si="10"/>
        <v>100</v>
      </c>
      <c r="V32" s="1386" t="s">
        <v>5</v>
      </c>
      <c r="W32" s="1387">
        <f t="shared" si="11"/>
        <v>100</v>
      </c>
      <c r="X32" s="1380"/>
      <c r="Y32" s="3877"/>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7"/>
      <c r="Q33" s="1385">
        <f t="shared" si="8"/>
        <v>111</v>
      </c>
      <c r="R33" s="1386" t="s">
        <v>5</v>
      </c>
      <c r="S33" s="1387">
        <f t="shared" si="9"/>
        <v>100</v>
      </c>
      <c r="T33" s="1386" t="s">
        <v>5</v>
      </c>
      <c r="U33" s="1387">
        <f t="shared" si="10"/>
        <v>100</v>
      </c>
      <c r="V33" s="1386" t="s">
        <v>5</v>
      </c>
      <c r="W33" s="1387">
        <f t="shared" si="11"/>
        <v>100</v>
      </c>
      <c r="X33" s="1380"/>
      <c r="Y33" s="3877"/>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8" t="s">
        <v>499</v>
      </c>
      <c r="Q34" s="1385">
        <f t="shared" si="8"/>
        <v>111</v>
      </c>
      <c r="R34" s="1386" t="s">
        <v>5</v>
      </c>
      <c r="S34" s="1387">
        <f t="shared" si="9"/>
        <v>100</v>
      </c>
      <c r="T34" s="1386" t="s">
        <v>5</v>
      </c>
      <c r="U34" s="1387">
        <f t="shared" si="10"/>
        <v>100</v>
      </c>
      <c r="V34" s="1386" t="s">
        <v>5</v>
      </c>
      <c r="W34" s="1387">
        <f t="shared" si="11"/>
        <v>100</v>
      </c>
      <c r="X34" s="1380"/>
      <c r="Y34" s="3879"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9"/>
      <c r="Q35" s="1385">
        <f t="shared" si="8"/>
        <v>111</v>
      </c>
      <c r="R35" s="1390" t="s">
        <v>5</v>
      </c>
      <c r="S35" s="1391">
        <f t="shared" si="9"/>
        <v>100</v>
      </c>
      <c r="T35" s="1390" t="s">
        <v>5</v>
      </c>
      <c r="U35" s="1391">
        <f t="shared" si="10"/>
        <v>100</v>
      </c>
      <c r="V35" s="1390" t="s">
        <v>5</v>
      </c>
      <c r="W35" s="1391">
        <f t="shared" si="11"/>
        <v>100</v>
      </c>
      <c r="X35" s="1392"/>
      <c r="Y35" s="3879"/>
      <c r="Z35" s="1393">
        <f t="shared" si="12"/>
        <v>111</v>
      </c>
      <c r="AA35" s="1389">
        <f t="shared" si="3"/>
        <v>1</v>
      </c>
      <c r="AB35" s="1389">
        <f t="shared" si="4"/>
        <v>1</v>
      </c>
      <c r="AC35" s="1389">
        <f t="shared" si="5"/>
        <v>1</v>
      </c>
    </row>
    <row r="36" spans="1:29" ht="15">
      <c r="A36" s="2387" t="s">
        <v>2037</v>
      </c>
      <c r="B36" s="565" t="s">
        <v>501</v>
      </c>
      <c r="C36" s="566">
        <f>'数据-基础表'!A3</f>
        <v>97287.33</v>
      </c>
      <c r="D36" s="567">
        <v>100</v>
      </c>
      <c r="E36" s="566">
        <f>Sheet1!D10</f>
        <v>17964.71</v>
      </c>
      <c r="F36" s="567">
        <f>LOOKUP(E36,109:109,110:110)-LOOKUP(C36,109:109,110:110)+100</f>
        <v>94</v>
      </c>
      <c r="G36" s="566">
        <f>Sheet1!D11</f>
        <v>6270.58</v>
      </c>
      <c r="H36" s="567">
        <f>LOOKUP(G36,109:109,110:110)-LOOKUP(C36,109:109,110:110)+100</f>
        <v>94</v>
      </c>
      <c r="I36" s="568">
        <f>Sheet1!D13</f>
        <v>15037.82</v>
      </c>
      <c r="J36" s="567">
        <f>LOOKUP(I36,109:109,110:110)-LOOKUP(C36,109:109,110:110)+100</f>
        <v>94</v>
      </c>
      <c r="K36" s="551"/>
      <c r="L36" s="1865"/>
      <c r="M36" s="1857"/>
      <c r="N36" s="1857"/>
      <c r="O36" s="1864"/>
      <c r="P36" s="3879"/>
      <c r="Q36" s="1385" t="str">
        <f>B36</f>
        <v>宗地面积</v>
      </c>
      <c r="R36" s="1386" t="s">
        <v>5</v>
      </c>
      <c r="S36" s="1387">
        <f t="shared" si="9"/>
        <v>94</v>
      </c>
      <c r="T36" s="1386" t="s">
        <v>5</v>
      </c>
      <c r="U36" s="1387">
        <f t="shared" si="10"/>
        <v>94</v>
      </c>
      <c r="V36" s="1386" t="s">
        <v>5</v>
      </c>
      <c r="W36" s="1387">
        <f t="shared" si="11"/>
        <v>94</v>
      </c>
      <c r="X36" s="1380"/>
      <c r="Y36" s="3879"/>
      <c r="Z36" s="1388" t="str">
        <f t="shared" si="12"/>
        <v>宗地面积</v>
      </c>
      <c r="AA36" s="1389">
        <f t="shared" si="3"/>
        <v>1.0638297872340425</v>
      </c>
      <c r="AB36" s="1389">
        <f t="shared" si="4"/>
        <v>1.0638297872340425</v>
      </c>
      <c r="AC36" s="1389">
        <f t="shared" si="5"/>
        <v>1.0638297872340425</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9"/>
      <c r="Q37" s="1385" t="str">
        <f t="shared" ref="Q37:Q42" si="13">B37</f>
        <v>宗地形状</v>
      </c>
      <c r="R37" s="1386" t="s">
        <v>5</v>
      </c>
      <c r="S37" s="1387">
        <f t="shared" si="9"/>
        <v>100</v>
      </c>
      <c r="T37" s="1386" t="s">
        <v>5</v>
      </c>
      <c r="U37" s="1387">
        <f t="shared" si="10"/>
        <v>100</v>
      </c>
      <c r="V37" s="1386" t="s">
        <v>5</v>
      </c>
      <c r="W37" s="1387">
        <f t="shared" si="11"/>
        <v>100</v>
      </c>
      <c r="X37" s="1380"/>
      <c r="Y37" s="3879"/>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9"/>
      <c r="Q38" s="1385" t="str">
        <f t="shared" si="13"/>
        <v>宗地开发程度</v>
      </c>
      <c r="R38" s="1381" t="s">
        <v>5</v>
      </c>
      <c r="S38" s="1382">
        <f t="shared" si="9"/>
        <v>100</v>
      </c>
      <c r="T38" s="1381" t="s">
        <v>5</v>
      </c>
      <c r="U38" s="1382">
        <f t="shared" si="10"/>
        <v>100</v>
      </c>
      <c r="V38" s="1381" t="s">
        <v>5</v>
      </c>
      <c r="W38" s="1382">
        <f t="shared" si="11"/>
        <v>100</v>
      </c>
      <c r="X38" s="1383"/>
      <c r="Y38" s="3879"/>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9" t="s">
        <v>549</v>
      </c>
      <c r="Q39" s="1385" t="str">
        <f t="shared" si="13"/>
        <v>工程地质条件</v>
      </c>
      <c r="R39" s="1386" t="s">
        <v>5</v>
      </c>
      <c r="S39" s="1387">
        <f t="shared" si="9"/>
        <v>100</v>
      </c>
      <c r="T39" s="1386" t="s">
        <v>5</v>
      </c>
      <c r="U39" s="1387">
        <f t="shared" si="10"/>
        <v>100</v>
      </c>
      <c r="V39" s="1386" t="s">
        <v>5</v>
      </c>
      <c r="W39" s="1387">
        <f t="shared" si="11"/>
        <v>100</v>
      </c>
      <c r="X39" s="1380"/>
      <c r="Y39" s="3879"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9"/>
      <c r="Q40" s="1385">
        <f t="shared" si="13"/>
        <v>111</v>
      </c>
      <c r="R40" s="1386" t="s">
        <v>5</v>
      </c>
      <c r="S40" s="1387">
        <f t="shared" si="9"/>
        <v>100</v>
      </c>
      <c r="T40" s="1386" t="s">
        <v>5</v>
      </c>
      <c r="U40" s="1387">
        <f t="shared" si="10"/>
        <v>100</v>
      </c>
      <c r="V40" s="1386" t="s">
        <v>5</v>
      </c>
      <c r="W40" s="1387">
        <f t="shared" si="11"/>
        <v>100</v>
      </c>
      <c r="X40" s="1380"/>
      <c r="Y40" s="3879"/>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9"/>
      <c r="Q41" s="1385">
        <f t="shared" si="13"/>
        <v>111</v>
      </c>
      <c r="R41" s="1386" t="s">
        <v>5</v>
      </c>
      <c r="S41" s="1387">
        <f t="shared" si="9"/>
        <v>100</v>
      </c>
      <c r="T41" s="1386" t="s">
        <v>5</v>
      </c>
      <c r="U41" s="1387">
        <f t="shared" si="10"/>
        <v>100</v>
      </c>
      <c r="V41" s="1386" t="s">
        <v>5</v>
      </c>
      <c r="W41" s="1387">
        <f t="shared" si="11"/>
        <v>100</v>
      </c>
      <c r="X41" s="1380"/>
      <c r="Y41" s="3879"/>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9"/>
      <c r="Q42" s="1385">
        <f t="shared" si="13"/>
        <v>111</v>
      </c>
      <c r="R42" s="1390" t="s">
        <v>5</v>
      </c>
      <c r="S42" s="1391">
        <f t="shared" si="9"/>
        <v>100</v>
      </c>
      <c r="T42" s="1390" t="s">
        <v>5</v>
      </c>
      <c r="U42" s="1391">
        <f t="shared" si="10"/>
        <v>100</v>
      </c>
      <c r="V42" s="1390" t="s">
        <v>5</v>
      </c>
      <c r="W42" s="1391">
        <f t="shared" si="11"/>
        <v>100</v>
      </c>
      <c r="X42" s="1392"/>
      <c r="Y42" s="3879"/>
      <c r="Z42" s="1393">
        <f t="shared" si="12"/>
        <v>111</v>
      </c>
      <c r="AA42" s="1389">
        <f t="shared" si="3"/>
        <v>1</v>
      </c>
      <c r="AB42" s="1389">
        <f t="shared" si="4"/>
        <v>1</v>
      </c>
      <c r="AC42" s="1389">
        <f t="shared" si="5"/>
        <v>1</v>
      </c>
    </row>
    <row r="43" spans="1:29" ht="15">
      <c r="A43" s="577" t="s">
        <v>505</v>
      </c>
      <c r="B43" s="578" t="s">
        <v>3454</v>
      </c>
      <c r="C43" s="579" t="s">
        <v>0</v>
      </c>
      <c r="D43" s="580"/>
      <c r="E43" s="581">
        <v>301</v>
      </c>
      <c r="F43" s="582"/>
      <c r="G43" s="583">
        <v>305</v>
      </c>
      <c r="H43" s="584"/>
      <c r="I43" s="581">
        <v>310</v>
      </c>
      <c r="J43" s="584"/>
      <c r="K43" s="1201"/>
      <c r="L43" s="1867"/>
      <c r="M43" s="1857"/>
      <c r="N43" s="1857"/>
      <c r="O43" s="1868"/>
      <c r="P43" s="3880" t="str">
        <f>A43</f>
        <v>成交单价</v>
      </c>
      <c r="Q43" s="3880"/>
      <c r="R43" s="3873">
        <f>E43</f>
        <v>301</v>
      </c>
      <c r="S43" s="3873"/>
      <c r="T43" s="3873">
        <f>G43</f>
        <v>305</v>
      </c>
      <c r="U43" s="3873"/>
      <c r="V43" s="3873">
        <f>I43</f>
        <v>310</v>
      </c>
      <c r="W43" s="3873"/>
      <c r="X43" s="1375"/>
      <c r="Y43" s="1394"/>
      <c r="Z43" s="1375"/>
      <c r="AA43" s="1375"/>
      <c r="AB43" s="1375"/>
      <c r="AC43" s="1375"/>
    </row>
    <row r="44" spans="1:29" ht="15.75" thickBot="1">
      <c r="A44" s="585" t="s">
        <v>1975</v>
      </c>
      <c r="B44" s="586"/>
      <c r="C44" s="587">
        <f>R45</f>
        <v>322</v>
      </c>
      <c r="D44" s="2757" t="s">
        <v>2261</v>
      </c>
      <c r="E44" s="587">
        <f>R44</f>
        <v>317</v>
      </c>
      <c r="F44" s="2758"/>
      <c r="G44" s="588">
        <f>T44</f>
        <v>321</v>
      </c>
      <c r="H44" s="2758"/>
      <c r="I44" s="587">
        <f>V44</f>
        <v>327</v>
      </c>
      <c r="J44" s="2758"/>
      <c r="K44" s="2759">
        <f>F44+H44+J44</f>
        <v>0</v>
      </c>
      <c r="L44" s="1867"/>
      <c r="M44" s="1857"/>
      <c r="N44" s="1857"/>
      <c r="O44" s="1868"/>
      <c r="P44" s="3880" t="str">
        <f>A44</f>
        <v>比较价格（元/平方米）</v>
      </c>
      <c r="Q44" s="3880"/>
      <c r="R44" s="3888">
        <f>ROUND(PRODUCT(R43,AA9:AA42),0)</f>
        <v>317</v>
      </c>
      <c r="S44" s="3888"/>
      <c r="T44" s="3888">
        <f>ROUND(PRODUCT(T43,AB9:AB42),0)</f>
        <v>321</v>
      </c>
      <c r="U44" s="3888"/>
      <c r="V44" s="3888">
        <f>ROUND(PRODUCT(V43,AC9:AC42),0)</f>
        <v>327</v>
      </c>
      <c r="W44" s="3888"/>
      <c r="X44" s="1375"/>
      <c r="Y44" s="1375"/>
      <c r="Z44" s="1375"/>
      <c r="AA44" s="1375"/>
      <c r="AB44" s="1375"/>
      <c r="AC44" s="1375"/>
    </row>
    <row r="45" spans="1:29" ht="15.75" thickBot="1">
      <c r="A45" s="589" t="s">
        <v>2198</v>
      </c>
      <c r="B45" s="590"/>
      <c r="C45" s="591">
        <f>R45</f>
        <v>322</v>
      </c>
      <c r="D45" s="591"/>
      <c r="E45" s="591"/>
      <c r="F45" s="591"/>
      <c r="G45" s="591"/>
      <c r="H45" s="591"/>
      <c r="I45" s="591"/>
      <c r="J45" s="591"/>
      <c r="K45" s="1202"/>
      <c r="L45" s="1867"/>
      <c r="M45" s="1857"/>
      <c r="N45" s="1857"/>
      <c r="O45" s="1868"/>
      <c r="P45" s="3885" t="str">
        <f>A45</f>
        <v>估价对象XX用房的比较价格（楼面单价，元/平方米）</v>
      </c>
      <c r="Q45" s="3886"/>
      <c r="R45" s="3887">
        <f>ROUND(IF(D44="简单平均",AVERAGE(R44:W44),R44*F44+T44*H44+V44*J44),0)</f>
        <v>322</v>
      </c>
      <c r="S45" s="3887"/>
      <c r="T45" s="3887"/>
      <c r="U45" s="3887"/>
      <c r="V45" s="3887"/>
      <c r="W45" s="3887"/>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5.3156146179401897E-2</v>
      </c>
      <c r="F48" s="595" t="str">
        <f>IF(OR(E48&gt;=0.3,E48&lt;=-0.3),"超过30%","")</f>
        <v/>
      </c>
      <c r="G48" s="594">
        <f>IF(G43&lt;G44,G44/G43-1,G43/G44-1)</f>
        <v>5.2459016393442637E-2</v>
      </c>
      <c r="H48" s="595" t="str">
        <f>IF(OR(G48&gt;=0.3,G48&lt;=-0.3),"超过30%","")</f>
        <v/>
      </c>
      <c r="I48" s="594">
        <f>IF(I43&lt;I44,I44/I43-1,I43/I44-1)</f>
        <v>5.4838709677419439E-2</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f>IF(E44&lt;G44,G44/E44-1,E44/G44-1)</f>
        <v>1.2618296529968376E-2</v>
      </c>
      <c r="F49" s="595" t="str">
        <f>IF(OR(E49&gt;=0.2,E49&lt;=-0.2),"超过20%","")</f>
        <v/>
      </c>
      <c r="G49" s="594">
        <f>IF(G44&lt;I44,I44/G44-1,G44/I44-1)</f>
        <v>1.8691588785046731E-2</v>
      </c>
      <c r="H49" s="595" t="str">
        <f>IF(OR(G49&gt;=0.2,G49&lt;=-0.2),"超过20%","")</f>
        <v/>
      </c>
      <c r="I49" s="594">
        <f>IF(I44&lt;E44,E44/I44-1,I44/E44-1)</f>
        <v>3.1545741324921162E-2</v>
      </c>
      <c r="J49" s="595" t="str">
        <f>IF(OR(I49&gt;=0.2,I49&lt;=-0.2),"超过20%","")</f>
        <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f>IF(E43&lt;G43,G43/E43-1,E43/G43-1)</f>
        <v>1.3289036544850585E-2</v>
      </c>
      <c r="F50" s="595" t="str">
        <f>IF(OR(E50&gt;=0.3,E50&lt;=-0.3),"超过30%","")</f>
        <v/>
      </c>
      <c r="G50" s="594">
        <f>IF(G43&lt;I43,I43/G43-1,G43/I43-1)</f>
        <v>1.6393442622950838E-2</v>
      </c>
      <c r="H50" s="595" t="str">
        <f>IF(OR(G50&gt;=0.3,G50&lt;=-0.3),"超过30%","")</f>
        <v/>
      </c>
      <c r="I50" s="594">
        <f>IF(I43&lt;E43,E43/I43-1,I43/E43-1)</f>
        <v>2.9900332225913706E-2</v>
      </c>
      <c r="J50" s="595" t="str">
        <f>IF(OR(I50&gt;=0.3,I50&lt;=-0.3),"超过30%","")</f>
        <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1" t="s">
        <v>1642</v>
      </c>
      <c r="H52" s="3882"/>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322</v>
      </c>
      <c r="C53" s="603">
        <v>1</v>
      </c>
      <c r="D53" s="1947">
        <v>1</v>
      </c>
      <c r="E53" s="603">
        <f>'数据-汇总表'!E8+'数据-汇总表'!E9</f>
        <v>60917.47</v>
      </c>
      <c r="F53" s="1706">
        <f t="shared" ref="F53:F61" si="14">ROUND(B53*E53/10000,0)</f>
        <v>1962</v>
      </c>
      <c r="G53" s="3883"/>
      <c r="H53" s="3884"/>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97287.33</v>
      </c>
      <c r="F62" s="612">
        <f>IF(B43="楼面地价",SUM(F53:F61),ROUND(C45*E62/10000,0))</f>
        <v>3133</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2023-2-1</v>
      </c>
      <c r="D64" s="2279">
        <f>EDATE(C64,-3)</f>
        <v>44866</v>
      </c>
      <c r="E64" s="2279">
        <f t="shared" ref="E64:N64" si="17">EDATE(D64,-3)</f>
        <v>44774</v>
      </c>
      <c r="F64" s="2279">
        <f t="shared" si="17"/>
        <v>44682</v>
      </c>
      <c r="G64" s="2279">
        <f t="shared" si="17"/>
        <v>44593</v>
      </c>
      <c r="H64" s="2279">
        <f t="shared" si="17"/>
        <v>44501</v>
      </c>
      <c r="I64" s="2279">
        <f t="shared" si="17"/>
        <v>44409</v>
      </c>
      <c r="J64" s="2279">
        <f t="shared" si="17"/>
        <v>44317</v>
      </c>
      <c r="K64" s="2279">
        <f t="shared" si="17"/>
        <v>44228</v>
      </c>
      <c r="L64" s="2279">
        <f t="shared" si="17"/>
        <v>44136</v>
      </c>
      <c r="M64" s="2279">
        <f t="shared" si="17"/>
        <v>44044</v>
      </c>
      <c r="N64" s="2279">
        <f t="shared" si="17"/>
        <v>43952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19">D76&amp;"（含）"&amp;"-"&amp;E76</f>
        <v>1（含）-2</v>
      </c>
      <c r="E75" s="650" t="str">
        <f t="shared" si="19"/>
        <v>2（含）-3</v>
      </c>
      <c r="F75" s="650" t="str">
        <f t="shared" si="19"/>
        <v>3（含）-4</v>
      </c>
      <c r="G75" s="650" t="str">
        <f t="shared" si="19"/>
        <v>4（含）-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v>3</v>
      </c>
      <c r="G76" s="511">
        <v>4</v>
      </c>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102</v>
      </c>
      <c r="E77" s="647">
        <f t="shared" si="20"/>
        <v>104</v>
      </c>
      <c r="F77" s="647">
        <f t="shared" si="20"/>
        <v>106</v>
      </c>
      <c r="G77" s="647">
        <f t="shared" si="20"/>
        <v>108</v>
      </c>
      <c r="H77" s="647">
        <f t="shared" si="20"/>
        <v>110</v>
      </c>
      <c r="I77" s="647">
        <f t="shared" si="20"/>
        <v>112</v>
      </c>
      <c r="J77" s="647">
        <f t="shared" si="20"/>
        <v>114</v>
      </c>
      <c r="K77" s="647">
        <f t="shared" si="20"/>
        <v>116</v>
      </c>
      <c r="L77" s="647">
        <f t="shared" si="20"/>
        <v>118</v>
      </c>
      <c r="M77" s="647">
        <f t="shared" si="20"/>
        <v>120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4">C109&amp;"(含)"&amp;"-"&amp;D109</f>
        <v>0(含)-20000</v>
      </c>
      <c r="D108" s="672" t="str">
        <f t="shared" si="24"/>
        <v>20000(含)-40000</v>
      </c>
      <c r="E108" s="672" t="str">
        <f t="shared" si="24"/>
        <v>40000(含)-60000</v>
      </c>
      <c r="F108" s="672" t="str">
        <f t="shared" si="24"/>
        <v>60000(含)-80000</v>
      </c>
      <c r="G108" s="672" t="str">
        <f t="shared" si="24"/>
        <v>80000(含)-100000</v>
      </c>
      <c r="H108" s="672" t="str">
        <f t="shared" si="24"/>
        <v>100000(含)-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20000</v>
      </c>
      <c r="E109" s="698">
        <v>40000</v>
      </c>
      <c r="F109" s="698">
        <v>60000</v>
      </c>
      <c r="G109" s="698">
        <v>80000</v>
      </c>
      <c r="H109" s="698">
        <v>100000</v>
      </c>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102</v>
      </c>
      <c r="E110" s="694">
        <v>104</v>
      </c>
      <c r="F110" s="694">
        <v>105</v>
      </c>
      <c r="G110" s="694">
        <v>106</v>
      </c>
      <c r="H110" s="694">
        <v>108</v>
      </c>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70" t="str">
        <f>项目基本情况!B1</f>
        <v>出让国有建设用地使用权抵押价格预评估</v>
      </c>
      <c r="C37" s="3670"/>
      <c r="D37" s="3670"/>
      <c r="E37" s="3670"/>
      <c r="F37" s="3670"/>
      <c r="G37" s="3670"/>
      <c r="H37" s="3670"/>
      <c r="I37" s="367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55"/>
  <sheetViews>
    <sheetView tabSelected="1" topLeftCell="C23" workbookViewId="0">
      <selection activeCell="E59" sqref="E59"/>
    </sheetView>
  </sheetViews>
  <sheetFormatPr defaultRowHeight="12"/>
  <cols>
    <col min="1" max="1" width="29.625" style="3663" customWidth="1"/>
    <col min="2" max="2" width="6.25" style="3663" customWidth="1"/>
    <col min="3" max="3" width="7.875" style="3663" customWidth="1"/>
    <col min="4" max="5" width="13.875" style="3663" customWidth="1"/>
    <col min="6" max="6" width="16" style="3663" customWidth="1"/>
    <col min="7" max="7" width="7.875" style="3663" customWidth="1"/>
    <col min="8" max="8" width="14.375" style="3663" customWidth="1"/>
    <col min="9" max="9" width="7.875" style="3663" hidden="1" customWidth="1"/>
    <col min="10" max="10" width="9" style="3663" hidden="1" customWidth="1"/>
    <col min="11" max="11" width="9" style="3663" customWidth="1"/>
    <col min="12" max="13" width="10.625" style="3663" customWidth="1"/>
    <col min="14" max="14" width="14.375" style="3663" customWidth="1"/>
    <col min="15" max="15" width="6.25" style="3663" customWidth="1"/>
    <col min="16" max="16" width="27.75" style="3663" customWidth="1"/>
    <col min="17" max="17" width="7.875" style="3663" customWidth="1"/>
    <col min="18" max="256" width="9" style="3663"/>
    <col min="257" max="257" width="40.5" style="3663" customWidth="1"/>
    <col min="258" max="258" width="6.25" style="3663" customWidth="1"/>
    <col min="259" max="259" width="7.875" style="3663" customWidth="1"/>
    <col min="260" max="261" width="13.875" style="3663" customWidth="1"/>
    <col min="262" max="262" width="25.375" style="3663" customWidth="1"/>
    <col min="263" max="263" width="7.875" style="3663" customWidth="1"/>
    <col min="264" max="264" width="14.375" style="3663" customWidth="1"/>
    <col min="265" max="265" width="7.875" style="3663" customWidth="1"/>
    <col min="266" max="267" width="9" style="3663" customWidth="1"/>
    <col min="268" max="269" width="10.625" style="3663" customWidth="1"/>
    <col min="270" max="270" width="14.375" style="3663" customWidth="1"/>
    <col min="271" max="271" width="6.25" style="3663" customWidth="1"/>
    <col min="272" max="272" width="27.75" style="3663" customWidth="1"/>
    <col min="273" max="273" width="7.875" style="3663" customWidth="1"/>
    <col min="274" max="512" width="9" style="3663"/>
    <col min="513" max="513" width="40.5" style="3663" customWidth="1"/>
    <col min="514" max="514" width="6.25" style="3663" customWidth="1"/>
    <col min="515" max="515" width="7.875" style="3663" customWidth="1"/>
    <col min="516" max="517" width="13.875" style="3663" customWidth="1"/>
    <col min="518" max="518" width="25.375" style="3663" customWidth="1"/>
    <col min="519" max="519" width="7.875" style="3663" customWidth="1"/>
    <col min="520" max="520" width="14.375" style="3663" customWidth="1"/>
    <col min="521" max="521" width="7.875" style="3663" customWidth="1"/>
    <col min="522" max="523" width="9" style="3663" customWidth="1"/>
    <col min="524" max="525" width="10.625" style="3663" customWidth="1"/>
    <col min="526" max="526" width="14.375" style="3663" customWidth="1"/>
    <col min="527" max="527" width="6.25" style="3663" customWidth="1"/>
    <col min="528" max="528" width="27.75" style="3663" customWidth="1"/>
    <col min="529" max="529" width="7.875" style="3663" customWidth="1"/>
    <col min="530" max="768" width="9" style="3663"/>
    <col min="769" max="769" width="40.5" style="3663" customWidth="1"/>
    <col min="770" max="770" width="6.25" style="3663" customWidth="1"/>
    <col min="771" max="771" width="7.875" style="3663" customWidth="1"/>
    <col min="772" max="773" width="13.875" style="3663" customWidth="1"/>
    <col min="774" max="774" width="25.375" style="3663" customWidth="1"/>
    <col min="775" max="775" width="7.875" style="3663" customWidth="1"/>
    <col min="776" max="776" width="14.375" style="3663" customWidth="1"/>
    <col min="777" max="777" width="7.875" style="3663" customWidth="1"/>
    <col min="778" max="779" width="9" style="3663" customWidth="1"/>
    <col min="780" max="781" width="10.625" style="3663" customWidth="1"/>
    <col min="782" max="782" width="14.375" style="3663" customWidth="1"/>
    <col min="783" max="783" width="6.25" style="3663" customWidth="1"/>
    <col min="784" max="784" width="27.75" style="3663" customWidth="1"/>
    <col min="785" max="785" width="7.875" style="3663" customWidth="1"/>
    <col min="786" max="1024" width="9" style="3663"/>
    <col min="1025" max="1025" width="40.5" style="3663" customWidth="1"/>
    <col min="1026" max="1026" width="6.25" style="3663" customWidth="1"/>
    <col min="1027" max="1027" width="7.875" style="3663" customWidth="1"/>
    <col min="1028" max="1029" width="13.875" style="3663" customWidth="1"/>
    <col min="1030" max="1030" width="25.375" style="3663" customWidth="1"/>
    <col min="1031" max="1031" width="7.875" style="3663" customWidth="1"/>
    <col min="1032" max="1032" width="14.375" style="3663" customWidth="1"/>
    <col min="1033" max="1033" width="7.875" style="3663" customWidth="1"/>
    <col min="1034" max="1035" width="9" style="3663" customWidth="1"/>
    <col min="1036" max="1037" width="10.625" style="3663" customWidth="1"/>
    <col min="1038" max="1038" width="14.375" style="3663" customWidth="1"/>
    <col min="1039" max="1039" width="6.25" style="3663" customWidth="1"/>
    <col min="1040" max="1040" width="27.75" style="3663" customWidth="1"/>
    <col min="1041" max="1041" width="7.875" style="3663" customWidth="1"/>
    <col min="1042" max="1280" width="9" style="3663"/>
    <col min="1281" max="1281" width="40.5" style="3663" customWidth="1"/>
    <col min="1282" max="1282" width="6.25" style="3663" customWidth="1"/>
    <col min="1283" max="1283" width="7.875" style="3663" customWidth="1"/>
    <col min="1284" max="1285" width="13.875" style="3663" customWidth="1"/>
    <col min="1286" max="1286" width="25.375" style="3663" customWidth="1"/>
    <col min="1287" max="1287" width="7.875" style="3663" customWidth="1"/>
    <col min="1288" max="1288" width="14.375" style="3663" customWidth="1"/>
    <col min="1289" max="1289" width="7.875" style="3663" customWidth="1"/>
    <col min="1290" max="1291" width="9" style="3663" customWidth="1"/>
    <col min="1292" max="1293" width="10.625" style="3663" customWidth="1"/>
    <col min="1294" max="1294" width="14.375" style="3663" customWidth="1"/>
    <col min="1295" max="1295" width="6.25" style="3663" customWidth="1"/>
    <col min="1296" max="1296" width="27.75" style="3663" customWidth="1"/>
    <col min="1297" max="1297" width="7.875" style="3663" customWidth="1"/>
    <col min="1298" max="1536" width="9" style="3663"/>
    <col min="1537" max="1537" width="40.5" style="3663" customWidth="1"/>
    <col min="1538" max="1538" width="6.25" style="3663" customWidth="1"/>
    <col min="1539" max="1539" width="7.875" style="3663" customWidth="1"/>
    <col min="1540" max="1541" width="13.875" style="3663" customWidth="1"/>
    <col min="1542" max="1542" width="25.375" style="3663" customWidth="1"/>
    <col min="1543" max="1543" width="7.875" style="3663" customWidth="1"/>
    <col min="1544" max="1544" width="14.375" style="3663" customWidth="1"/>
    <col min="1545" max="1545" width="7.875" style="3663" customWidth="1"/>
    <col min="1546" max="1547" width="9" style="3663" customWidth="1"/>
    <col min="1548" max="1549" width="10.625" style="3663" customWidth="1"/>
    <col min="1550" max="1550" width="14.375" style="3663" customWidth="1"/>
    <col min="1551" max="1551" width="6.25" style="3663" customWidth="1"/>
    <col min="1552" max="1552" width="27.75" style="3663" customWidth="1"/>
    <col min="1553" max="1553" width="7.875" style="3663" customWidth="1"/>
    <col min="1554" max="1792" width="9" style="3663"/>
    <col min="1793" max="1793" width="40.5" style="3663" customWidth="1"/>
    <col min="1794" max="1794" width="6.25" style="3663" customWidth="1"/>
    <col min="1795" max="1795" width="7.875" style="3663" customWidth="1"/>
    <col min="1796" max="1797" width="13.875" style="3663" customWidth="1"/>
    <col min="1798" max="1798" width="25.375" style="3663" customWidth="1"/>
    <col min="1799" max="1799" width="7.875" style="3663" customWidth="1"/>
    <col min="1800" max="1800" width="14.375" style="3663" customWidth="1"/>
    <col min="1801" max="1801" width="7.875" style="3663" customWidth="1"/>
    <col min="1802" max="1803" width="9" style="3663" customWidth="1"/>
    <col min="1804" max="1805" width="10.625" style="3663" customWidth="1"/>
    <col min="1806" max="1806" width="14.375" style="3663" customWidth="1"/>
    <col min="1807" max="1807" width="6.25" style="3663" customWidth="1"/>
    <col min="1808" max="1808" width="27.75" style="3663" customWidth="1"/>
    <col min="1809" max="1809" width="7.875" style="3663" customWidth="1"/>
    <col min="1810" max="2048" width="9" style="3663"/>
    <col min="2049" max="2049" width="40.5" style="3663" customWidth="1"/>
    <col min="2050" max="2050" width="6.25" style="3663" customWidth="1"/>
    <col min="2051" max="2051" width="7.875" style="3663" customWidth="1"/>
    <col min="2052" max="2053" width="13.875" style="3663" customWidth="1"/>
    <col min="2054" max="2054" width="25.375" style="3663" customWidth="1"/>
    <col min="2055" max="2055" width="7.875" style="3663" customWidth="1"/>
    <col min="2056" max="2056" width="14.375" style="3663" customWidth="1"/>
    <col min="2057" max="2057" width="7.875" style="3663" customWidth="1"/>
    <col min="2058" max="2059" width="9" style="3663" customWidth="1"/>
    <col min="2060" max="2061" width="10.625" style="3663" customWidth="1"/>
    <col min="2062" max="2062" width="14.375" style="3663" customWidth="1"/>
    <col min="2063" max="2063" width="6.25" style="3663" customWidth="1"/>
    <col min="2064" max="2064" width="27.75" style="3663" customWidth="1"/>
    <col min="2065" max="2065" width="7.875" style="3663" customWidth="1"/>
    <col min="2066" max="2304" width="9" style="3663"/>
    <col min="2305" max="2305" width="40.5" style="3663" customWidth="1"/>
    <col min="2306" max="2306" width="6.25" style="3663" customWidth="1"/>
    <col min="2307" max="2307" width="7.875" style="3663" customWidth="1"/>
    <col min="2308" max="2309" width="13.875" style="3663" customWidth="1"/>
    <col min="2310" max="2310" width="25.375" style="3663" customWidth="1"/>
    <col min="2311" max="2311" width="7.875" style="3663" customWidth="1"/>
    <col min="2312" max="2312" width="14.375" style="3663" customWidth="1"/>
    <col min="2313" max="2313" width="7.875" style="3663" customWidth="1"/>
    <col min="2314" max="2315" width="9" style="3663" customWidth="1"/>
    <col min="2316" max="2317" width="10.625" style="3663" customWidth="1"/>
    <col min="2318" max="2318" width="14.375" style="3663" customWidth="1"/>
    <col min="2319" max="2319" width="6.25" style="3663" customWidth="1"/>
    <col min="2320" max="2320" width="27.75" style="3663" customWidth="1"/>
    <col min="2321" max="2321" width="7.875" style="3663" customWidth="1"/>
    <col min="2322" max="2560" width="9" style="3663"/>
    <col min="2561" max="2561" width="40.5" style="3663" customWidth="1"/>
    <col min="2562" max="2562" width="6.25" style="3663" customWidth="1"/>
    <col min="2563" max="2563" width="7.875" style="3663" customWidth="1"/>
    <col min="2564" max="2565" width="13.875" style="3663" customWidth="1"/>
    <col min="2566" max="2566" width="25.375" style="3663" customWidth="1"/>
    <col min="2567" max="2567" width="7.875" style="3663" customWidth="1"/>
    <col min="2568" max="2568" width="14.375" style="3663" customWidth="1"/>
    <col min="2569" max="2569" width="7.875" style="3663" customWidth="1"/>
    <col min="2570" max="2571" width="9" style="3663" customWidth="1"/>
    <col min="2572" max="2573" width="10.625" style="3663" customWidth="1"/>
    <col min="2574" max="2574" width="14.375" style="3663" customWidth="1"/>
    <col min="2575" max="2575" width="6.25" style="3663" customWidth="1"/>
    <col min="2576" max="2576" width="27.75" style="3663" customWidth="1"/>
    <col min="2577" max="2577" width="7.875" style="3663" customWidth="1"/>
    <col min="2578" max="2816" width="9" style="3663"/>
    <col min="2817" max="2817" width="40.5" style="3663" customWidth="1"/>
    <col min="2818" max="2818" width="6.25" style="3663" customWidth="1"/>
    <col min="2819" max="2819" width="7.875" style="3663" customWidth="1"/>
    <col min="2820" max="2821" width="13.875" style="3663" customWidth="1"/>
    <col min="2822" max="2822" width="25.375" style="3663" customWidth="1"/>
    <col min="2823" max="2823" width="7.875" style="3663" customWidth="1"/>
    <col min="2824" max="2824" width="14.375" style="3663" customWidth="1"/>
    <col min="2825" max="2825" width="7.875" style="3663" customWidth="1"/>
    <col min="2826" max="2827" width="9" style="3663" customWidth="1"/>
    <col min="2828" max="2829" width="10.625" style="3663" customWidth="1"/>
    <col min="2830" max="2830" width="14.375" style="3663" customWidth="1"/>
    <col min="2831" max="2831" width="6.25" style="3663" customWidth="1"/>
    <col min="2832" max="2832" width="27.75" style="3663" customWidth="1"/>
    <col min="2833" max="2833" width="7.875" style="3663" customWidth="1"/>
    <col min="2834" max="3072" width="9" style="3663"/>
    <col min="3073" max="3073" width="40.5" style="3663" customWidth="1"/>
    <col min="3074" max="3074" width="6.25" style="3663" customWidth="1"/>
    <col min="3075" max="3075" width="7.875" style="3663" customWidth="1"/>
    <col min="3076" max="3077" width="13.875" style="3663" customWidth="1"/>
    <col min="3078" max="3078" width="25.375" style="3663" customWidth="1"/>
    <col min="3079" max="3079" width="7.875" style="3663" customWidth="1"/>
    <col min="3080" max="3080" width="14.375" style="3663" customWidth="1"/>
    <col min="3081" max="3081" width="7.875" style="3663" customWidth="1"/>
    <col min="3082" max="3083" width="9" style="3663" customWidth="1"/>
    <col min="3084" max="3085" width="10.625" style="3663" customWidth="1"/>
    <col min="3086" max="3086" width="14.375" style="3663" customWidth="1"/>
    <col min="3087" max="3087" width="6.25" style="3663" customWidth="1"/>
    <col min="3088" max="3088" width="27.75" style="3663" customWidth="1"/>
    <col min="3089" max="3089" width="7.875" style="3663" customWidth="1"/>
    <col min="3090" max="3328" width="9" style="3663"/>
    <col min="3329" max="3329" width="40.5" style="3663" customWidth="1"/>
    <col min="3330" max="3330" width="6.25" style="3663" customWidth="1"/>
    <col min="3331" max="3331" width="7.875" style="3663" customWidth="1"/>
    <col min="3332" max="3333" width="13.875" style="3663" customWidth="1"/>
    <col min="3334" max="3334" width="25.375" style="3663" customWidth="1"/>
    <col min="3335" max="3335" width="7.875" style="3663" customWidth="1"/>
    <col min="3336" max="3336" width="14.375" style="3663" customWidth="1"/>
    <col min="3337" max="3337" width="7.875" style="3663" customWidth="1"/>
    <col min="3338" max="3339" width="9" style="3663" customWidth="1"/>
    <col min="3340" max="3341" width="10.625" style="3663" customWidth="1"/>
    <col min="3342" max="3342" width="14.375" style="3663" customWidth="1"/>
    <col min="3343" max="3343" width="6.25" style="3663" customWidth="1"/>
    <col min="3344" max="3344" width="27.75" style="3663" customWidth="1"/>
    <col min="3345" max="3345" width="7.875" style="3663" customWidth="1"/>
    <col min="3346" max="3584" width="9" style="3663"/>
    <col min="3585" max="3585" width="40.5" style="3663" customWidth="1"/>
    <col min="3586" max="3586" width="6.25" style="3663" customWidth="1"/>
    <col min="3587" max="3587" width="7.875" style="3663" customWidth="1"/>
    <col min="3588" max="3589" width="13.875" style="3663" customWidth="1"/>
    <col min="3590" max="3590" width="25.375" style="3663" customWidth="1"/>
    <col min="3591" max="3591" width="7.875" style="3663" customWidth="1"/>
    <col min="3592" max="3592" width="14.375" style="3663" customWidth="1"/>
    <col min="3593" max="3593" width="7.875" style="3663" customWidth="1"/>
    <col min="3594" max="3595" width="9" style="3663" customWidth="1"/>
    <col min="3596" max="3597" width="10.625" style="3663" customWidth="1"/>
    <col min="3598" max="3598" width="14.375" style="3663" customWidth="1"/>
    <col min="3599" max="3599" width="6.25" style="3663" customWidth="1"/>
    <col min="3600" max="3600" width="27.75" style="3663" customWidth="1"/>
    <col min="3601" max="3601" width="7.875" style="3663" customWidth="1"/>
    <col min="3602" max="3840" width="9" style="3663"/>
    <col min="3841" max="3841" width="40.5" style="3663" customWidth="1"/>
    <col min="3842" max="3842" width="6.25" style="3663" customWidth="1"/>
    <col min="3843" max="3843" width="7.875" style="3663" customWidth="1"/>
    <col min="3844" max="3845" width="13.875" style="3663" customWidth="1"/>
    <col min="3846" max="3846" width="25.375" style="3663" customWidth="1"/>
    <col min="3847" max="3847" width="7.875" style="3663" customWidth="1"/>
    <col min="3848" max="3848" width="14.375" style="3663" customWidth="1"/>
    <col min="3849" max="3849" width="7.875" style="3663" customWidth="1"/>
    <col min="3850" max="3851" width="9" style="3663" customWidth="1"/>
    <col min="3852" max="3853" width="10.625" style="3663" customWidth="1"/>
    <col min="3854" max="3854" width="14.375" style="3663" customWidth="1"/>
    <col min="3855" max="3855" width="6.25" style="3663" customWidth="1"/>
    <col min="3856" max="3856" width="27.75" style="3663" customWidth="1"/>
    <col min="3857" max="3857" width="7.875" style="3663" customWidth="1"/>
    <col min="3858" max="4096" width="9" style="3663"/>
    <col min="4097" max="4097" width="40.5" style="3663" customWidth="1"/>
    <col min="4098" max="4098" width="6.25" style="3663" customWidth="1"/>
    <col min="4099" max="4099" width="7.875" style="3663" customWidth="1"/>
    <col min="4100" max="4101" width="13.875" style="3663" customWidth="1"/>
    <col min="4102" max="4102" width="25.375" style="3663" customWidth="1"/>
    <col min="4103" max="4103" width="7.875" style="3663" customWidth="1"/>
    <col min="4104" max="4104" width="14.375" style="3663" customWidth="1"/>
    <col min="4105" max="4105" width="7.875" style="3663" customWidth="1"/>
    <col min="4106" max="4107" width="9" style="3663" customWidth="1"/>
    <col min="4108" max="4109" width="10.625" style="3663" customWidth="1"/>
    <col min="4110" max="4110" width="14.375" style="3663" customWidth="1"/>
    <col min="4111" max="4111" width="6.25" style="3663" customWidth="1"/>
    <col min="4112" max="4112" width="27.75" style="3663" customWidth="1"/>
    <col min="4113" max="4113" width="7.875" style="3663" customWidth="1"/>
    <col min="4114" max="4352" width="9" style="3663"/>
    <col min="4353" max="4353" width="40.5" style="3663" customWidth="1"/>
    <col min="4354" max="4354" width="6.25" style="3663" customWidth="1"/>
    <col min="4355" max="4355" width="7.875" style="3663" customWidth="1"/>
    <col min="4356" max="4357" width="13.875" style="3663" customWidth="1"/>
    <col min="4358" max="4358" width="25.375" style="3663" customWidth="1"/>
    <col min="4359" max="4359" width="7.875" style="3663" customWidth="1"/>
    <col min="4360" max="4360" width="14.375" style="3663" customWidth="1"/>
    <col min="4361" max="4361" width="7.875" style="3663" customWidth="1"/>
    <col min="4362" max="4363" width="9" style="3663" customWidth="1"/>
    <col min="4364" max="4365" width="10.625" style="3663" customWidth="1"/>
    <col min="4366" max="4366" width="14.375" style="3663" customWidth="1"/>
    <col min="4367" max="4367" width="6.25" style="3663" customWidth="1"/>
    <col min="4368" max="4368" width="27.75" style="3663" customWidth="1"/>
    <col min="4369" max="4369" width="7.875" style="3663" customWidth="1"/>
    <col min="4370" max="4608" width="9" style="3663"/>
    <col min="4609" max="4609" width="40.5" style="3663" customWidth="1"/>
    <col min="4610" max="4610" width="6.25" style="3663" customWidth="1"/>
    <col min="4611" max="4611" width="7.875" style="3663" customWidth="1"/>
    <col min="4612" max="4613" width="13.875" style="3663" customWidth="1"/>
    <col min="4614" max="4614" width="25.375" style="3663" customWidth="1"/>
    <col min="4615" max="4615" width="7.875" style="3663" customWidth="1"/>
    <col min="4616" max="4616" width="14.375" style="3663" customWidth="1"/>
    <col min="4617" max="4617" width="7.875" style="3663" customWidth="1"/>
    <col min="4618" max="4619" width="9" style="3663" customWidth="1"/>
    <col min="4620" max="4621" width="10.625" style="3663" customWidth="1"/>
    <col min="4622" max="4622" width="14.375" style="3663" customWidth="1"/>
    <col min="4623" max="4623" width="6.25" style="3663" customWidth="1"/>
    <col min="4624" max="4624" width="27.75" style="3663" customWidth="1"/>
    <col min="4625" max="4625" width="7.875" style="3663" customWidth="1"/>
    <col min="4626" max="4864" width="9" style="3663"/>
    <col min="4865" max="4865" width="40.5" style="3663" customWidth="1"/>
    <col min="4866" max="4866" width="6.25" style="3663" customWidth="1"/>
    <col min="4867" max="4867" width="7.875" style="3663" customWidth="1"/>
    <col min="4868" max="4869" width="13.875" style="3663" customWidth="1"/>
    <col min="4870" max="4870" width="25.375" style="3663" customWidth="1"/>
    <col min="4871" max="4871" width="7.875" style="3663" customWidth="1"/>
    <col min="4872" max="4872" width="14.375" style="3663" customWidth="1"/>
    <col min="4873" max="4873" width="7.875" style="3663" customWidth="1"/>
    <col min="4874" max="4875" width="9" style="3663" customWidth="1"/>
    <col min="4876" max="4877" width="10.625" style="3663" customWidth="1"/>
    <col min="4878" max="4878" width="14.375" style="3663" customWidth="1"/>
    <col min="4879" max="4879" width="6.25" style="3663" customWidth="1"/>
    <col min="4880" max="4880" width="27.75" style="3663" customWidth="1"/>
    <col min="4881" max="4881" width="7.875" style="3663" customWidth="1"/>
    <col min="4882" max="5120" width="9" style="3663"/>
    <col min="5121" max="5121" width="40.5" style="3663" customWidth="1"/>
    <col min="5122" max="5122" width="6.25" style="3663" customWidth="1"/>
    <col min="5123" max="5123" width="7.875" style="3663" customWidth="1"/>
    <col min="5124" max="5125" width="13.875" style="3663" customWidth="1"/>
    <col min="5126" max="5126" width="25.375" style="3663" customWidth="1"/>
    <col min="5127" max="5127" width="7.875" style="3663" customWidth="1"/>
    <col min="5128" max="5128" width="14.375" style="3663" customWidth="1"/>
    <col min="5129" max="5129" width="7.875" style="3663" customWidth="1"/>
    <col min="5130" max="5131" width="9" style="3663" customWidth="1"/>
    <col min="5132" max="5133" width="10.625" style="3663" customWidth="1"/>
    <col min="5134" max="5134" width="14.375" style="3663" customWidth="1"/>
    <col min="5135" max="5135" width="6.25" style="3663" customWidth="1"/>
    <col min="5136" max="5136" width="27.75" style="3663" customWidth="1"/>
    <col min="5137" max="5137" width="7.875" style="3663" customWidth="1"/>
    <col min="5138" max="5376" width="9" style="3663"/>
    <col min="5377" max="5377" width="40.5" style="3663" customWidth="1"/>
    <col min="5378" max="5378" width="6.25" style="3663" customWidth="1"/>
    <col min="5379" max="5379" width="7.875" style="3663" customWidth="1"/>
    <col min="5380" max="5381" width="13.875" style="3663" customWidth="1"/>
    <col min="5382" max="5382" width="25.375" style="3663" customWidth="1"/>
    <col min="5383" max="5383" width="7.875" style="3663" customWidth="1"/>
    <col min="5384" max="5384" width="14.375" style="3663" customWidth="1"/>
    <col min="5385" max="5385" width="7.875" style="3663" customWidth="1"/>
    <col min="5386" max="5387" width="9" style="3663" customWidth="1"/>
    <col min="5388" max="5389" width="10.625" style="3663" customWidth="1"/>
    <col min="5390" max="5390" width="14.375" style="3663" customWidth="1"/>
    <col min="5391" max="5391" width="6.25" style="3663" customWidth="1"/>
    <col min="5392" max="5392" width="27.75" style="3663" customWidth="1"/>
    <col min="5393" max="5393" width="7.875" style="3663" customWidth="1"/>
    <col min="5394" max="5632" width="9" style="3663"/>
    <col min="5633" max="5633" width="40.5" style="3663" customWidth="1"/>
    <col min="5634" max="5634" width="6.25" style="3663" customWidth="1"/>
    <col min="5635" max="5635" width="7.875" style="3663" customWidth="1"/>
    <col min="5636" max="5637" width="13.875" style="3663" customWidth="1"/>
    <col min="5638" max="5638" width="25.375" style="3663" customWidth="1"/>
    <col min="5639" max="5639" width="7.875" style="3663" customWidth="1"/>
    <col min="5640" max="5640" width="14.375" style="3663" customWidth="1"/>
    <col min="5641" max="5641" width="7.875" style="3663" customWidth="1"/>
    <col min="5642" max="5643" width="9" style="3663" customWidth="1"/>
    <col min="5644" max="5645" width="10.625" style="3663" customWidth="1"/>
    <col min="5646" max="5646" width="14.375" style="3663" customWidth="1"/>
    <col min="5647" max="5647" width="6.25" style="3663" customWidth="1"/>
    <col min="5648" max="5648" width="27.75" style="3663" customWidth="1"/>
    <col min="5649" max="5649" width="7.875" style="3663" customWidth="1"/>
    <col min="5650" max="5888" width="9" style="3663"/>
    <col min="5889" max="5889" width="40.5" style="3663" customWidth="1"/>
    <col min="5890" max="5890" width="6.25" style="3663" customWidth="1"/>
    <col min="5891" max="5891" width="7.875" style="3663" customWidth="1"/>
    <col min="5892" max="5893" width="13.875" style="3663" customWidth="1"/>
    <col min="5894" max="5894" width="25.375" style="3663" customWidth="1"/>
    <col min="5895" max="5895" width="7.875" style="3663" customWidth="1"/>
    <col min="5896" max="5896" width="14.375" style="3663" customWidth="1"/>
    <col min="5897" max="5897" width="7.875" style="3663" customWidth="1"/>
    <col min="5898" max="5899" width="9" style="3663" customWidth="1"/>
    <col min="5900" max="5901" width="10.625" style="3663" customWidth="1"/>
    <col min="5902" max="5902" width="14.375" style="3663" customWidth="1"/>
    <col min="5903" max="5903" width="6.25" style="3663" customWidth="1"/>
    <col min="5904" max="5904" width="27.75" style="3663" customWidth="1"/>
    <col min="5905" max="5905" width="7.875" style="3663" customWidth="1"/>
    <col min="5906" max="6144" width="9" style="3663"/>
    <col min="6145" max="6145" width="40.5" style="3663" customWidth="1"/>
    <col min="6146" max="6146" width="6.25" style="3663" customWidth="1"/>
    <col min="6147" max="6147" width="7.875" style="3663" customWidth="1"/>
    <col min="6148" max="6149" width="13.875" style="3663" customWidth="1"/>
    <col min="6150" max="6150" width="25.375" style="3663" customWidth="1"/>
    <col min="6151" max="6151" width="7.875" style="3663" customWidth="1"/>
    <col min="6152" max="6152" width="14.375" style="3663" customWidth="1"/>
    <col min="6153" max="6153" width="7.875" style="3663" customWidth="1"/>
    <col min="6154" max="6155" width="9" style="3663" customWidth="1"/>
    <col min="6156" max="6157" width="10.625" style="3663" customWidth="1"/>
    <col min="6158" max="6158" width="14.375" style="3663" customWidth="1"/>
    <col min="6159" max="6159" width="6.25" style="3663" customWidth="1"/>
    <col min="6160" max="6160" width="27.75" style="3663" customWidth="1"/>
    <col min="6161" max="6161" width="7.875" style="3663" customWidth="1"/>
    <col min="6162" max="6400" width="9" style="3663"/>
    <col min="6401" max="6401" width="40.5" style="3663" customWidth="1"/>
    <col min="6402" max="6402" width="6.25" style="3663" customWidth="1"/>
    <col min="6403" max="6403" width="7.875" style="3663" customWidth="1"/>
    <col min="6404" max="6405" width="13.875" style="3663" customWidth="1"/>
    <col min="6406" max="6406" width="25.375" style="3663" customWidth="1"/>
    <col min="6407" max="6407" width="7.875" style="3663" customWidth="1"/>
    <col min="6408" max="6408" width="14.375" style="3663" customWidth="1"/>
    <col min="6409" max="6409" width="7.875" style="3663" customWidth="1"/>
    <col min="6410" max="6411" width="9" style="3663" customWidth="1"/>
    <col min="6412" max="6413" width="10.625" style="3663" customWidth="1"/>
    <col min="6414" max="6414" width="14.375" style="3663" customWidth="1"/>
    <col min="6415" max="6415" width="6.25" style="3663" customWidth="1"/>
    <col min="6416" max="6416" width="27.75" style="3663" customWidth="1"/>
    <col min="6417" max="6417" width="7.875" style="3663" customWidth="1"/>
    <col min="6418" max="6656" width="9" style="3663"/>
    <col min="6657" max="6657" width="40.5" style="3663" customWidth="1"/>
    <col min="6658" max="6658" width="6.25" style="3663" customWidth="1"/>
    <col min="6659" max="6659" width="7.875" style="3663" customWidth="1"/>
    <col min="6660" max="6661" width="13.875" style="3663" customWidth="1"/>
    <col min="6662" max="6662" width="25.375" style="3663" customWidth="1"/>
    <col min="6663" max="6663" width="7.875" style="3663" customWidth="1"/>
    <col min="6664" max="6664" width="14.375" style="3663" customWidth="1"/>
    <col min="6665" max="6665" width="7.875" style="3663" customWidth="1"/>
    <col min="6666" max="6667" width="9" style="3663" customWidth="1"/>
    <col min="6668" max="6669" width="10.625" style="3663" customWidth="1"/>
    <col min="6670" max="6670" width="14.375" style="3663" customWidth="1"/>
    <col min="6671" max="6671" width="6.25" style="3663" customWidth="1"/>
    <col min="6672" max="6672" width="27.75" style="3663" customWidth="1"/>
    <col min="6673" max="6673" width="7.875" style="3663" customWidth="1"/>
    <col min="6674" max="6912" width="9" style="3663"/>
    <col min="6913" max="6913" width="40.5" style="3663" customWidth="1"/>
    <col min="6914" max="6914" width="6.25" style="3663" customWidth="1"/>
    <col min="6915" max="6915" width="7.875" style="3663" customWidth="1"/>
    <col min="6916" max="6917" width="13.875" style="3663" customWidth="1"/>
    <col min="6918" max="6918" width="25.375" style="3663" customWidth="1"/>
    <col min="6919" max="6919" width="7.875" style="3663" customWidth="1"/>
    <col min="6920" max="6920" width="14.375" style="3663" customWidth="1"/>
    <col min="6921" max="6921" width="7.875" style="3663" customWidth="1"/>
    <col min="6922" max="6923" width="9" style="3663" customWidth="1"/>
    <col min="6924" max="6925" width="10.625" style="3663" customWidth="1"/>
    <col min="6926" max="6926" width="14.375" style="3663" customWidth="1"/>
    <col min="6927" max="6927" width="6.25" style="3663" customWidth="1"/>
    <col min="6928" max="6928" width="27.75" style="3663" customWidth="1"/>
    <col min="6929" max="6929" width="7.875" style="3663" customWidth="1"/>
    <col min="6930" max="7168" width="9" style="3663"/>
    <col min="7169" max="7169" width="40.5" style="3663" customWidth="1"/>
    <col min="7170" max="7170" width="6.25" style="3663" customWidth="1"/>
    <col min="7171" max="7171" width="7.875" style="3663" customWidth="1"/>
    <col min="7172" max="7173" width="13.875" style="3663" customWidth="1"/>
    <col min="7174" max="7174" width="25.375" style="3663" customWidth="1"/>
    <col min="7175" max="7175" width="7.875" style="3663" customWidth="1"/>
    <col min="7176" max="7176" width="14.375" style="3663" customWidth="1"/>
    <col min="7177" max="7177" width="7.875" style="3663" customWidth="1"/>
    <col min="7178" max="7179" width="9" style="3663" customWidth="1"/>
    <col min="7180" max="7181" width="10.625" style="3663" customWidth="1"/>
    <col min="7182" max="7182" width="14.375" style="3663" customWidth="1"/>
    <col min="7183" max="7183" width="6.25" style="3663" customWidth="1"/>
    <col min="7184" max="7184" width="27.75" style="3663" customWidth="1"/>
    <col min="7185" max="7185" width="7.875" style="3663" customWidth="1"/>
    <col min="7186" max="7424" width="9" style="3663"/>
    <col min="7425" max="7425" width="40.5" style="3663" customWidth="1"/>
    <col min="7426" max="7426" width="6.25" style="3663" customWidth="1"/>
    <col min="7427" max="7427" width="7.875" style="3663" customWidth="1"/>
    <col min="7428" max="7429" width="13.875" style="3663" customWidth="1"/>
    <col min="7430" max="7430" width="25.375" style="3663" customWidth="1"/>
    <col min="7431" max="7431" width="7.875" style="3663" customWidth="1"/>
    <col min="7432" max="7432" width="14.375" style="3663" customWidth="1"/>
    <col min="7433" max="7433" width="7.875" style="3663" customWidth="1"/>
    <col min="7434" max="7435" width="9" style="3663" customWidth="1"/>
    <col min="7436" max="7437" width="10.625" style="3663" customWidth="1"/>
    <col min="7438" max="7438" width="14.375" style="3663" customWidth="1"/>
    <col min="7439" max="7439" width="6.25" style="3663" customWidth="1"/>
    <col min="7440" max="7440" width="27.75" style="3663" customWidth="1"/>
    <col min="7441" max="7441" width="7.875" style="3663" customWidth="1"/>
    <col min="7442" max="7680" width="9" style="3663"/>
    <col min="7681" max="7681" width="40.5" style="3663" customWidth="1"/>
    <col min="7682" max="7682" width="6.25" style="3663" customWidth="1"/>
    <col min="7683" max="7683" width="7.875" style="3663" customWidth="1"/>
    <col min="7684" max="7685" width="13.875" style="3663" customWidth="1"/>
    <col min="7686" max="7686" width="25.375" style="3663" customWidth="1"/>
    <col min="7687" max="7687" width="7.875" style="3663" customWidth="1"/>
    <col min="7688" max="7688" width="14.375" style="3663" customWidth="1"/>
    <col min="7689" max="7689" width="7.875" style="3663" customWidth="1"/>
    <col min="7690" max="7691" width="9" style="3663" customWidth="1"/>
    <col min="7692" max="7693" width="10.625" style="3663" customWidth="1"/>
    <col min="7694" max="7694" width="14.375" style="3663" customWidth="1"/>
    <col min="7695" max="7695" width="6.25" style="3663" customWidth="1"/>
    <col min="7696" max="7696" width="27.75" style="3663" customWidth="1"/>
    <col min="7697" max="7697" width="7.875" style="3663" customWidth="1"/>
    <col min="7698" max="7936" width="9" style="3663"/>
    <col min="7937" max="7937" width="40.5" style="3663" customWidth="1"/>
    <col min="7938" max="7938" width="6.25" style="3663" customWidth="1"/>
    <col min="7939" max="7939" width="7.875" style="3663" customWidth="1"/>
    <col min="7940" max="7941" width="13.875" style="3663" customWidth="1"/>
    <col min="7942" max="7942" width="25.375" style="3663" customWidth="1"/>
    <col min="7943" max="7943" width="7.875" style="3663" customWidth="1"/>
    <col min="7944" max="7944" width="14.375" style="3663" customWidth="1"/>
    <col min="7945" max="7945" width="7.875" style="3663" customWidth="1"/>
    <col min="7946" max="7947" width="9" style="3663" customWidth="1"/>
    <col min="7948" max="7949" width="10.625" style="3663" customWidth="1"/>
    <col min="7950" max="7950" width="14.375" style="3663" customWidth="1"/>
    <col min="7951" max="7951" width="6.25" style="3663" customWidth="1"/>
    <col min="7952" max="7952" width="27.75" style="3663" customWidth="1"/>
    <col min="7953" max="7953" width="7.875" style="3663" customWidth="1"/>
    <col min="7954" max="8192" width="9" style="3663"/>
    <col min="8193" max="8193" width="40.5" style="3663" customWidth="1"/>
    <col min="8194" max="8194" width="6.25" style="3663" customWidth="1"/>
    <col min="8195" max="8195" width="7.875" style="3663" customWidth="1"/>
    <col min="8196" max="8197" width="13.875" style="3663" customWidth="1"/>
    <col min="8198" max="8198" width="25.375" style="3663" customWidth="1"/>
    <col min="8199" max="8199" width="7.875" style="3663" customWidth="1"/>
    <col min="8200" max="8200" width="14.375" style="3663" customWidth="1"/>
    <col min="8201" max="8201" width="7.875" style="3663" customWidth="1"/>
    <col min="8202" max="8203" width="9" style="3663" customWidth="1"/>
    <col min="8204" max="8205" width="10.625" style="3663" customWidth="1"/>
    <col min="8206" max="8206" width="14.375" style="3663" customWidth="1"/>
    <col min="8207" max="8207" width="6.25" style="3663" customWidth="1"/>
    <col min="8208" max="8208" width="27.75" style="3663" customWidth="1"/>
    <col min="8209" max="8209" width="7.875" style="3663" customWidth="1"/>
    <col min="8210" max="8448" width="9" style="3663"/>
    <col min="8449" max="8449" width="40.5" style="3663" customWidth="1"/>
    <col min="8450" max="8450" width="6.25" style="3663" customWidth="1"/>
    <col min="8451" max="8451" width="7.875" style="3663" customWidth="1"/>
    <col min="8452" max="8453" width="13.875" style="3663" customWidth="1"/>
    <col min="8454" max="8454" width="25.375" style="3663" customWidth="1"/>
    <col min="8455" max="8455" width="7.875" style="3663" customWidth="1"/>
    <col min="8456" max="8456" width="14.375" style="3663" customWidth="1"/>
    <col min="8457" max="8457" width="7.875" style="3663" customWidth="1"/>
    <col min="8458" max="8459" width="9" style="3663" customWidth="1"/>
    <col min="8460" max="8461" width="10.625" style="3663" customWidth="1"/>
    <col min="8462" max="8462" width="14.375" style="3663" customWidth="1"/>
    <col min="8463" max="8463" width="6.25" style="3663" customWidth="1"/>
    <col min="8464" max="8464" width="27.75" style="3663" customWidth="1"/>
    <col min="8465" max="8465" width="7.875" style="3663" customWidth="1"/>
    <col min="8466" max="8704" width="9" style="3663"/>
    <col min="8705" max="8705" width="40.5" style="3663" customWidth="1"/>
    <col min="8706" max="8706" width="6.25" style="3663" customWidth="1"/>
    <col min="8707" max="8707" width="7.875" style="3663" customWidth="1"/>
    <col min="8708" max="8709" width="13.875" style="3663" customWidth="1"/>
    <col min="8710" max="8710" width="25.375" style="3663" customWidth="1"/>
    <col min="8711" max="8711" width="7.875" style="3663" customWidth="1"/>
    <col min="8712" max="8712" width="14.375" style="3663" customWidth="1"/>
    <col min="8713" max="8713" width="7.875" style="3663" customWidth="1"/>
    <col min="8714" max="8715" width="9" style="3663" customWidth="1"/>
    <col min="8716" max="8717" width="10.625" style="3663" customWidth="1"/>
    <col min="8718" max="8718" width="14.375" style="3663" customWidth="1"/>
    <col min="8719" max="8719" width="6.25" style="3663" customWidth="1"/>
    <col min="8720" max="8720" width="27.75" style="3663" customWidth="1"/>
    <col min="8721" max="8721" width="7.875" style="3663" customWidth="1"/>
    <col min="8722" max="8960" width="9" style="3663"/>
    <col min="8961" max="8961" width="40.5" style="3663" customWidth="1"/>
    <col min="8962" max="8962" width="6.25" style="3663" customWidth="1"/>
    <col min="8963" max="8963" width="7.875" style="3663" customWidth="1"/>
    <col min="8964" max="8965" width="13.875" style="3663" customWidth="1"/>
    <col min="8966" max="8966" width="25.375" style="3663" customWidth="1"/>
    <col min="8967" max="8967" width="7.875" style="3663" customWidth="1"/>
    <col min="8968" max="8968" width="14.375" style="3663" customWidth="1"/>
    <col min="8969" max="8969" width="7.875" style="3663" customWidth="1"/>
    <col min="8970" max="8971" width="9" style="3663" customWidth="1"/>
    <col min="8972" max="8973" width="10.625" style="3663" customWidth="1"/>
    <col min="8974" max="8974" width="14.375" style="3663" customWidth="1"/>
    <col min="8975" max="8975" width="6.25" style="3663" customWidth="1"/>
    <col min="8976" max="8976" width="27.75" style="3663" customWidth="1"/>
    <col min="8977" max="8977" width="7.875" style="3663" customWidth="1"/>
    <col min="8978" max="9216" width="9" style="3663"/>
    <col min="9217" max="9217" width="40.5" style="3663" customWidth="1"/>
    <col min="9218" max="9218" width="6.25" style="3663" customWidth="1"/>
    <col min="9219" max="9219" width="7.875" style="3663" customWidth="1"/>
    <col min="9220" max="9221" width="13.875" style="3663" customWidth="1"/>
    <col min="9222" max="9222" width="25.375" style="3663" customWidth="1"/>
    <col min="9223" max="9223" width="7.875" style="3663" customWidth="1"/>
    <col min="9224" max="9224" width="14.375" style="3663" customWidth="1"/>
    <col min="9225" max="9225" width="7.875" style="3663" customWidth="1"/>
    <col min="9226" max="9227" width="9" style="3663" customWidth="1"/>
    <col min="9228" max="9229" width="10.625" style="3663" customWidth="1"/>
    <col min="9230" max="9230" width="14.375" style="3663" customWidth="1"/>
    <col min="9231" max="9231" width="6.25" style="3663" customWidth="1"/>
    <col min="9232" max="9232" width="27.75" style="3663" customWidth="1"/>
    <col min="9233" max="9233" width="7.875" style="3663" customWidth="1"/>
    <col min="9234" max="9472" width="9" style="3663"/>
    <col min="9473" max="9473" width="40.5" style="3663" customWidth="1"/>
    <col min="9474" max="9474" width="6.25" style="3663" customWidth="1"/>
    <col min="9475" max="9475" width="7.875" style="3663" customWidth="1"/>
    <col min="9476" max="9477" width="13.875" style="3663" customWidth="1"/>
    <col min="9478" max="9478" width="25.375" style="3663" customWidth="1"/>
    <col min="9479" max="9479" width="7.875" style="3663" customWidth="1"/>
    <col min="9480" max="9480" width="14.375" style="3663" customWidth="1"/>
    <col min="9481" max="9481" width="7.875" style="3663" customWidth="1"/>
    <col min="9482" max="9483" width="9" style="3663" customWidth="1"/>
    <col min="9484" max="9485" width="10.625" style="3663" customWidth="1"/>
    <col min="9486" max="9486" width="14.375" style="3663" customWidth="1"/>
    <col min="9487" max="9487" width="6.25" style="3663" customWidth="1"/>
    <col min="9488" max="9488" width="27.75" style="3663" customWidth="1"/>
    <col min="9489" max="9489" width="7.875" style="3663" customWidth="1"/>
    <col min="9490" max="9728" width="9" style="3663"/>
    <col min="9729" max="9729" width="40.5" style="3663" customWidth="1"/>
    <col min="9730" max="9730" width="6.25" style="3663" customWidth="1"/>
    <col min="9731" max="9731" width="7.875" style="3663" customWidth="1"/>
    <col min="9732" max="9733" width="13.875" style="3663" customWidth="1"/>
    <col min="9734" max="9734" width="25.375" style="3663" customWidth="1"/>
    <col min="9735" max="9735" width="7.875" style="3663" customWidth="1"/>
    <col min="9736" max="9736" width="14.375" style="3663" customWidth="1"/>
    <col min="9737" max="9737" width="7.875" style="3663" customWidth="1"/>
    <col min="9738" max="9739" width="9" style="3663" customWidth="1"/>
    <col min="9740" max="9741" width="10.625" style="3663" customWidth="1"/>
    <col min="9742" max="9742" width="14.375" style="3663" customWidth="1"/>
    <col min="9743" max="9743" width="6.25" style="3663" customWidth="1"/>
    <col min="9744" max="9744" width="27.75" style="3663" customWidth="1"/>
    <col min="9745" max="9745" width="7.875" style="3663" customWidth="1"/>
    <col min="9746" max="9984" width="9" style="3663"/>
    <col min="9985" max="9985" width="40.5" style="3663" customWidth="1"/>
    <col min="9986" max="9986" width="6.25" style="3663" customWidth="1"/>
    <col min="9987" max="9987" width="7.875" style="3663" customWidth="1"/>
    <col min="9988" max="9989" width="13.875" style="3663" customWidth="1"/>
    <col min="9990" max="9990" width="25.375" style="3663" customWidth="1"/>
    <col min="9991" max="9991" width="7.875" style="3663" customWidth="1"/>
    <col min="9992" max="9992" width="14.375" style="3663" customWidth="1"/>
    <col min="9993" max="9993" width="7.875" style="3663" customWidth="1"/>
    <col min="9994" max="9995" width="9" style="3663" customWidth="1"/>
    <col min="9996" max="9997" width="10.625" style="3663" customWidth="1"/>
    <col min="9998" max="9998" width="14.375" style="3663" customWidth="1"/>
    <col min="9999" max="9999" width="6.25" style="3663" customWidth="1"/>
    <col min="10000" max="10000" width="27.75" style="3663" customWidth="1"/>
    <col min="10001" max="10001" width="7.875" style="3663" customWidth="1"/>
    <col min="10002" max="10240" width="9" style="3663"/>
    <col min="10241" max="10241" width="40.5" style="3663" customWidth="1"/>
    <col min="10242" max="10242" width="6.25" style="3663" customWidth="1"/>
    <col min="10243" max="10243" width="7.875" style="3663" customWidth="1"/>
    <col min="10244" max="10245" width="13.875" style="3663" customWidth="1"/>
    <col min="10246" max="10246" width="25.375" style="3663" customWidth="1"/>
    <col min="10247" max="10247" width="7.875" style="3663" customWidth="1"/>
    <col min="10248" max="10248" width="14.375" style="3663" customWidth="1"/>
    <col min="10249" max="10249" width="7.875" style="3663" customWidth="1"/>
    <col min="10250" max="10251" width="9" style="3663" customWidth="1"/>
    <col min="10252" max="10253" width="10.625" style="3663" customWidth="1"/>
    <col min="10254" max="10254" width="14.375" style="3663" customWidth="1"/>
    <col min="10255" max="10255" width="6.25" style="3663" customWidth="1"/>
    <col min="10256" max="10256" width="27.75" style="3663" customWidth="1"/>
    <col min="10257" max="10257" width="7.875" style="3663" customWidth="1"/>
    <col min="10258" max="10496" width="9" style="3663"/>
    <col min="10497" max="10497" width="40.5" style="3663" customWidth="1"/>
    <col min="10498" max="10498" width="6.25" style="3663" customWidth="1"/>
    <col min="10499" max="10499" width="7.875" style="3663" customWidth="1"/>
    <col min="10500" max="10501" width="13.875" style="3663" customWidth="1"/>
    <col min="10502" max="10502" width="25.375" style="3663" customWidth="1"/>
    <col min="10503" max="10503" width="7.875" style="3663" customWidth="1"/>
    <col min="10504" max="10504" width="14.375" style="3663" customWidth="1"/>
    <col min="10505" max="10505" width="7.875" style="3663" customWidth="1"/>
    <col min="10506" max="10507" width="9" style="3663" customWidth="1"/>
    <col min="10508" max="10509" width="10.625" style="3663" customWidth="1"/>
    <col min="10510" max="10510" width="14.375" style="3663" customWidth="1"/>
    <col min="10511" max="10511" width="6.25" style="3663" customWidth="1"/>
    <col min="10512" max="10512" width="27.75" style="3663" customWidth="1"/>
    <col min="10513" max="10513" width="7.875" style="3663" customWidth="1"/>
    <col min="10514" max="10752" width="9" style="3663"/>
    <col min="10753" max="10753" width="40.5" style="3663" customWidth="1"/>
    <col min="10754" max="10754" width="6.25" style="3663" customWidth="1"/>
    <col min="10755" max="10755" width="7.875" style="3663" customWidth="1"/>
    <col min="10756" max="10757" width="13.875" style="3663" customWidth="1"/>
    <col min="10758" max="10758" width="25.375" style="3663" customWidth="1"/>
    <col min="10759" max="10759" width="7.875" style="3663" customWidth="1"/>
    <col min="10760" max="10760" width="14.375" style="3663" customWidth="1"/>
    <col min="10761" max="10761" width="7.875" style="3663" customWidth="1"/>
    <col min="10762" max="10763" width="9" style="3663" customWidth="1"/>
    <col min="10764" max="10765" width="10.625" style="3663" customWidth="1"/>
    <col min="10766" max="10766" width="14.375" style="3663" customWidth="1"/>
    <col min="10767" max="10767" width="6.25" style="3663" customWidth="1"/>
    <col min="10768" max="10768" width="27.75" style="3663" customWidth="1"/>
    <col min="10769" max="10769" width="7.875" style="3663" customWidth="1"/>
    <col min="10770" max="11008" width="9" style="3663"/>
    <col min="11009" max="11009" width="40.5" style="3663" customWidth="1"/>
    <col min="11010" max="11010" width="6.25" style="3663" customWidth="1"/>
    <col min="11011" max="11011" width="7.875" style="3663" customWidth="1"/>
    <col min="11012" max="11013" width="13.875" style="3663" customWidth="1"/>
    <col min="11014" max="11014" width="25.375" style="3663" customWidth="1"/>
    <col min="11015" max="11015" width="7.875" style="3663" customWidth="1"/>
    <col min="11016" max="11016" width="14.375" style="3663" customWidth="1"/>
    <col min="11017" max="11017" width="7.875" style="3663" customWidth="1"/>
    <col min="11018" max="11019" width="9" style="3663" customWidth="1"/>
    <col min="11020" max="11021" width="10.625" style="3663" customWidth="1"/>
    <col min="11022" max="11022" width="14.375" style="3663" customWidth="1"/>
    <col min="11023" max="11023" width="6.25" style="3663" customWidth="1"/>
    <col min="11024" max="11024" width="27.75" style="3663" customWidth="1"/>
    <col min="11025" max="11025" width="7.875" style="3663" customWidth="1"/>
    <col min="11026" max="11264" width="9" style="3663"/>
    <col min="11265" max="11265" width="40.5" style="3663" customWidth="1"/>
    <col min="11266" max="11266" width="6.25" style="3663" customWidth="1"/>
    <col min="11267" max="11267" width="7.875" style="3663" customWidth="1"/>
    <col min="11268" max="11269" width="13.875" style="3663" customWidth="1"/>
    <col min="11270" max="11270" width="25.375" style="3663" customWidth="1"/>
    <col min="11271" max="11271" width="7.875" style="3663" customWidth="1"/>
    <col min="11272" max="11272" width="14.375" style="3663" customWidth="1"/>
    <col min="11273" max="11273" width="7.875" style="3663" customWidth="1"/>
    <col min="11274" max="11275" width="9" style="3663" customWidth="1"/>
    <col min="11276" max="11277" width="10.625" style="3663" customWidth="1"/>
    <col min="11278" max="11278" width="14.375" style="3663" customWidth="1"/>
    <col min="11279" max="11279" width="6.25" style="3663" customWidth="1"/>
    <col min="11280" max="11280" width="27.75" style="3663" customWidth="1"/>
    <col min="11281" max="11281" width="7.875" style="3663" customWidth="1"/>
    <col min="11282" max="11520" width="9" style="3663"/>
    <col min="11521" max="11521" width="40.5" style="3663" customWidth="1"/>
    <col min="11522" max="11522" width="6.25" style="3663" customWidth="1"/>
    <col min="11523" max="11523" width="7.875" style="3663" customWidth="1"/>
    <col min="11524" max="11525" width="13.875" style="3663" customWidth="1"/>
    <col min="11526" max="11526" width="25.375" style="3663" customWidth="1"/>
    <col min="11527" max="11527" width="7.875" style="3663" customWidth="1"/>
    <col min="11528" max="11528" width="14.375" style="3663" customWidth="1"/>
    <col min="11529" max="11529" width="7.875" style="3663" customWidth="1"/>
    <col min="11530" max="11531" width="9" style="3663" customWidth="1"/>
    <col min="11532" max="11533" width="10.625" style="3663" customWidth="1"/>
    <col min="11534" max="11534" width="14.375" style="3663" customWidth="1"/>
    <col min="11535" max="11535" width="6.25" style="3663" customWidth="1"/>
    <col min="11536" max="11536" width="27.75" style="3663" customWidth="1"/>
    <col min="11537" max="11537" width="7.875" style="3663" customWidth="1"/>
    <col min="11538" max="11776" width="9" style="3663"/>
    <col min="11777" max="11777" width="40.5" style="3663" customWidth="1"/>
    <col min="11778" max="11778" width="6.25" style="3663" customWidth="1"/>
    <col min="11779" max="11779" width="7.875" style="3663" customWidth="1"/>
    <col min="11780" max="11781" width="13.875" style="3663" customWidth="1"/>
    <col min="11782" max="11782" width="25.375" style="3663" customWidth="1"/>
    <col min="11783" max="11783" width="7.875" style="3663" customWidth="1"/>
    <col min="11784" max="11784" width="14.375" style="3663" customWidth="1"/>
    <col min="11785" max="11785" width="7.875" style="3663" customWidth="1"/>
    <col min="11786" max="11787" width="9" style="3663" customWidth="1"/>
    <col min="11788" max="11789" width="10.625" style="3663" customWidth="1"/>
    <col min="11790" max="11790" width="14.375" style="3663" customWidth="1"/>
    <col min="11791" max="11791" width="6.25" style="3663" customWidth="1"/>
    <col min="11792" max="11792" width="27.75" style="3663" customWidth="1"/>
    <col min="11793" max="11793" width="7.875" style="3663" customWidth="1"/>
    <col min="11794" max="12032" width="9" style="3663"/>
    <col min="12033" max="12033" width="40.5" style="3663" customWidth="1"/>
    <col min="12034" max="12034" width="6.25" style="3663" customWidth="1"/>
    <col min="12035" max="12035" width="7.875" style="3663" customWidth="1"/>
    <col min="12036" max="12037" width="13.875" style="3663" customWidth="1"/>
    <col min="12038" max="12038" width="25.375" style="3663" customWidth="1"/>
    <col min="12039" max="12039" width="7.875" style="3663" customWidth="1"/>
    <col min="12040" max="12040" width="14.375" style="3663" customWidth="1"/>
    <col min="12041" max="12041" width="7.875" style="3663" customWidth="1"/>
    <col min="12042" max="12043" width="9" style="3663" customWidth="1"/>
    <col min="12044" max="12045" width="10.625" style="3663" customWidth="1"/>
    <col min="12046" max="12046" width="14.375" style="3663" customWidth="1"/>
    <col min="12047" max="12047" width="6.25" style="3663" customWidth="1"/>
    <col min="12048" max="12048" width="27.75" style="3663" customWidth="1"/>
    <col min="12049" max="12049" width="7.875" style="3663" customWidth="1"/>
    <col min="12050" max="12288" width="9" style="3663"/>
    <col min="12289" max="12289" width="40.5" style="3663" customWidth="1"/>
    <col min="12290" max="12290" width="6.25" style="3663" customWidth="1"/>
    <col min="12291" max="12291" width="7.875" style="3663" customWidth="1"/>
    <col min="12292" max="12293" width="13.875" style="3663" customWidth="1"/>
    <col min="12294" max="12294" width="25.375" style="3663" customWidth="1"/>
    <col min="12295" max="12295" width="7.875" style="3663" customWidth="1"/>
    <col min="12296" max="12296" width="14.375" style="3663" customWidth="1"/>
    <col min="12297" max="12297" width="7.875" style="3663" customWidth="1"/>
    <col min="12298" max="12299" width="9" style="3663" customWidth="1"/>
    <col min="12300" max="12301" width="10.625" style="3663" customWidth="1"/>
    <col min="12302" max="12302" width="14.375" style="3663" customWidth="1"/>
    <col min="12303" max="12303" width="6.25" style="3663" customWidth="1"/>
    <col min="12304" max="12304" width="27.75" style="3663" customWidth="1"/>
    <col min="12305" max="12305" width="7.875" style="3663" customWidth="1"/>
    <col min="12306" max="12544" width="9" style="3663"/>
    <col min="12545" max="12545" width="40.5" style="3663" customWidth="1"/>
    <col min="12546" max="12546" width="6.25" style="3663" customWidth="1"/>
    <col min="12547" max="12547" width="7.875" style="3663" customWidth="1"/>
    <col min="12548" max="12549" width="13.875" style="3663" customWidth="1"/>
    <col min="12550" max="12550" width="25.375" style="3663" customWidth="1"/>
    <col min="12551" max="12551" width="7.875" style="3663" customWidth="1"/>
    <col min="12552" max="12552" width="14.375" style="3663" customWidth="1"/>
    <col min="12553" max="12553" width="7.875" style="3663" customWidth="1"/>
    <col min="12554" max="12555" width="9" style="3663" customWidth="1"/>
    <col min="12556" max="12557" width="10.625" style="3663" customWidth="1"/>
    <col min="12558" max="12558" width="14.375" style="3663" customWidth="1"/>
    <col min="12559" max="12559" width="6.25" style="3663" customWidth="1"/>
    <col min="12560" max="12560" width="27.75" style="3663" customWidth="1"/>
    <col min="12561" max="12561" width="7.875" style="3663" customWidth="1"/>
    <col min="12562" max="12800" width="9" style="3663"/>
    <col min="12801" max="12801" width="40.5" style="3663" customWidth="1"/>
    <col min="12802" max="12802" width="6.25" style="3663" customWidth="1"/>
    <col min="12803" max="12803" width="7.875" style="3663" customWidth="1"/>
    <col min="12804" max="12805" width="13.875" style="3663" customWidth="1"/>
    <col min="12806" max="12806" width="25.375" style="3663" customWidth="1"/>
    <col min="12807" max="12807" width="7.875" style="3663" customWidth="1"/>
    <col min="12808" max="12808" width="14.375" style="3663" customWidth="1"/>
    <col min="12809" max="12809" width="7.875" style="3663" customWidth="1"/>
    <col min="12810" max="12811" width="9" style="3663" customWidth="1"/>
    <col min="12812" max="12813" width="10.625" style="3663" customWidth="1"/>
    <col min="12814" max="12814" width="14.375" style="3663" customWidth="1"/>
    <col min="12815" max="12815" width="6.25" style="3663" customWidth="1"/>
    <col min="12816" max="12816" width="27.75" style="3663" customWidth="1"/>
    <col min="12817" max="12817" width="7.875" style="3663" customWidth="1"/>
    <col min="12818" max="13056" width="9" style="3663"/>
    <col min="13057" max="13057" width="40.5" style="3663" customWidth="1"/>
    <col min="13058" max="13058" width="6.25" style="3663" customWidth="1"/>
    <col min="13059" max="13059" width="7.875" style="3663" customWidth="1"/>
    <col min="13060" max="13061" width="13.875" style="3663" customWidth="1"/>
    <col min="13062" max="13062" width="25.375" style="3663" customWidth="1"/>
    <col min="13063" max="13063" width="7.875" style="3663" customWidth="1"/>
    <col min="13064" max="13064" width="14.375" style="3663" customWidth="1"/>
    <col min="13065" max="13065" width="7.875" style="3663" customWidth="1"/>
    <col min="13066" max="13067" width="9" style="3663" customWidth="1"/>
    <col min="13068" max="13069" width="10.625" style="3663" customWidth="1"/>
    <col min="13070" max="13070" width="14.375" style="3663" customWidth="1"/>
    <col min="13071" max="13071" width="6.25" style="3663" customWidth="1"/>
    <col min="13072" max="13072" width="27.75" style="3663" customWidth="1"/>
    <col min="13073" max="13073" width="7.875" style="3663" customWidth="1"/>
    <col min="13074" max="13312" width="9" style="3663"/>
    <col min="13313" max="13313" width="40.5" style="3663" customWidth="1"/>
    <col min="13314" max="13314" width="6.25" style="3663" customWidth="1"/>
    <col min="13315" max="13315" width="7.875" style="3663" customWidth="1"/>
    <col min="13316" max="13317" width="13.875" style="3663" customWidth="1"/>
    <col min="13318" max="13318" width="25.375" style="3663" customWidth="1"/>
    <col min="13319" max="13319" width="7.875" style="3663" customWidth="1"/>
    <col min="13320" max="13320" width="14.375" style="3663" customWidth="1"/>
    <col min="13321" max="13321" width="7.875" style="3663" customWidth="1"/>
    <col min="13322" max="13323" width="9" style="3663" customWidth="1"/>
    <col min="13324" max="13325" width="10.625" style="3663" customWidth="1"/>
    <col min="13326" max="13326" width="14.375" style="3663" customWidth="1"/>
    <col min="13327" max="13327" width="6.25" style="3663" customWidth="1"/>
    <col min="13328" max="13328" width="27.75" style="3663" customWidth="1"/>
    <col min="13329" max="13329" width="7.875" style="3663" customWidth="1"/>
    <col min="13330" max="13568" width="9" style="3663"/>
    <col min="13569" max="13569" width="40.5" style="3663" customWidth="1"/>
    <col min="13570" max="13570" width="6.25" style="3663" customWidth="1"/>
    <col min="13571" max="13571" width="7.875" style="3663" customWidth="1"/>
    <col min="13572" max="13573" width="13.875" style="3663" customWidth="1"/>
    <col min="13574" max="13574" width="25.375" style="3663" customWidth="1"/>
    <col min="13575" max="13575" width="7.875" style="3663" customWidth="1"/>
    <col min="13576" max="13576" width="14.375" style="3663" customWidth="1"/>
    <col min="13577" max="13577" width="7.875" style="3663" customWidth="1"/>
    <col min="13578" max="13579" width="9" style="3663" customWidth="1"/>
    <col min="13580" max="13581" width="10.625" style="3663" customWidth="1"/>
    <col min="13582" max="13582" width="14.375" style="3663" customWidth="1"/>
    <col min="13583" max="13583" width="6.25" style="3663" customWidth="1"/>
    <col min="13584" max="13584" width="27.75" style="3663" customWidth="1"/>
    <col min="13585" max="13585" width="7.875" style="3663" customWidth="1"/>
    <col min="13586" max="13824" width="9" style="3663"/>
    <col min="13825" max="13825" width="40.5" style="3663" customWidth="1"/>
    <col min="13826" max="13826" width="6.25" style="3663" customWidth="1"/>
    <col min="13827" max="13827" width="7.875" style="3663" customWidth="1"/>
    <col min="13828" max="13829" width="13.875" style="3663" customWidth="1"/>
    <col min="13830" max="13830" width="25.375" style="3663" customWidth="1"/>
    <col min="13831" max="13831" width="7.875" style="3663" customWidth="1"/>
    <col min="13832" max="13832" width="14.375" style="3663" customWidth="1"/>
    <col min="13833" max="13833" width="7.875" style="3663" customWidth="1"/>
    <col min="13834" max="13835" width="9" style="3663" customWidth="1"/>
    <col min="13836" max="13837" width="10.625" style="3663" customWidth="1"/>
    <col min="13838" max="13838" width="14.375" style="3663" customWidth="1"/>
    <col min="13839" max="13839" width="6.25" style="3663" customWidth="1"/>
    <col min="13840" max="13840" width="27.75" style="3663" customWidth="1"/>
    <col min="13841" max="13841" width="7.875" style="3663" customWidth="1"/>
    <col min="13842" max="14080" width="9" style="3663"/>
    <col min="14081" max="14081" width="40.5" style="3663" customWidth="1"/>
    <col min="14082" max="14082" width="6.25" style="3663" customWidth="1"/>
    <col min="14083" max="14083" width="7.875" style="3663" customWidth="1"/>
    <col min="14084" max="14085" width="13.875" style="3663" customWidth="1"/>
    <col min="14086" max="14086" width="25.375" style="3663" customWidth="1"/>
    <col min="14087" max="14087" width="7.875" style="3663" customWidth="1"/>
    <col min="14088" max="14088" width="14.375" style="3663" customWidth="1"/>
    <col min="14089" max="14089" width="7.875" style="3663" customWidth="1"/>
    <col min="14090" max="14091" width="9" style="3663" customWidth="1"/>
    <col min="14092" max="14093" width="10.625" style="3663" customWidth="1"/>
    <col min="14094" max="14094" width="14.375" style="3663" customWidth="1"/>
    <col min="14095" max="14095" width="6.25" style="3663" customWidth="1"/>
    <col min="14096" max="14096" width="27.75" style="3663" customWidth="1"/>
    <col min="14097" max="14097" width="7.875" style="3663" customWidth="1"/>
    <col min="14098" max="14336" width="9" style="3663"/>
    <col min="14337" max="14337" width="40.5" style="3663" customWidth="1"/>
    <col min="14338" max="14338" width="6.25" style="3663" customWidth="1"/>
    <col min="14339" max="14339" width="7.875" style="3663" customWidth="1"/>
    <col min="14340" max="14341" width="13.875" style="3663" customWidth="1"/>
    <col min="14342" max="14342" width="25.375" style="3663" customWidth="1"/>
    <col min="14343" max="14343" width="7.875" style="3663" customWidth="1"/>
    <col min="14344" max="14344" width="14.375" style="3663" customWidth="1"/>
    <col min="14345" max="14345" width="7.875" style="3663" customWidth="1"/>
    <col min="14346" max="14347" width="9" style="3663" customWidth="1"/>
    <col min="14348" max="14349" width="10.625" style="3663" customWidth="1"/>
    <col min="14350" max="14350" width="14.375" style="3663" customWidth="1"/>
    <col min="14351" max="14351" width="6.25" style="3663" customWidth="1"/>
    <col min="14352" max="14352" width="27.75" style="3663" customWidth="1"/>
    <col min="14353" max="14353" width="7.875" style="3663" customWidth="1"/>
    <col min="14354" max="14592" width="9" style="3663"/>
    <col min="14593" max="14593" width="40.5" style="3663" customWidth="1"/>
    <col min="14594" max="14594" width="6.25" style="3663" customWidth="1"/>
    <col min="14595" max="14595" width="7.875" style="3663" customWidth="1"/>
    <col min="14596" max="14597" width="13.875" style="3663" customWidth="1"/>
    <col min="14598" max="14598" width="25.375" style="3663" customWidth="1"/>
    <col min="14599" max="14599" width="7.875" style="3663" customWidth="1"/>
    <col min="14600" max="14600" width="14.375" style="3663" customWidth="1"/>
    <col min="14601" max="14601" width="7.875" style="3663" customWidth="1"/>
    <col min="14602" max="14603" width="9" style="3663" customWidth="1"/>
    <col min="14604" max="14605" width="10.625" style="3663" customWidth="1"/>
    <col min="14606" max="14606" width="14.375" style="3663" customWidth="1"/>
    <col min="14607" max="14607" width="6.25" style="3663" customWidth="1"/>
    <col min="14608" max="14608" width="27.75" style="3663" customWidth="1"/>
    <col min="14609" max="14609" width="7.875" style="3663" customWidth="1"/>
    <col min="14610" max="14848" width="9" style="3663"/>
    <col min="14849" max="14849" width="40.5" style="3663" customWidth="1"/>
    <col min="14850" max="14850" width="6.25" style="3663" customWidth="1"/>
    <col min="14851" max="14851" width="7.875" style="3663" customWidth="1"/>
    <col min="14852" max="14853" width="13.875" style="3663" customWidth="1"/>
    <col min="14854" max="14854" width="25.375" style="3663" customWidth="1"/>
    <col min="14855" max="14855" width="7.875" style="3663" customWidth="1"/>
    <col min="14856" max="14856" width="14.375" style="3663" customWidth="1"/>
    <col min="14857" max="14857" width="7.875" style="3663" customWidth="1"/>
    <col min="14858" max="14859" width="9" style="3663" customWidth="1"/>
    <col min="14860" max="14861" width="10.625" style="3663" customWidth="1"/>
    <col min="14862" max="14862" width="14.375" style="3663" customWidth="1"/>
    <col min="14863" max="14863" width="6.25" style="3663" customWidth="1"/>
    <col min="14864" max="14864" width="27.75" style="3663" customWidth="1"/>
    <col min="14865" max="14865" width="7.875" style="3663" customWidth="1"/>
    <col min="14866" max="15104" width="9" style="3663"/>
    <col min="15105" max="15105" width="40.5" style="3663" customWidth="1"/>
    <col min="15106" max="15106" width="6.25" style="3663" customWidth="1"/>
    <col min="15107" max="15107" width="7.875" style="3663" customWidth="1"/>
    <col min="15108" max="15109" width="13.875" style="3663" customWidth="1"/>
    <col min="15110" max="15110" width="25.375" style="3663" customWidth="1"/>
    <col min="15111" max="15111" width="7.875" style="3663" customWidth="1"/>
    <col min="15112" max="15112" width="14.375" style="3663" customWidth="1"/>
    <col min="15113" max="15113" width="7.875" style="3663" customWidth="1"/>
    <col min="15114" max="15115" width="9" style="3663" customWidth="1"/>
    <col min="15116" max="15117" width="10.625" style="3663" customWidth="1"/>
    <col min="15118" max="15118" width="14.375" style="3663" customWidth="1"/>
    <col min="15119" max="15119" width="6.25" style="3663" customWidth="1"/>
    <col min="15120" max="15120" width="27.75" style="3663" customWidth="1"/>
    <col min="15121" max="15121" width="7.875" style="3663" customWidth="1"/>
    <col min="15122" max="15360" width="9" style="3663"/>
    <col min="15361" max="15361" width="40.5" style="3663" customWidth="1"/>
    <col min="15362" max="15362" width="6.25" style="3663" customWidth="1"/>
    <col min="15363" max="15363" width="7.875" style="3663" customWidth="1"/>
    <col min="15364" max="15365" width="13.875" style="3663" customWidth="1"/>
    <col min="15366" max="15366" width="25.375" style="3663" customWidth="1"/>
    <col min="15367" max="15367" width="7.875" style="3663" customWidth="1"/>
    <col min="15368" max="15368" width="14.375" style="3663" customWidth="1"/>
    <col min="15369" max="15369" width="7.875" style="3663" customWidth="1"/>
    <col min="15370" max="15371" width="9" style="3663" customWidth="1"/>
    <col min="15372" max="15373" width="10.625" style="3663" customWidth="1"/>
    <col min="15374" max="15374" width="14.375" style="3663" customWidth="1"/>
    <col min="15375" max="15375" width="6.25" style="3663" customWidth="1"/>
    <col min="15376" max="15376" width="27.75" style="3663" customWidth="1"/>
    <col min="15377" max="15377" width="7.875" style="3663" customWidth="1"/>
    <col min="15378" max="15616" width="9" style="3663"/>
    <col min="15617" max="15617" width="40.5" style="3663" customWidth="1"/>
    <col min="15618" max="15618" width="6.25" style="3663" customWidth="1"/>
    <col min="15619" max="15619" width="7.875" style="3663" customWidth="1"/>
    <col min="15620" max="15621" width="13.875" style="3663" customWidth="1"/>
    <col min="15622" max="15622" width="25.375" style="3663" customWidth="1"/>
    <col min="15623" max="15623" width="7.875" style="3663" customWidth="1"/>
    <col min="15624" max="15624" width="14.375" style="3663" customWidth="1"/>
    <col min="15625" max="15625" width="7.875" style="3663" customWidth="1"/>
    <col min="15626" max="15627" width="9" style="3663" customWidth="1"/>
    <col min="15628" max="15629" width="10.625" style="3663" customWidth="1"/>
    <col min="15630" max="15630" width="14.375" style="3663" customWidth="1"/>
    <col min="15631" max="15631" width="6.25" style="3663" customWidth="1"/>
    <col min="15632" max="15632" width="27.75" style="3663" customWidth="1"/>
    <col min="15633" max="15633" width="7.875" style="3663" customWidth="1"/>
    <col min="15634" max="15872" width="9" style="3663"/>
    <col min="15873" max="15873" width="40.5" style="3663" customWidth="1"/>
    <col min="15874" max="15874" width="6.25" style="3663" customWidth="1"/>
    <col min="15875" max="15875" width="7.875" style="3663" customWidth="1"/>
    <col min="15876" max="15877" width="13.875" style="3663" customWidth="1"/>
    <col min="15878" max="15878" width="25.375" style="3663" customWidth="1"/>
    <col min="15879" max="15879" width="7.875" style="3663" customWidth="1"/>
    <col min="15880" max="15880" width="14.375" style="3663" customWidth="1"/>
    <col min="15881" max="15881" width="7.875" style="3663" customWidth="1"/>
    <col min="15882" max="15883" width="9" style="3663" customWidth="1"/>
    <col min="15884" max="15885" width="10.625" style="3663" customWidth="1"/>
    <col min="15886" max="15886" width="14.375" style="3663" customWidth="1"/>
    <col min="15887" max="15887" width="6.25" style="3663" customWidth="1"/>
    <col min="15888" max="15888" width="27.75" style="3663" customWidth="1"/>
    <col min="15889" max="15889" width="7.875" style="3663" customWidth="1"/>
    <col min="15890" max="16128" width="9" style="3663"/>
    <col min="16129" max="16129" width="40.5" style="3663" customWidth="1"/>
    <col min="16130" max="16130" width="6.25" style="3663" customWidth="1"/>
    <col min="16131" max="16131" width="7.875" style="3663" customWidth="1"/>
    <col min="16132" max="16133" width="13.875" style="3663" customWidth="1"/>
    <col min="16134" max="16134" width="25.375" style="3663" customWidth="1"/>
    <col min="16135" max="16135" width="7.875" style="3663" customWidth="1"/>
    <col min="16136" max="16136" width="14.375" style="3663" customWidth="1"/>
    <col min="16137" max="16137" width="7.875" style="3663" customWidth="1"/>
    <col min="16138" max="16139" width="9" style="3663" customWidth="1"/>
    <col min="16140" max="16141" width="10.625" style="3663" customWidth="1"/>
    <col min="16142" max="16142" width="14.375" style="3663" customWidth="1"/>
    <col min="16143" max="16143" width="6.25" style="3663" customWidth="1"/>
    <col min="16144" max="16144" width="27.75" style="3663" customWidth="1"/>
    <col min="16145" max="16145" width="7.875" style="3663" customWidth="1"/>
    <col min="16146" max="16384" width="9" style="3663"/>
  </cols>
  <sheetData>
    <row r="1" spans="1:17">
      <c r="A1" s="3663" t="s">
        <v>3260</v>
      </c>
      <c r="B1" s="3663" t="s">
        <v>3261</v>
      </c>
      <c r="C1" s="3663" t="s">
        <v>3262</v>
      </c>
      <c r="D1" s="3663" t="s">
        <v>3263</v>
      </c>
      <c r="E1" s="3663" t="s">
        <v>3264</v>
      </c>
      <c r="F1" s="3663" t="s">
        <v>1550</v>
      </c>
      <c r="G1" s="3663" t="s">
        <v>3265</v>
      </c>
      <c r="H1" s="3663" t="s">
        <v>3266</v>
      </c>
      <c r="I1" s="3663" t="s">
        <v>3267</v>
      </c>
      <c r="J1" s="3663" t="s">
        <v>3268</v>
      </c>
      <c r="K1" s="3663" t="s">
        <v>3269</v>
      </c>
      <c r="L1" s="3663" t="s">
        <v>3270</v>
      </c>
      <c r="M1" s="3663" t="s">
        <v>3271</v>
      </c>
      <c r="N1" s="3663" t="s">
        <v>3272</v>
      </c>
      <c r="O1" s="3663" t="s">
        <v>3273</v>
      </c>
      <c r="P1" s="3663" t="s">
        <v>3274</v>
      </c>
      <c r="Q1" s="3663" t="s">
        <v>3275</v>
      </c>
    </row>
    <row r="2" spans="1:17" hidden="1">
      <c r="A2" s="3663" t="s">
        <v>3276</v>
      </c>
      <c r="B2" s="3663" t="s">
        <v>3277</v>
      </c>
      <c r="C2" s="3663" t="s">
        <v>2507</v>
      </c>
      <c r="D2" s="3663">
        <v>6064.74</v>
      </c>
      <c r="E2" s="3663">
        <v>4245.32</v>
      </c>
      <c r="F2" s="3663" t="s">
        <v>3278</v>
      </c>
      <c r="G2" s="3663" t="s">
        <v>3279</v>
      </c>
      <c r="H2" s="3663" t="s">
        <v>3280</v>
      </c>
      <c r="I2" s="3663">
        <v>0</v>
      </c>
      <c r="J2" s="3663" t="s">
        <v>3281</v>
      </c>
      <c r="K2" s="3663" t="s">
        <v>3281</v>
      </c>
      <c r="L2" s="3663">
        <v>195</v>
      </c>
      <c r="M2" s="3663">
        <v>195</v>
      </c>
      <c r="N2" s="3663">
        <v>459.33</v>
      </c>
      <c r="O2" s="3663">
        <v>0</v>
      </c>
      <c r="P2" s="3663" t="s">
        <v>3282</v>
      </c>
      <c r="Q2" s="3663" t="s">
        <v>3283</v>
      </c>
    </row>
    <row r="3" spans="1:17" hidden="1">
      <c r="A3" s="3663" t="s">
        <v>3284</v>
      </c>
      <c r="B3" s="3663" t="s">
        <v>3277</v>
      </c>
      <c r="C3" s="3663" t="s">
        <v>2507</v>
      </c>
      <c r="D3" s="3663">
        <v>13750.32</v>
      </c>
      <c r="E3" s="3663">
        <v>9625.2199999999993</v>
      </c>
      <c r="F3" s="3663" t="s">
        <v>3278</v>
      </c>
      <c r="G3" s="3663" t="s">
        <v>3279</v>
      </c>
      <c r="H3" s="3663" t="s">
        <v>3285</v>
      </c>
      <c r="I3" s="3663">
        <v>0</v>
      </c>
      <c r="J3" s="3663" t="s">
        <v>3286</v>
      </c>
      <c r="K3" s="3663" t="s">
        <v>3286</v>
      </c>
      <c r="L3" s="3663">
        <v>462</v>
      </c>
      <c r="M3" s="3663">
        <v>462</v>
      </c>
      <c r="N3" s="3663">
        <v>479.99</v>
      </c>
      <c r="O3" s="3663">
        <v>0</v>
      </c>
      <c r="P3" s="3663" t="s">
        <v>3287</v>
      </c>
      <c r="Q3" s="3663" t="s">
        <v>3283</v>
      </c>
    </row>
    <row r="4" spans="1:17" hidden="1">
      <c r="A4" s="3663" t="s">
        <v>3276</v>
      </c>
      <c r="B4" s="3663" t="s">
        <v>3277</v>
      </c>
      <c r="C4" s="3663" t="s">
        <v>2507</v>
      </c>
      <c r="D4" s="3663">
        <v>29151.8</v>
      </c>
      <c r="E4" s="3663">
        <v>20406.259999999998</v>
      </c>
      <c r="F4" s="3663" t="s">
        <v>3278</v>
      </c>
      <c r="G4" s="3663" t="s">
        <v>3279</v>
      </c>
      <c r="H4" s="3663" t="s">
        <v>3280</v>
      </c>
      <c r="I4" s="3663">
        <v>0</v>
      </c>
      <c r="J4" s="3663" t="s">
        <v>3288</v>
      </c>
      <c r="K4" s="3663" t="s">
        <v>3288</v>
      </c>
      <c r="L4" s="3663">
        <v>904</v>
      </c>
      <c r="M4" s="3663">
        <v>904</v>
      </c>
      <c r="N4" s="3663">
        <v>443</v>
      </c>
      <c r="O4" s="3663">
        <v>0</v>
      </c>
      <c r="P4" s="3663" t="s">
        <v>3289</v>
      </c>
      <c r="Q4" s="3663" t="s">
        <v>3283</v>
      </c>
    </row>
    <row r="5" spans="1:17" hidden="1">
      <c r="A5" s="3663" t="s">
        <v>3290</v>
      </c>
      <c r="B5" s="3663" t="s">
        <v>3277</v>
      </c>
      <c r="C5" s="3663" t="s">
        <v>2507</v>
      </c>
      <c r="D5" s="3663">
        <v>21989.42</v>
      </c>
      <c r="E5" s="3663">
        <v>15392.59</v>
      </c>
      <c r="F5" s="3663" t="s">
        <v>3278</v>
      </c>
      <c r="G5" s="3663" t="s">
        <v>3279</v>
      </c>
      <c r="H5" s="3663" t="s">
        <v>3285</v>
      </c>
      <c r="I5" s="3663">
        <v>0</v>
      </c>
      <c r="J5" s="3663" t="s">
        <v>3288</v>
      </c>
      <c r="K5" s="3663" t="s">
        <v>3288</v>
      </c>
      <c r="L5" s="3663">
        <v>665</v>
      </c>
      <c r="M5" s="3663">
        <v>665</v>
      </c>
      <c r="N5" s="3663">
        <v>432.03</v>
      </c>
      <c r="O5" s="3663">
        <v>0</v>
      </c>
      <c r="P5" s="3663" t="s">
        <v>3291</v>
      </c>
      <c r="Q5" s="3663" t="s">
        <v>3283</v>
      </c>
    </row>
    <row r="6" spans="1:17" hidden="1">
      <c r="A6" s="3663" t="s">
        <v>3276</v>
      </c>
      <c r="B6" s="3663" t="s">
        <v>3277</v>
      </c>
      <c r="C6" s="3663" t="s">
        <v>2507</v>
      </c>
      <c r="D6" s="3663">
        <v>19838.439999999999</v>
      </c>
      <c r="E6" s="3663">
        <v>13886.91</v>
      </c>
      <c r="F6" s="3663" t="s">
        <v>3278</v>
      </c>
      <c r="G6" s="3663" t="s">
        <v>3279</v>
      </c>
      <c r="H6" s="3663" t="s">
        <v>3292</v>
      </c>
      <c r="I6" s="3663">
        <v>0</v>
      </c>
      <c r="J6" s="3663" t="s">
        <v>3293</v>
      </c>
      <c r="K6" s="3663" t="s">
        <v>3293</v>
      </c>
      <c r="L6" s="3663">
        <v>636</v>
      </c>
      <c r="M6" s="3663">
        <v>636</v>
      </c>
      <c r="N6" s="3663">
        <v>457.99</v>
      </c>
      <c r="O6" s="3663">
        <v>0</v>
      </c>
      <c r="P6" s="3663" t="s">
        <v>3294</v>
      </c>
      <c r="Q6" s="3663" t="s">
        <v>3283</v>
      </c>
    </row>
    <row r="7" spans="1:17" hidden="1">
      <c r="A7" s="3663" t="s">
        <v>3276</v>
      </c>
      <c r="B7" s="3663" t="s">
        <v>3277</v>
      </c>
      <c r="C7" s="3663" t="s">
        <v>2507</v>
      </c>
      <c r="D7" s="3663">
        <v>20237.68</v>
      </c>
      <c r="E7" s="3663">
        <v>16190.14</v>
      </c>
      <c r="F7" s="3663" t="s">
        <v>3295</v>
      </c>
      <c r="G7" s="3663" t="s">
        <v>3279</v>
      </c>
      <c r="H7" s="3663" t="s">
        <v>3292</v>
      </c>
      <c r="I7" s="3663">
        <v>0</v>
      </c>
      <c r="J7" s="3663" t="s">
        <v>3293</v>
      </c>
      <c r="K7" s="3663" t="s">
        <v>3293</v>
      </c>
      <c r="L7" s="3663">
        <v>758</v>
      </c>
      <c r="M7" s="3663">
        <v>758</v>
      </c>
      <c r="N7" s="3663">
        <v>468.19</v>
      </c>
      <c r="O7" s="3663">
        <v>0</v>
      </c>
      <c r="P7" s="3663" t="s">
        <v>3296</v>
      </c>
      <c r="Q7" s="3663" t="s">
        <v>3283</v>
      </c>
    </row>
    <row r="8" spans="1:17" hidden="1">
      <c r="A8" s="3663" t="s">
        <v>3297</v>
      </c>
      <c r="B8" s="3663" t="s">
        <v>3277</v>
      </c>
      <c r="C8" s="3663" t="s">
        <v>2507</v>
      </c>
      <c r="D8" s="3663">
        <v>9684.06</v>
      </c>
      <c r="E8" s="3663">
        <v>6778.84</v>
      </c>
      <c r="F8" s="3663" t="s">
        <v>3298</v>
      </c>
      <c r="G8" s="3663" t="s">
        <v>3279</v>
      </c>
      <c r="H8" s="3663" t="s">
        <v>3280</v>
      </c>
      <c r="I8" s="3663">
        <v>0</v>
      </c>
      <c r="J8" s="3663" t="s">
        <v>3299</v>
      </c>
      <c r="K8" s="3663" t="s">
        <v>3299</v>
      </c>
      <c r="L8" s="3663">
        <v>219</v>
      </c>
      <c r="M8" s="3663">
        <v>219</v>
      </c>
      <c r="N8" s="3663">
        <v>323.06</v>
      </c>
      <c r="O8" s="3663">
        <v>0</v>
      </c>
      <c r="P8" s="3663" t="s">
        <v>3300</v>
      </c>
      <c r="Q8" s="3663" t="s">
        <v>3283</v>
      </c>
    </row>
    <row r="9" spans="1:17" hidden="1">
      <c r="A9" s="3663" t="s">
        <v>3301</v>
      </c>
      <c r="B9" s="3663" t="s">
        <v>3277</v>
      </c>
      <c r="C9" s="3663" t="s">
        <v>2507</v>
      </c>
      <c r="D9" s="3663">
        <v>6364.59</v>
      </c>
      <c r="E9" s="3663">
        <v>4455.21</v>
      </c>
      <c r="F9" s="3663" t="s">
        <v>3298</v>
      </c>
      <c r="G9" s="3663" t="s">
        <v>3279</v>
      </c>
      <c r="H9" s="3663" t="s">
        <v>3280</v>
      </c>
      <c r="I9" s="3663">
        <v>0</v>
      </c>
      <c r="J9" s="3663" t="s">
        <v>3302</v>
      </c>
      <c r="K9" s="3663" t="s">
        <v>3302</v>
      </c>
      <c r="L9" s="3663">
        <v>206</v>
      </c>
      <c r="M9" s="3663">
        <v>206</v>
      </c>
      <c r="N9" s="3663">
        <v>462.38</v>
      </c>
      <c r="O9" s="3663">
        <v>0</v>
      </c>
      <c r="P9" s="3663" t="s">
        <v>3303</v>
      </c>
      <c r="Q9" s="3663" t="s">
        <v>3283</v>
      </c>
    </row>
    <row r="10" spans="1:17" s="3664" customFormat="1">
      <c r="A10" s="3664" t="s">
        <v>3304</v>
      </c>
      <c r="B10" s="3664" t="s">
        <v>3277</v>
      </c>
      <c r="C10" s="3664" t="s">
        <v>2507</v>
      </c>
      <c r="D10" s="3664">
        <v>17964.71</v>
      </c>
      <c r="E10" s="3664">
        <v>17964.71</v>
      </c>
      <c r="F10" s="3664" t="s">
        <v>3305</v>
      </c>
      <c r="G10" s="3664" t="s">
        <v>3279</v>
      </c>
      <c r="H10" s="3664" t="s">
        <v>3280</v>
      </c>
      <c r="I10" s="3664">
        <v>0</v>
      </c>
      <c r="J10" s="3664" t="s">
        <v>3306</v>
      </c>
      <c r="K10" s="3664" t="s">
        <v>3306</v>
      </c>
      <c r="L10" s="3664">
        <v>541</v>
      </c>
      <c r="M10" s="3664">
        <v>541</v>
      </c>
      <c r="N10" s="3664">
        <v>301.14999999999998</v>
      </c>
      <c r="O10" s="3664">
        <v>0</v>
      </c>
      <c r="P10" s="3664" t="s">
        <v>3307</v>
      </c>
      <c r="Q10" s="3664" t="s">
        <v>3283</v>
      </c>
    </row>
    <row r="11" spans="1:17" s="3664" customFormat="1">
      <c r="A11" s="3664" t="s">
        <v>3308</v>
      </c>
      <c r="B11" s="3664" t="s">
        <v>3277</v>
      </c>
      <c r="C11" s="3664" t="s">
        <v>2507</v>
      </c>
      <c r="D11" s="3664">
        <v>6270.58</v>
      </c>
      <c r="E11" s="3664">
        <v>6270.58</v>
      </c>
      <c r="F11" s="3664" t="s">
        <v>3305</v>
      </c>
      <c r="G11" s="3664" t="s">
        <v>3279</v>
      </c>
      <c r="H11" s="3664" t="s">
        <v>3280</v>
      </c>
      <c r="I11" s="3664">
        <v>0</v>
      </c>
      <c r="J11" s="3664" t="s">
        <v>3309</v>
      </c>
      <c r="K11" s="3664" t="s">
        <v>3309</v>
      </c>
      <c r="L11" s="3664">
        <v>191</v>
      </c>
      <c r="M11" s="3664">
        <v>191</v>
      </c>
      <c r="N11" s="3664">
        <v>304.60000000000002</v>
      </c>
      <c r="O11" s="3664">
        <v>0</v>
      </c>
      <c r="P11" s="3664" t="s">
        <v>3310</v>
      </c>
      <c r="Q11" s="3664" t="s">
        <v>3283</v>
      </c>
    </row>
    <row r="12" spans="1:17" hidden="1">
      <c r="A12" s="3663" t="s">
        <v>3311</v>
      </c>
      <c r="B12" s="3663" t="s">
        <v>3277</v>
      </c>
      <c r="C12" s="3663" t="s">
        <v>2507</v>
      </c>
      <c r="D12" s="3663">
        <v>53589.11</v>
      </c>
      <c r="E12" s="3663">
        <v>37512.379999999997</v>
      </c>
      <c r="F12" s="3663" t="s">
        <v>3278</v>
      </c>
      <c r="G12" s="3663" t="s">
        <v>3279</v>
      </c>
      <c r="H12" s="3663" t="s">
        <v>3292</v>
      </c>
      <c r="I12" s="3663">
        <v>0</v>
      </c>
      <c r="J12" s="3663" t="s">
        <v>3312</v>
      </c>
      <c r="K12" s="3663" t="s">
        <v>3312</v>
      </c>
      <c r="L12" s="3663">
        <v>1432</v>
      </c>
      <c r="M12" s="3663">
        <v>1432</v>
      </c>
      <c r="N12" s="3663">
        <v>381.74</v>
      </c>
      <c r="O12" s="3663">
        <v>0</v>
      </c>
      <c r="P12" s="3663" t="s">
        <v>3313</v>
      </c>
      <c r="Q12" s="3663" t="s">
        <v>3283</v>
      </c>
    </row>
    <row r="13" spans="1:17" s="3664" customFormat="1">
      <c r="A13" s="3664" t="s">
        <v>3314</v>
      </c>
      <c r="B13" s="3664" t="s">
        <v>3277</v>
      </c>
      <c r="C13" s="3664" t="s">
        <v>2507</v>
      </c>
      <c r="D13" s="3664">
        <v>15037.82</v>
      </c>
      <c r="E13" s="3664">
        <v>15037.82</v>
      </c>
      <c r="F13" s="3664" t="s">
        <v>3315</v>
      </c>
      <c r="G13" s="3664" t="s">
        <v>3316</v>
      </c>
      <c r="H13" s="3664" t="s">
        <v>3292</v>
      </c>
      <c r="I13" s="3664">
        <v>0</v>
      </c>
      <c r="J13" s="3664" t="s">
        <v>3317</v>
      </c>
      <c r="K13" s="3664" t="s">
        <v>3317</v>
      </c>
      <c r="L13" s="3664">
        <v>467</v>
      </c>
      <c r="M13" s="3664">
        <v>467</v>
      </c>
      <c r="N13" s="3664">
        <v>310.55</v>
      </c>
      <c r="O13" s="3664">
        <v>0</v>
      </c>
      <c r="P13" s="3664" t="s">
        <v>3318</v>
      </c>
      <c r="Q13" s="3664" t="s">
        <v>3283</v>
      </c>
    </row>
    <row r="14" spans="1:17" hidden="1">
      <c r="A14" s="3663" t="s">
        <v>3319</v>
      </c>
      <c r="B14" s="3663" t="s">
        <v>3277</v>
      </c>
      <c r="C14" s="3663" t="s">
        <v>2507</v>
      </c>
      <c r="D14" s="3663">
        <v>35339.31</v>
      </c>
      <c r="E14" s="3663">
        <v>24737.52</v>
      </c>
      <c r="F14" s="3663" t="s">
        <v>3278</v>
      </c>
      <c r="G14" s="3663" t="s">
        <v>3316</v>
      </c>
      <c r="H14" s="3663" t="s">
        <v>3280</v>
      </c>
      <c r="I14" s="3663">
        <v>0</v>
      </c>
      <c r="J14" s="3663" t="s">
        <v>3317</v>
      </c>
      <c r="K14" s="3663" t="s">
        <v>3317</v>
      </c>
      <c r="L14" s="3663">
        <v>1226</v>
      </c>
      <c r="M14" s="3663">
        <v>1226</v>
      </c>
      <c r="N14" s="3663">
        <v>495.6</v>
      </c>
      <c r="O14" s="3663">
        <v>0</v>
      </c>
      <c r="P14" s="3663" t="s">
        <v>3320</v>
      </c>
      <c r="Q14" s="3663" t="s">
        <v>3283</v>
      </c>
    </row>
    <row r="15" spans="1:17">
      <c r="A15" s="3663" t="s">
        <v>3321</v>
      </c>
      <c r="B15" s="3663" t="s">
        <v>3277</v>
      </c>
      <c r="C15" s="3663" t="s">
        <v>2507</v>
      </c>
      <c r="D15" s="3663">
        <v>15476.24</v>
      </c>
      <c r="E15" s="3663">
        <v>23214.36</v>
      </c>
      <c r="F15" s="3663" t="s">
        <v>3322</v>
      </c>
      <c r="G15" s="3663" t="s">
        <v>3316</v>
      </c>
      <c r="H15" s="3663" t="s">
        <v>3323</v>
      </c>
      <c r="I15" s="3663">
        <v>0</v>
      </c>
      <c r="J15" s="3663" t="s">
        <v>3317</v>
      </c>
      <c r="K15" s="3663" t="s">
        <v>3317</v>
      </c>
      <c r="L15" s="3663">
        <v>696</v>
      </c>
      <c r="M15" s="3663">
        <v>696</v>
      </c>
      <c r="N15" s="3663">
        <v>299.81</v>
      </c>
      <c r="O15" s="3663">
        <v>0</v>
      </c>
      <c r="P15" s="3663" t="s">
        <v>3324</v>
      </c>
      <c r="Q15" s="3663" t="s">
        <v>3283</v>
      </c>
    </row>
    <row r="16" spans="1:17" hidden="1">
      <c r="A16" s="3663" t="s">
        <v>3325</v>
      </c>
      <c r="B16" s="3663" t="s">
        <v>3277</v>
      </c>
      <c r="C16" s="3663" t="s">
        <v>2507</v>
      </c>
      <c r="D16" s="3663">
        <v>7631.23</v>
      </c>
      <c r="E16" s="3663">
        <v>5341.86</v>
      </c>
      <c r="F16" s="3663" t="s">
        <v>3278</v>
      </c>
      <c r="G16" s="3663" t="s">
        <v>3316</v>
      </c>
      <c r="H16" s="3663" t="s">
        <v>3280</v>
      </c>
      <c r="I16" s="3663">
        <v>0</v>
      </c>
      <c r="J16" s="3663" t="s">
        <v>3317</v>
      </c>
      <c r="K16" s="3663" t="s">
        <v>3317</v>
      </c>
      <c r="L16" s="3663">
        <v>264</v>
      </c>
      <c r="M16" s="3663">
        <v>264</v>
      </c>
      <c r="N16" s="3663">
        <v>494.21</v>
      </c>
      <c r="O16" s="3663">
        <v>0</v>
      </c>
      <c r="P16" s="3663" t="s">
        <v>3326</v>
      </c>
      <c r="Q16" s="3663" t="s">
        <v>3283</v>
      </c>
    </row>
    <row r="17" spans="1:17">
      <c r="A17" s="3663" t="s">
        <v>3327</v>
      </c>
      <c r="B17" s="3663" t="s">
        <v>3277</v>
      </c>
      <c r="C17" s="3663" t="s">
        <v>2507</v>
      </c>
      <c r="D17" s="3663">
        <v>50661.78</v>
      </c>
      <c r="E17" s="3663">
        <v>50661.78</v>
      </c>
      <c r="F17" s="3663" t="s">
        <v>3315</v>
      </c>
      <c r="G17" s="3663" t="s">
        <v>3316</v>
      </c>
      <c r="H17" s="3663" t="s">
        <v>3280</v>
      </c>
      <c r="I17" s="3663">
        <v>0</v>
      </c>
      <c r="J17" s="3663" t="s">
        <v>3328</v>
      </c>
      <c r="K17" s="3663" t="s">
        <v>3328</v>
      </c>
      <c r="L17" s="3663">
        <v>1427</v>
      </c>
      <c r="M17" s="3663">
        <v>1427</v>
      </c>
      <c r="N17" s="3663">
        <v>281.67</v>
      </c>
      <c r="O17" s="3663">
        <v>0</v>
      </c>
      <c r="P17" s="3663" t="s">
        <v>3329</v>
      </c>
      <c r="Q17" s="3663" t="s">
        <v>3283</v>
      </c>
    </row>
    <row r="18" spans="1:17" s="3665" customFormat="1">
      <c r="A18" s="3665" t="s">
        <v>3330</v>
      </c>
      <c r="B18" s="3665" t="s">
        <v>3277</v>
      </c>
      <c r="C18" s="3665" t="s">
        <v>2507</v>
      </c>
      <c r="D18" s="3665">
        <v>97287.33</v>
      </c>
      <c r="E18" s="3665">
        <v>97287.33</v>
      </c>
      <c r="F18" s="3665" t="s">
        <v>3315</v>
      </c>
      <c r="G18" s="3665" t="s">
        <v>3316</v>
      </c>
      <c r="H18" s="3665" t="s">
        <v>3280</v>
      </c>
      <c r="I18" s="3665">
        <v>0</v>
      </c>
      <c r="J18" s="3665" t="s">
        <v>3331</v>
      </c>
      <c r="K18" s="3665" t="s">
        <v>3331</v>
      </c>
      <c r="L18" s="3665">
        <v>3215</v>
      </c>
      <c r="M18" s="3665">
        <v>3215</v>
      </c>
      <c r="N18" s="3665">
        <v>330.46</v>
      </c>
      <c r="O18" s="3665">
        <v>0</v>
      </c>
      <c r="P18" s="3665" t="s">
        <v>3332</v>
      </c>
      <c r="Q18" s="3665" t="s">
        <v>3283</v>
      </c>
    </row>
    <row r="19" spans="1:17" hidden="1">
      <c r="A19" s="3663" t="s">
        <v>3333</v>
      </c>
      <c r="B19" s="3663" t="s">
        <v>3277</v>
      </c>
      <c r="C19" s="3663" t="s">
        <v>2507</v>
      </c>
      <c r="D19" s="3663">
        <v>31932.33</v>
      </c>
      <c r="E19" s="3663">
        <v>22352.63</v>
      </c>
      <c r="F19" s="3663" t="s">
        <v>3278</v>
      </c>
      <c r="G19" s="3663" t="s">
        <v>3316</v>
      </c>
      <c r="H19" s="3663" t="s">
        <v>3280</v>
      </c>
      <c r="I19" s="3663">
        <v>0</v>
      </c>
      <c r="J19" s="3663" t="s">
        <v>3334</v>
      </c>
      <c r="K19" s="3663" t="s">
        <v>3334</v>
      </c>
      <c r="L19" s="3663">
        <v>958</v>
      </c>
      <c r="M19" s="3663">
        <v>958</v>
      </c>
      <c r="N19" s="3663">
        <v>428.58</v>
      </c>
      <c r="O19" s="3663">
        <v>0</v>
      </c>
      <c r="P19" s="3663" t="s">
        <v>3335</v>
      </c>
      <c r="Q19" s="3663" t="s">
        <v>3283</v>
      </c>
    </row>
    <row r="20" spans="1:17" hidden="1">
      <c r="A20" s="3663" t="s">
        <v>3336</v>
      </c>
      <c r="B20" s="3663" t="s">
        <v>3277</v>
      </c>
      <c r="C20" s="3663" t="s">
        <v>2507</v>
      </c>
      <c r="D20" s="3663">
        <v>9168.5400000000009</v>
      </c>
      <c r="E20" s="3663">
        <v>6417.98</v>
      </c>
      <c r="F20" s="3663" t="s">
        <v>3278</v>
      </c>
      <c r="G20" s="3663" t="s">
        <v>3316</v>
      </c>
      <c r="H20" s="3663" t="s">
        <v>3280</v>
      </c>
      <c r="I20" s="3663">
        <v>0</v>
      </c>
      <c r="J20" s="3663" t="s">
        <v>3334</v>
      </c>
      <c r="K20" s="3663" t="s">
        <v>3334</v>
      </c>
      <c r="L20" s="3663">
        <v>284</v>
      </c>
      <c r="M20" s="3663">
        <v>284</v>
      </c>
      <c r="N20" s="3663">
        <v>442.51</v>
      </c>
      <c r="O20" s="3663">
        <v>0</v>
      </c>
      <c r="P20" s="3663" t="s">
        <v>3337</v>
      </c>
      <c r="Q20" s="3663" t="s">
        <v>3283</v>
      </c>
    </row>
    <row r="21" spans="1:17" hidden="1">
      <c r="A21" s="3663" t="s">
        <v>3338</v>
      </c>
      <c r="B21" s="3663" t="s">
        <v>3277</v>
      </c>
      <c r="C21" s="3663" t="s">
        <v>2507</v>
      </c>
      <c r="D21" s="3663">
        <v>8138.37</v>
      </c>
      <c r="E21" s="3663">
        <v>5696.86</v>
      </c>
      <c r="F21" s="3663" t="s">
        <v>3278</v>
      </c>
      <c r="G21" s="3663" t="s">
        <v>3316</v>
      </c>
      <c r="H21" s="3663" t="s">
        <v>3280</v>
      </c>
      <c r="I21" s="3663">
        <v>0</v>
      </c>
      <c r="J21" s="3663" t="s">
        <v>3334</v>
      </c>
      <c r="K21" s="3663" t="s">
        <v>3334</v>
      </c>
      <c r="L21" s="3663">
        <v>253</v>
      </c>
      <c r="M21" s="3663">
        <v>253</v>
      </c>
      <c r="N21" s="3663">
        <v>444.1</v>
      </c>
      <c r="O21" s="3663">
        <v>0</v>
      </c>
      <c r="P21" s="3663" t="s">
        <v>3339</v>
      </c>
      <c r="Q21" s="3663" t="s">
        <v>3283</v>
      </c>
    </row>
    <row r="22" spans="1:17" hidden="1">
      <c r="A22" s="3663" t="s">
        <v>3340</v>
      </c>
      <c r="B22" s="3663" t="s">
        <v>3277</v>
      </c>
      <c r="C22" s="3663" t="s">
        <v>2507</v>
      </c>
      <c r="D22" s="3663">
        <v>50568.46</v>
      </c>
      <c r="E22" s="3663">
        <v>35397.919999999998</v>
      </c>
      <c r="F22" s="3663" t="s">
        <v>3278</v>
      </c>
      <c r="G22" s="3663" t="s">
        <v>3316</v>
      </c>
      <c r="H22" s="3663" t="s">
        <v>3280</v>
      </c>
      <c r="I22" s="3663">
        <v>0</v>
      </c>
      <c r="J22" s="3663" t="s">
        <v>3341</v>
      </c>
      <c r="K22" s="3663" t="s">
        <v>3341</v>
      </c>
      <c r="L22" s="3663">
        <v>1517</v>
      </c>
      <c r="M22" s="3663">
        <v>1517</v>
      </c>
      <c r="N22" s="3663">
        <v>428.56</v>
      </c>
      <c r="O22" s="3663">
        <v>0</v>
      </c>
      <c r="P22" s="3663" t="s">
        <v>3342</v>
      </c>
      <c r="Q22" s="3663" t="s">
        <v>3283</v>
      </c>
    </row>
    <row r="23" spans="1:17">
      <c r="A23" s="3663" t="s">
        <v>3343</v>
      </c>
      <c r="B23" s="3663" t="s">
        <v>3277</v>
      </c>
      <c r="C23" s="3663" t="s">
        <v>2507</v>
      </c>
      <c r="D23" s="3663">
        <v>55267.13</v>
      </c>
      <c r="E23" s="3663">
        <v>55267.13</v>
      </c>
      <c r="F23" s="3663" t="s">
        <v>3315</v>
      </c>
      <c r="G23" s="3663" t="s">
        <v>3316</v>
      </c>
      <c r="H23" s="3663" t="s">
        <v>3280</v>
      </c>
      <c r="I23" s="3663">
        <v>0</v>
      </c>
      <c r="J23" s="3663" t="s">
        <v>3344</v>
      </c>
      <c r="K23" s="3663" t="s">
        <v>3344</v>
      </c>
      <c r="L23" s="3663">
        <v>1937</v>
      </c>
      <c r="M23" s="3663">
        <v>1937</v>
      </c>
      <c r="N23" s="3663">
        <v>350.48</v>
      </c>
      <c r="O23" s="3663">
        <v>0</v>
      </c>
      <c r="P23" s="3663" t="s">
        <v>3307</v>
      </c>
      <c r="Q23" s="3663" t="s">
        <v>3283</v>
      </c>
    </row>
    <row r="24" spans="1:17" hidden="1">
      <c r="A24" s="3663" t="s">
        <v>3345</v>
      </c>
      <c r="B24" s="3663" t="s">
        <v>3277</v>
      </c>
      <c r="C24" s="3663" t="s">
        <v>2507</v>
      </c>
      <c r="D24" s="3663">
        <v>66135.460000000006</v>
      </c>
      <c r="E24" s="3663">
        <v>46294.82</v>
      </c>
      <c r="F24" s="3663" t="s">
        <v>3278</v>
      </c>
      <c r="G24" s="3663" t="s">
        <v>3316</v>
      </c>
      <c r="H24" s="3663" t="s">
        <v>3280</v>
      </c>
      <c r="I24" s="3663">
        <v>0</v>
      </c>
      <c r="J24" s="3663" t="s">
        <v>3344</v>
      </c>
      <c r="K24" s="3663" t="s">
        <v>3344</v>
      </c>
      <c r="L24" s="3663">
        <v>2318</v>
      </c>
      <c r="M24" s="3663">
        <v>2318</v>
      </c>
      <c r="N24" s="3663">
        <v>500.7</v>
      </c>
      <c r="O24" s="3663">
        <v>0</v>
      </c>
      <c r="P24" s="3663" t="s">
        <v>3326</v>
      </c>
      <c r="Q24" s="3663" t="s">
        <v>3283</v>
      </c>
    </row>
    <row r="25" spans="1:17" hidden="1">
      <c r="A25" s="3663" t="s">
        <v>3346</v>
      </c>
      <c r="B25" s="3663" t="s">
        <v>3277</v>
      </c>
      <c r="C25" s="3663" t="s">
        <v>2507</v>
      </c>
      <c r="D25" s="3663">
        <v>64116.35</v>
      </c>
      <c r="E25" s="3663">
        <v>44881.45</v>
      </c>
      <c r="F25" s="3663" t="s">
        <v>3278</v>
      </c>
      <c r="G25" s="3663" t="s">
        <v>3316</v>
      </c>
      <c r="H25" s="3663" t="s">
        <v>3280</v>
      </c>
      <c r="I25" s="3663">
        <v>0</v>
      </c>
      <c r="J25" s="3663" t="s">
        <v>3347</v>
      </c>
      <c r="K25" s="3663" t="s">
        <v>3347</v>
      </c>
      <c r="L25" s="3663">
        <v>965</v>
      </c>
      <c r="M25" s="3663">
        <v>965</v>
      </c>
      <c r="N25" s="3663">
        <v>215.01</v>
      </c>
      <c r="O25" s="3663">
        <v>0</v>
      </c>
      <c r="P25" s="3663" t="s">
        <v>3348</v>
      </c>
      <c r="Q25" s="3663" t="s">
        <v>3283</v>
      </c>
    </row>
    <row r="26" spans="1:17" hidden="1">
      <c r="A26" s="3663" t="s">
        <v>3349</v>
      </c>
      <c r="B26" s="3663" t="s">
        <v>3277</v>
      </c>
      <c r="C26" s="3663" t="s">
        <v>2507</v>
      </c>
      <c r="D26" s="3663">
        <v>35017.39</v>
      </c>
      <c r="E26" s="3663">
        <v>24512.17</v>
      </c>
      <c r="F26" s="3663" t="s">
        <v>3278</v>
      </c>
      <c r="G26" s="3663" t="s">
        <v>3316</v>
      </c>
      <c r="H26" s="3663" t="s">
        <v>3280</v>
      </c>
      <c r="I26" s="3663">
        <v>0</v>
      </c>
      <c r="J26" s="3663" t="s">
        <v>3347</v>
      </c>
      <c r="K26" s="3663" t="s">
        <v>3347</v>
      </c>
      <c r="L26" s="3663">
        <v>946</v>
      </c>
      <c r="M26" s="3663">
        <v>946</v>
      </c>
      <c r="N26" s="3663">
        <v>385.93</v>
      </c>
      <c r="O26" s="3663">
        <v>0</v>
      </c>
      <c r="P26" s="3663" t="s">
        <v>3350</v>
      </c>
      <c r="Q26" s="3663" t="s">
        <v>3283</v>
      </c>
    </row>
    <row r="27" spans="1:17" hidden="1">
      <c r="A27" s="3663" t="s">
        <v>3351</v>
      </c>
      <c r="B27" s="3663" t="s">
        <v>3277</v>
      </c>
      <c r="C27" s="3663" t="s">
        <v>2507</v>
      </c>
      <c r="D27" s="3663">
        <v>1291.6099999999999</v>
      </c>
      <c r="E27" s="3663">
        <v>904.13</v>
      </c>
      <c r="F27" s="3663" t="s">
        <v>3278</v>
      </c>
      <c r="G27" s="3663" t="s">
        <v>3316</v>
      </c>
      <c r="H27" s="3663" t="s">
        <v>3280</v>
      </c>
      <c r="I27" s="3663">
        <v>0</v>
      </c>
      <c r="J27" s="3663" t="s">
        <v>3347</v>
      </c>
      <c r="K27" s="3663" t="s">
        <v>3347</v>
      </c>
      <c r="L27" s="3663">
        <v>40</v>
      </c>
      <c r="M27" s="3663">
        <v>40</v>
      </c>
      <c r="N27" s="3663">
        <v>442.41</v>
      </c>
      <c r="O27" s="3663">
        <v>0</v>
      </c>
      <c r="P27" s="3663" t="s">
        <v>3352</v>
      </c>
      <c r="Q27" s="3663" t="s">
        <v>3283</v>
      </c>
    </row>
    <row r="28" spans="1:17" hidden="1">
      <c r="A28" s="3663" t="s">
        <v>3353</v>
      </c>
      <c r="B28" s="3663" t="s">
        <v>3277</v>
      </c>
      <c r="C28" s="3663" t="s">
        <v>2507</v>
      </c>
      <c r="D28" s="3663">
        <v>63354.96</v>
      </c>
      <c r="E28" s="3663">
        <v>44348.47</v>
      </c>
      <c r="F28" s="3663" t="s">
        <v>3278</v>
      </c>
      <c r="G28" s="3663" t="s">
        <v>3316</v>
      </c>
      <c r="H28" s="3663" t="s">
        <v>3280</v>
      </c>
      <c r="I28" s="3663">
        <v>0</v>
      </c>
      <c r="J28" s="3663" t="s">
        <v>3347</v>
      </c>
      <c r="K28" s="3663" t="s">
        <v>3347</v>
      </c>
      <c r="L28" s="3663">
        <v>1487</v>
      </c>
      <c r="M28" s="3663">
        <v>1487</v>
      </c>
      <c r="N28" s="3663">
        <v>335.3</v>
      </c>
      <c r="O28" s="3663">
        <v>0</v>
      </c>
      <c r="P28" s="3663" t="s">
        <v>3354</v>
      </c>
      <c r="Q28" s="3663" t="s">
        <v>3283</v>
      </c>
    </row>
    <row r="29" spans="1:17">
      <c r="A29" s="3663" t="s">
        <v>3355</v>
      </c>
      <c r="B29" s="3663" t="s">
        <v>3277</v>
      </c>
      <c r="C29" s="3663" t="s">
        <v>2507</v>
      </c>
      <c r="D29" s="3663">
        <v>10312.469999999999</v>
      </c>
      <c r="E29" s="3663">
        <v>20624.939999999999</v>
      </c>
      <c r="F29" s="3663" t="s">
        <v>3356</v>
      </c>
      <c r="G29" s="3663" t="s">
        <v>3316</v>
      </c>
      <c r="H29" s="3663" t="s">
        <v>3292</v>
      </c>
      <c r="I29" s="3663">
        <v>0</v>
      </c>
      <c r="J29" s="3663" t="s">
        <v>3357</v>
      </c>
      <c r="K29" s="3663" t="s">
        <v>3357</v>
      </c>
      <c r="L29" s="3663">
        <v>460</v>
      </c>
      <c r="M29" s="3663">
        <v>460</v>
      </c>
      <c r="N29" s="3663">
        <v>223.03</v>
      </c>
      <c r="O29" s="3663">
        <v>0</v>
      </c>
      <c r="P29" s="3663" t="s">
        <v>3358</v>
      </c>
      <c r="Q29" s="3663" t="s">
        <v>3283</v>
      </c>
    </row>
    <row r="30" spans="1:17" hidden="1">
      <c r="A30" s="3663" t="s">
        <v>3359</v>
      </c>
      <c r="B30" s="3663" t="s">
        <v>3277</v>
      </c>
      <c r="C30" s="3663" t="s">
        <v>2507</v>
      </c>
      <c r="D30" s="3663">
        <v>11864.53</v>
      </c>
      <c r="E30" s="3663">
        <v>8305.17</v>
      </c>
      <c r="F30" s="3663" t="s">
        <v>3278</v>
      </c>
      <c r="G30" s="3663" t="s">
        <v>3316</v>
      </c>
      <c r="H30" s="3663" t="s">
        <v>3292</v>
      </c>
      <c r="I30" s="3663">
        <v>0</v>
      </c>
      <c r="J30" s="3663" t="s">
        <v>3360</v>
      </c>
      <c r="K30" s="3663" t="s">
        <v>3360</v>
      </c>
      <c r="L30" s="3663">
        <v>433</v>
      </c>
      <c r="M30" s="3663">
        <v>433</v>
      </c>
      <c r="N30" s="3663">
        <v>521.36</v>
      </c>
      <c r="O30" s="3663">
        <v>0</v>
      </c>
      <c r="P30" s="3663" t="s">
        <v>3361</v>
      </c>
      <c r="Q30" s="3663" t="s">
        <v>3283</v>
      </c>
    </row>
    <row r="31" spans="1:17" hidden="1">
      <c r="A31" s="3663" t="s">
        <v>3362</v>
      </c>
      <c r="B31" s="3663" t="s">
        <v>3277</v>
      </c>
      <c r="C31" s="3663" t="s">
        <v>2507</v>
      </c>
      <c r="D31" s="3663">
        <v>54626.94</v>
      </c>
      <c r="E31" s="3663">
        <v>38238.86</v>
      </c>
      <c r="F31" s="3663" t="s">
        <v>3278</v>
      </c>
      <c r="G31" s="3663" t="s">
        <v>3316</v>
      </c>
      <c r="H31" s="3663" t="s">
        <v>3292</v>
      </c>
      <c r="I31" s="3663">
        <v>0</v>
      </c>
      <c r="J31" s="3663" t="s">
        <v>3363</v>
      </c>
      <c r="K31" s="3663" t="s">
        <v>3363</v>
      </c>
      <c r="L31" s="3663">
        <v>1969</v>
      </c>
      <c r="M31" s="3663">
        <v>1969</v>
      </c>
      <c r="N31" s="3663">
        <v>514.91999999999996</v>
      </c>
      <c r="O31" s="3663">
        <v>0</v>
      </c>
      <c r="P31" s="3663" t="s">
        <v>3303</v>
      </c>
      <c r="Q31" s="3663" t="s">
        <v>3283</v>
      </c>
    </row>
    <row r="32" spans="1:17" hidden="1">
      <c r="A32" s="3663" t="s">
        <v>3364</v>
      </c>
      <c r="B32" s="3663" t="s">
        <v>3277</v>
      </c>
      <c r="C32" s="3663" t="s">
        <v>2507</v>
      </c>
      <c r="D32" s="3663">
        <v>4766.6899999999996</v>
      </c>
      <c r="E32" s="3663">
        <v>3336.68</v>
      </c>
      <c r="F32" s="3663" t="s">
        <v>3278</v>
      </c>
      <c r="G32" s="3663" t="s">
        <v>3316</v>
      </c>
      <c r="H32" s="3663" t="s">
        <v>3292</v>
      </c>
      <c r="I32" s="3663">
        <v>0</v>
      </c>
      <c r="J32" s="3663" t="s">
        <v>3363</v>
      </c>
      <c r="K32" s="3663" t="s">
        <v>3363</v>
      </c>
      <c r="L32" s="3663">
        <v>163</v>
      </c>
      <c r="M32" s="3663">
        <v>163</v>
      </c>
      <c r="N32" s="3663">
        <v>488.51</v>
      </c>
      <c r="O32" s="3663">
        <v>0</v>
      </c>
      <c r="P32" s="3663" t="s">
        <v>3365</v>
      </c>
      <c r="Q32" s="3663" t="s">
        <v>3283</v>
      </c>
    </row>
    <row r="33" spans="1:17">
      <c r="A33" s="3663" t="s">
        <v>3366</v>
      </c>
      <c r="B33" s="3663" t="s">
        <v>3277</v>
      </c>
      <c r="C33" s="3663" t="s">
        <v>2507</v>
      </c>
      <c r="D33" s="3663">
        <v>20671.099999999999</v>
      </c>
      <c r="E33" s="3663">
        <v>20671.099999999999</v>
      </c>
      <c r="F33" s="3663" t="s">
        <v>3367</v>
      </c>
      <c r="G33" s="3663" t="s">
        <v>3316</v>
      </c>
      <c r="H33" s="3663" t="s">
        <v>2507</v>
      </c>
      <c r="I33" s="3663">
        <v>0</v>
      </c>
      <c r="J33" s="3663" t="s">
        <v>3368</v>
      </c>
      <c r="K33" s="3663" t="s">
        <v>3368</v>
      </c>
      <c r="L33" s="3663">
        <v>756</v>
      </c>
      <c r="M33" s="3663">
        <v>756</v>
      </c>
      <c r="N33" s="3663">
        <v>365.73</v>
      </c>
      <c r="O33" s="3663">
        <v>0</v>
      </c>
      <c r="P33" s="3663" t="s">
        <v>3369</v>
      </c>
      <c r="Q33" s="3663" t="s">
        <v>3283</v>
      </c>
    </row>
    <row r="34" spans="1:17">
      <c r="A34" s="3663" t="s">
        <v>3370</v>
      </c>
      <c r="B34" s="3663" t="s">
        <v>3277</v>
      </c>
      <c r="C34" s="3663" t="s">
        <v>2507</v>
      </c>
      <c r="D34" s="3663">
        <v>51694.85</v>
      </c>
      <c r="E34" s="3663">
        <v>51694.85</v>
      </c>
      <c r="F34" s="3663" t="s">
        <v>3367</v>
      </c>
      <c r="G34" s="3663" t="s">
        <v>3316</v>
      </c>
      <c r="H34" s="3663" t="s">
        <v>2507</v>
      </c>
      <c r="I34" s="3663">
        <v>0</v>
      </c>
      <c r="J34" s="3663" t="s">
        <v>3368</v>
      </c>
      <c r="K34" s="3663" t="s">
        <v>3368</v>
      </c>
      <c r="L34" s="3663">
        <v>1755</v>
      </c>
      <c r="M34" s="3663">
        <v>1755</v>
      </c>
      <c r="N34" s="3663">
        <v>339.49</v>
      </c>
      <c r="O34" s="3663">
        <v>0</v>
      </c>
      <c r="P34" s="3663" t="s">
        <v>3371</v>
      </c>
      <c r="Q34" s="3663" t="s">
        <v>3283</v>
      </c>
    </row>
    <row r="35" spans="1:17" hidden="1">
      <c r="A35" s="3663" t="s">
        <v>3372</v>
      </c>
      <c r="B35" s="3663" t="s">
        <v>3277</v>
      </c>
      <c r="C35" s="3663" t="s">
        <v>2507</v>
      </c>
      <c r="D35" s="3663">
        <v>36152.47</v>
      </c>
      <c r="E35" s="3663">
        <v>25306.73</v>
      </c>
      <c r="F35" s="3663" t="s">
        <v>3373</v>
      </c>
      <c r="G35" s="3663" t="s">
        <v>3316</v>
      </c>
      <c r="H35" s="3663" t="s">
        <v>2507</v>
      </c>
      <c r="I35" s="3663">
        <v>0</v>
      </c>
      <c r="J35" s="3663" t="s">
        <v>3368</v>
      </c>
      <c r="K35" s="3663" t="s">
        <v>3368</v>
      </c>
      <c r="L35" s="3663">
        <v>1195</v>
      </c>
      <c r="M35" s="3663">
        <v>1195</v>
      </c>
      <c r="N35" s="3663">
        <v>472.21</v>
      </c>
      <c r="O35" s="3663">
        <v>0</v>
      </c>
      <c r="P35" s="3663" t="s">
        <v>3374</v>
      </c>
      <c r="Q35" s="3663" t="s">
        <v>3283</v>
      </c>
    </row>
    <row r="36" spans="1:17" hidden="1">
      <c r="A36" s="3663" t="s">
        <v>3375</v>
      </c>
      <c r="B36" s="3663" t="s">
        <v>3277</v>
      </c>
      <c r="C36" s="3663" t="s">
        <v>2507</v>
      </c>
      <c r="D36" s="3663">
        <v>116187.07</v>
      </c>
      <c r="E36" s="3663">
        <v>92949.66</v>
      </c>
      <c r="F36" s="3663" t="s">
        <v>3295</v>
      </c>
      <c r="G36" s="3663" t="s">
        <v>3316</v>
      </c>
      <c r="H36" s="3663" t="s">
        <v>2507</v>
      </c>
      <c r="I36" s="3663">
        <v>0</v>
      </c>
      <c r="J36" s="3663" t="s">
        <v>3376</v>
      </c>
      <c r="K36" s="3663" t="s">
        <v>3376</v>
      </c>
      <c r="L36" s="3663">
        <v>3898</v>
      </c>
      <c r="M36" s="3663">
        <v>3898</v>
      </c>
      <c r="N36" s="3663">
        <v>419.37</v>
      </c>
      <c r="O36" s="3663">
        <v>0</v>
      </c>
      <c r="P36" s="3663" t="s">
        <v>3377</v>
      </c>
      <c r="Q36" s="3663" t="s">
        <v>3283</v>
      </c>
    </row>
    <row r="37" spans="1:17">
      <c r="A37" s="3663" t="s">
        <v>3378</v>
      </c>
      <c r="B37" s="3663" t="s">
        <v>3277</v>
      </c>
      <c r="C37" s="3663" t="s">
        <v>2507</v>
      </c>
      <c r="D37" s="3663">
        <v>24380.04</v>
      </c>
      <c r="E37" s="3663">
        <v>36570.06</v>
      </c>
      <c r="F37" s="3663" t="s">
        <v>3379</v>
      </c>
      <c r="G37" s="3663" t="s">
        <v>3316</v>
      </c>
      <c r="H37" s="3663" t="s">
        <v>2507</v>
      </c>
      <c r="I37" s="3663">
        <v>0</v>
      </c>
      <c r="J37" s="3663" t="s">
        <v>3380</v>
      </c>
      <c r="K37" s="3663" t="s">
        <v>3380</v>
      </c>
      <c r="L37" s="3663">
        <v>774</v>
      </c>
      <c r="M37" s="3663">
        <v>774</v>
      </c>
      <c r="N37" s="3663">
        <v>211.65</v>
      </c>
      <c r="O37" s="3663">
        <v>0</v>
      </c>
      <c r="P37" s="3663" t="s">
        <v>3381</v>
      </c>
      <c r="Q37" s="3663" t="s">
        <v>3283</v>
      </c>
    </row>
    <row r="38" spans="1:17" hidden="1">
      <c r="A38" s="3663" t="s">
        <v>3382</v>
      </c>
      <c r="B38" s="3663" t="s">
        <v>3277</v>
      </c>
      <c r="C38" s="3663" t="s">
        <v>2507</v>
      </c>
      <c r="D38" s="3663">
        <v>77183.839999999997</v>
      </c>
      <c r="E38" s="3663">
        <v>54028.69</v>
      </c>
      <c r="F38" s="3663" t="s">
        <v>3373</v>
      </c>
      <c r="G38" s="3663" t="s">
        <v>3316</v>
      </c>
      <c r="H38" s="3663" t="s">
        <v>2507</v>
      </c>
      <c r="I38" s="3663">
        <v>0</v>
      </c>
      <c r="J38" s="3663" t="s">
        <v>3380</v>
      </c>
      <c r="K38" s="3663" t="s">
        <v>3380</v>
      </c>
      <c r="L38" s="3663">
        <v>2551</v>
      </c>
      <c r="M38" s="3663">
        <v>2551</v>
      </c>
      <c r="N38" s="3663">
        <v>472.16</v>
      </c>
      <c r="O38" s="3663">
        <v>0</v>
      </c>
      <c r="P38" s="3663" t="s">
        <v>3383</v>
      </c>
      <c r="Q38" s="3663" t="s">
        <v>3283</v>
      </c>
    </row>
    <row r="39" spans="1:17" hidden="1">
      <c r="A39" s="3663" t="s">
        <v>3384</v>
      </c>
      <c r="B39" s="3663" t="s">
        <v>3277</v>
      </c>
      <c r="C39" s="3663" t="s">
        <v>2507</v>
      </c>
      <c r="D39" s="3663">
        <v>26540.74</v>
      </c>
      <c r="E39" s="3663">
        <v>18578.52</v>
      </c>
      <c r="F39" s="3663" t="s">
        <v>3373</v>
      </c>
      <c r="G39" s="3663" t="s">
        <v>3316</v>
      </c>
      <c r="H39" s="3663" t="s">
        <v>2507</v>
      </c>
      <c r="I39" s="3663">
        <v>0</v>
      </c>
      <c r="J39" s="3663" t="s">
        <v>3380</v>
      </c>
      <c r="K39" s="3663" t="s">
        <v>3380</v>
      </c>
      <c r="L39" s="3663">
        <v>854</v>
      </c>
      <c r="M39" s="3663">
        <v>854</v>
      </c>
      <c r="N39" s="3663">
        <v>459.67</v>
      </c>
      <c r="O39" s="3663">
        <v>0</v>
      </c>
      <c r="P39" s="3663" t="s">
        <v>3383</v>
      </c>
      <c r="Q39" s="3663" t="s">
        <v>3283</v>
      </c>
    </row>
    <row r="40" spans="1:17">
      <c r="A40" s="3663" t="s">
        <v>3385</v>
      </c>
      <c r="B40" s="3663" t="s">
        <v>3277</v>
      </c>
      <c r="C40" s="3663" t="s">
        <v>2507</v>
      </c>
      <c r="D40" s="3663">
        <v>41612.03</v>
      </c>
      <c r="E40" s="3663">
        <v>62418.05</v>
      </c>
      <c r="F40" s="3663" t="s">
        <v>3379</v>
      </c>
      <c r="G40" s="3663" t="s">
        <v>3316</v>
      </c>
      <c r="H40" s="3663" t="s">
        <v>2507</v>
      </c>
      <c r="I40" s="3663">
        <v>0</v>
      </c>
      <c r="J40" s="3663" t="s">
        <v>3386</v>
      </c>
      <c r="K40" s="3663" t="s">
        <v>3386</v>
      </c>
      <c r="L40" s="3663">
        <v>1404</v>
      </c>
      <c r="M40" s="3663">
        <v>1404</v>
      </c>
      <c r="N40" s="3663">
        <v>224.93</v>
      </c>
      <c r="O40" s="3663">
        <v>0</v>
      </c>
      <c r="P40" s="3663" t="s">
        <v>3387</v>
      </c>
      <c r="Q40" s="3663" t="s">
        <v>3283</v>
      </c>
    </row>
    <row r="41" spans="1:17">
      <c r="A41" s="3663" t="s">
        <v>3388</v>
      </c>
      <c r="B41" s="3663" t="s">
        <v>3277</v>
      </c>
      <c r="C41" s="3663" t="s">
        <v>2507</v>
      </c>
      <c r="D41" s="3663">
        <v>59597.89</v>
      </c>
      <c r="E41" s="3663">
        <v>119195.78</v>
      </c>
      <c r="F41" s="3663" t="s">
        <v>3389</v>
      </c>
      <c r="G41" s="3663" t="s">
        <v>3316</v>
      </c>
      <c r="H41" s="3663" t="s">
        <v>2507</v>
      </c>
      <c r="I41" s="3663">
        <v>0</v>
      </c>
      <c r="J41" s="3663" t="s">
        <v>3390</v>
      </c>
      <c r="K41" s="3663" t="s">
        <v>3390</v>
      </c>
      <c r="L41" s="3663">
        <v>1860</v>
      </c>
      <c r="M41" s="3663">
        <v>1860</v>
      </c>
      <c r="N41" s="3663">
        <v>156.05000000000001</v>
      </c>
      <c r="O41" s="3663">
        <v>0</v>
      </c>
      <c r="P41" s="3663" t="s">
        <v>3358</v>
      </c>
      <c r="Q41" s="3663" t="s">
        <v>3283</v>
      </c>
    </row>
    <row r="42" spans="1:17" hidden="1">
      <c r="A42" s="3663" t="s">
        <v>3391</v>
      </c>
      <c r="B42" s="3663" t="s">
        <v>3277</v>
      </c>
      <c r="C42" s="3663" t="s">
        <v>2507</v>
      </c>
      <c r="D42" s="3663">
        <v>209488.45</v>
      </c>
      <c r="E42" s="3663">
        <v>146641.92000000001</v>
      </c>
      <c r="F42" s="3663" t="s">
        <v>3278</v>
      </c>
      <c r="G42" s="3663" t="s">
        <v>3316</v>
      </c>
      <c r="H42" s="3663" t="s">
        <v>2507</v>
      </c>
      <c r="I42" s="3663">
        <v>0</v>
      </c>
      <c r="J42" s="3663" t="s">
        <v>3392</v>
      </c>
      <c r="K42" s="3663" t="s">
        <v>3392</v>
      </c>
      <c r="L42" s="3663">
        <v>6389.4</v>
      </c>
      <c r="M42" s="3663">
        <v>6389.4</v>
      </c>
      <c r="N42" s="3663">
        <v>435.71</v>
      </c>
      <c r="O42" s="3663">
        <v>0</v>
      </c>
      <c r="P42" s="3663" t="s">
        <v>3393</v>
      </c>
      <c r="Q42" s="3663" t="s">
        <v>3283</v>
      </c>
    </row>
    <row r="43" spans="1:17">
      <c r="A43" s="3663" t="s">
        <v>3394</v>
      </c>
      <c r="B43" s="3663" t="s">
        <v>3277</v>
      </c>
      <c r="C43" s="3663" t="s">
        <v>2507</v>
      </c>
      <c r="D43" s="3663">
        <v>19110.759999999998</v>
      </c>
      <c r="E43" s="3663">
        <v>28666.14</v>
      </c>
      <c r="F43" s="3663" t="s">
        <v>3395</v>
      </c>
      <c r="G43" s="3663" t="s">
        <v>3316</v>
      </c>
      <c r="H43" s="3663" t="s">
        <v>2507</v>
      </c>
      <c r="I43" s="3663">
        <v>0</v>
      </c>
      <c r="J43" s="3663" t="s">
        <v>3396</v>
      </c>
      <c r="K43" s="3663" t="s">
        <v>3396</v>
      </c>
      <c r="L43" s="3663">
        <v>597</v>
      </c>
      <c r="M43" s="3663">
        <v>597</v>
      </c>
      <c r="N43" s="3663">
        <v>208.26</v>
      </c>
      <c r="O43" s="3663">
        <v>0</v>
      </c>
      <c r="P43" s="3663" t="s">
        <v>3397</v>
      </c>
      <c r="Q43" s="3663" t="s">
        <v>3283</v>
      </c>
    </row>
    <row r="44" spans="1:17">
      <c r="A44" s="3663" t="s">
        <v>3398</v>
      </c>
      <c r="B44" s="3663" t="s">
        <v>3277</v>
      </c>
      <c r="C44" s="3663" t="s">
        <v>2507</v>
      </c>
      <c r="D44" s="3663">
        <v>16389.509999999998</v>
      </c>
      <c r="E44" s="3663">
        <v>24584.27</v>
      </c>
      <c r="F44" s="3663" t="s">
        <v>3379</v>
      </c>
      <c r="G44" s="3663" t="s">
        <v>3316</v>
      </c>
      <c r="H44" s="3663" t="s">
        <v>2507</v>
      </c>
      <c r="I44" s="3663">
        <v>0</v>
      </c>
      <c r="J44" s="3663" t="s">
        <v>3396</v>
      </c>
      <c r="K44" s="3663" t="s">
        <v>3396</v>
      </c>
      <c r="L44" s="3663">
        <v>496</v>
      </c>
      <c r="M44" s="3663">
        <v>496</v>
      </c>
      <c r="N44" s="3663">
        <v>201.76</v>
      </c>
      <c r="O44" s="3663">
        <v>0</v>
      </c>
      <c r="P44" s="3663" t="s">
        <v>3399</v>
      </c>
      <c r="Q44" s="3663" t="s">
        <v>3283</v>
      </c>
    </row>
    <row r="45" spans="1:17">
      <c r="A45" s="3663" t="s">
        <v>3400</v>
      </c>
      <c r="B45" s="3663" t="s">
        <v>3277</v>
      </c>
      <c r="C45" s="3663" t="s">
        <v>2507</v>
      </c>
      <c r="D45" s="3663">
        <v>15476.36</v>
      </c>
      <c r="E45" s="3663">
        <v>23214.54</v>
      </c>
      <c r="F45" s="3663" t="s">
        <v>3379</v>
      </c>
      <c r="G45" s="3663" t="s">
        <v>3316</v>
      </c>
      <c r="H45" s="3663" t="s">
        <v>2507</v>
      </c>
      <c r="I45" s="3663">
        <v>0</v>
      </c>
      <c r="J45" s="3663" t="s">
        <v>3396</v>
      </c>
      <c r="K45" s="3663" t="s">
        <v>3396</v>
      </c>
      <c r="L45" s="3663">
        <v>468</v>
      </c>
      <c r="M45" s="3663">
        <v>468</v>
      </c>
      <c r="N45" s="3663">
        <v>201.6</v>
      </c>
      <c r="O45" s="3663">
        <v>0</v>
      </c>
      <c r="P45" s="3663" t="s">
        <v>3401</v>
      </c>
      <c r="Q45" s="3663" t="s">
        <v>3283</v>
      </c>
    </row>
    <row r="46" spans="1:17">
      <c r="A46" s="3663" t="s">
        <v>3402</v>
      </c>
      <c r="B46" s="3663" t="s">
        <v>3277</v>
      </c>
      <c r="C46" s="3663" t="s">
        <v>2507</v>
      </c>
      <c r="D46" s="3663">
        <v>22696.49</v>
      </c>
      <c r="E46" s="3663">
        <v>34044.74</v>
      </c>
      <c r="F46" s="3663" t="s">
        <v>3403</v>
      </c>
      <c r="G46" s="3663" t="s">
        <v>3316</v>
      </c>
      <c r="H46" s="3663" t="s">
        <v>2507</v>
      </c>
      <c r="I46" s="3663">
        <v>0</v>
      </c>
      <c r="J46" s="3663" t="s">
        <v>3404</v>
      </c>
      <c r="K46" s="3663" t="s">
        <v>3404</v>
      </c>
      <c r="L46" s="3663">
        <v>702</v>
      </c>
      <c r="M46" s="3663">
        <v>702</v>
      </c>
      <c r="N46" s="3663">
        <v>206.2</v>
      </c>
      <c r="O46" s="3663">
        <v>0</v>
      </c>
      <c r="P46" s="3663" t="s">
        <v>3405</v>
      </c>
      <c r="Q46" s="3663" t="s">
        <v>3283</v>
      </c>
    </row>
    <row r="47" spans="1:17">
      <c r="A47" s="3663" t="s">
        <v>3406</v>
      </c>
      <c r="B47" s="3663" t="s">
        <v>3277</v>
      </c>
      <c r="C47" s="3663" t="s">
        <v>2507</v>
      </c>
      <c r="D47" s="3663">
        <v>41235.18</v>
      </c>
      <c r="E47" s="3663">
        <v>61852.77</v>
      </c>
      <c r="F47" s="3663" t="s">
        <v>3407</v>
      </c>
      <c r="G47" s="3663" t="s">
        <v>3316</v>
      </c>
      <c r="H47" s="3663" t="s">
        <v>2507</v>
      </c>
      <c r="I47" s="3663">
        <v>0</v>
      </c>
      <c r="J47" s="3663" t="s">
        <v>3404</v>
      </c>
      <c r="K47" s="3663" t="s">
        <v>3404</v>
      </c>
      <c r="L47" s="3663">
        <v>1328</v>
      </c>
      <c r="M47" s="3663">
        <v>1328</v>
      </c>
      <c r="N47" s="3663">
        <v>214.7</v>
      </c>
      <c r="O47" s="3663">
        <v>0</v>
      </c>
      <c r="P47" s="3663" t="s">
        <v>3408</v>
      </c>
      <c r="Q47" s="3663" t="s">
        <v>3283</v>
      </c>
    </row>
    <row r="48" spans="1:17">
      <c r="A48" s="3663" t="s">
        <v>3409</v>
      </c>
      <c r="B48" s="3663" t="s">
        <v>3277</v>
      </c>
      <c r="C48" s="3663" t="s">
        <v>2507</v>
      </c>
      <c r="D48" s="3663">
        <v>59071.98</v>
      </c>
      <c r="E48" s="3663">
        <v>118143.96</v>
      </c>
      <c r="F48" s="3663" t="s">
        <v>3410</v>
      </c>
      <c r="G48" s="3663" t="s">
        <v>3316</v>
      </c>
      <c r="H48" s="3663" t="s">
        <v>2507</v>
      </c>
      <c r="I48" s="3663">
        <v>0</v>
      </c>
      <c r="J48" s="3663" t="s">
        <v>3411</v>
      </c>
      <c r="K48" s="3663" t="s">
        <v>3411</v>
      </c>
      <c r="L48" s="3663">
        <v>1855</v>
      </c>
      <c r="M48" s="3663">
        <v>1855</v>
      </c>
      <c r="N48" s="3663">
        <v>157.01</v>
      </c>
      <c r="O48" s="3663">
        <v>0</v>
      </c>
      <c r="P48" s="3663" t="s">
        <v>3383</v>
      </c>
      <c r="Q48" s="3663" t="s">
        <v>3283</v>
      </c>
    </row>
    <row r="49" spans="1:17">
      <c r="A49" s="3663" t="s">
        <v>3276</v>
      </c>
      <c r="B49" s="3663" t="s">
        <v>3277</v>
      </c>
      <c r="C49" s="3663" t="s">
        <v>2507</v>
      </c>
      <c r="D49" s="3663">
        <v>125585.16</v>
      </c>
      <c r="E49" s="3663">
        <v>251170.32</v>
      </c>
      <c r="F49" s="3663" t="s">
        <v>3389</v>
      </c>
      <c r="G49" s="3663" t="s">
        <v>3316</v>
      </c>
      <c r="H49" s="3663" t="s">
        <v>2507</v>
      </c>
      <c r="I49" s="3663">
        <v>0</v>
      </c>
      <c r="J49" s="3663" t="s">
        <v>3412</v>
      </c>
      <c r="K49" s="3663" t="s">
        <v>3412</v>
      </c>
      <c r="L49" s="3663">
        <v>3215</v>
      </c>
      <c r="M49" s="3663">
        <v>3215</v>
      </c>
      <c r="N49" s="3663">
        <v>128</v>
      </c>
      <c r="O49" s="3663">
        <v>0</v>
      </c>
      <c r="P49" s="3663" t="s">
        <v>3413</v>
      </c>
      <c r="Q49" s="3663" t="s">
        <v>3283</v>
      </c>
    </row>
    <row r="50" spans="1:17">
      <c r="A50" s="3663" t="s">
        <v>3276</v>
      </c>
      <c r="B50" s="3663" t="s">
        <v>3277</v>
      </c>
      <c r="C50" s="3663" t="s">
        <v>2507</v>
      </c>
      <c r="D50" s="3663">
        <v>62738.06</v>
      </c>
      <c r="E50" s="3663">
        <v>94107.09</v>
      </c>
      <c r="F50" s="3663" t="s">
        <v>3395</v>
      </c>
      <c r="G50" s="3663" t="s">
        <v>3316</v>
      </c>
      <c r="H50" s="3663" t="s">
        <v>2507</v>
      </c>
      <c r="I50" s="3663">
        <v>0</v>
      </c>
      <c r="J50" s="3663" t="s">
        <v>3414</v>
      </c>
      <c r="K50" s="3663" t="s">
        <v>3414</v>
      </c>
      <c r="L50" s="3663">
        <v>2196</v>
      </c>
      <c r="M50" s="3663">
        <v>2196</v>
      </c>
      <c r="N50" s="3663">
        <v>233.35</v>
      </c>
      <c r="O50" s="3663">
        <v>0</v>
      </c>
      <c r="P50" s="3663" t="s">
        <v>3415</v>
      </c>
      <c r="Q50" s="3663" t="s">
        <v>3283</v>
      </c>
    </row>
    <row r="51" spans="1:17">
      <c r="A51" s="3663" t="s">
        <v>3276</v>
      </c>
      <c r="B51" s="3663" t="s">
        <v>3277</v>
      </c>
      <c r="C51" s="3663" t="s">
        <v>2507</v>
      </c>
      <c r="D51" s="3663">
        <v>19805.560000000001</v>
      </c>
      <c r="E51" s="3663">
        <v>29708.34</v>
      </c>
      <c r="F51" s="3663" t="s">
        <v>3395</v>
      </c>
      <c r="G51" s="3663" t="s">
        <v>3316</v>
      </c>
      <c r="H51" s="3663" t="s">
        <v>2507</v>
      </c>
      <c r="I51" s="3663">
        <v>0</v>
      </c>
      <c r="J51" s="3663" t="s">
        <v>3414</v>
      </c>
      <c r="K51" s="3663" t="s">
        <v>3414</v>
      </c>
      <c r="L51" s="3663">
        <v>757</v>
      </c>
      <c r="M51" s="3663">
        <v>757</v>
      </c>
      <c r="N51" s="3663">
        <v>254.81</v>
      </c>
      <c r="O51" s="3663">
        <v>0</v>
      </c>
      <c r="P51" s="3663" t="s">
        <v>3416</v>
      </c>
      <c r="Q51" s="3663" t="s">
        <v>3283</v>
      </c>
    </row>
    <row r="52" spans="1:17">
      <c r="A52" s="3663" t="s">
        <v>3276</v>
      </c>
      <c r="B52" s="3663" t="s">
        <v>3277</v>
      </c>
      <c r="C52" s="3663" t="s">
        <v>2507</v>
      </c>
      <c r="D52" s="3663">
        <v>13640.58</v>
      </c>
      <c r="E52" s="3663">
        <v>20460.87</v>
      </c>
      <c r="F52" s="3663" t="s">
        <v>3395</v>
      </c>
      <c r="G52" s="3663" t="s">
        <v>3316</v>
      </c>
      <c r="H52" s="3663" t="s">
        <v>2507</v>
      </c>
      <c r="I52" s="3663">
        <v>0</v>
      </c>
      <c r="J52" s="3663" t="s">
        <v>3417</v>
      </c>
      <c r="K52" s="3663" t="s">
        <v>3417</v>
      </c>
      <c r="L52" s="3663">
        <v>798</v>
      </c>
      <c r="M52" s="3663">
        <v>798</v>
      </c>
      <c r="N52" s="3663">
        <v>390.01</v>
      </c>
      <c r="O52" s="3663">
        <v>0</v>
      </c>
      <c r="P52" s="3663" t="s">
        <v>3418</v>
      </c>
      <c r="Q52" s="3663" t="s">
        <v>3283</v>
      </c>
    </row>
    <row r="53" spans="1:17">
      <c r="A53" s="3663" t="s">
        <v>3419</v>
      </c>
      <c r="B53" s="3663" t="s">
        <v>3277</v>
      </c>
      <c r="C53" s="3663" t="s">
        <v>2507</v>
      </c>
      <c r="D53" s="3663">
        <v>3818.62</v>
      </c>
      <c r="E53" s="3663">
        <v>5727.93</v>
      </c>
      <c r="F53" s="3663" t="s">
        <v>3379</v>
      </c>
      <c r="G53" s="3663" t="s">
        <v>3316</v>
      </c>
      <c r="H53" s="3663" t="s">
        <v>2507</v>
      </c>
      <c r="I53" s="3663">
        <v>0</v>
      </c>
      <c r="J53" s="3663" t="s">
        <v>3420</v>
      </c>
      <c r="K53" s="3663" t="s">
        <v>3420</v>
      </c>
      <c r="L53" s="3663">
        <v>126</v>
      </c>
      <c r="M53" s="3663">
        <v>126</v>
      </c>
      <c r="N53" s="3663">
        <v>219.97</v>
      </c>
      <c r="O53" s="3663">
        <v>0</v>
      </c>
      <c r="P53" s="3663" t="s">
        <v>3421</v>
      </c>
      <c r="Q53" s="3663" t="s">
        <v>3283</v>
      </c>
    </row>
    <row r="54" spans="1:17">
      <c r="A54" s="3663" t="s">
        <v>3422</v>
      </c>
      <c r="B54" s="3663" t="s">
        <v>3277</v>
      </c>
      <c r="C54" s="3663" t="s">
        <v>2507</v>
      </c>
      <c r="D54" s="3663">
        <v>11195.64</v>
      </c>
      <c r="E54" s="3663">
        <v>16793.46</v>
      </c>
      <c r="F54" s="3663" t="s">
        <v>3379</v>
      </c>
      <c r="G54" s="3663" t="s">
        <v>3316</v>
      </c>
      <c r="H54" s="3663" t="s">
        <v>2507</v>
      </c>
      <c r="I54" s="3663">
        <v>0</v>
      </c>
      <c r="J54" s="3663" t="s">
        <v>3420</v>
      </c>
      <c r="K54" s="3663" t="s">
        <v>3420</v>
      </c>
      <c r="L54" s="3663">
        <v>389</v>
      </c>
      <c r="M54" s="3663">
        <v>389</v>
      </c>
      <c r="N54" s="3663">
        <v>231.64</v>
      </c>
      <c r="O54" s="3663">
        <v>0</v>
      </c>
      <c r="P54" s="3663" t="s">
        <v>3423</v>
      </c>
      <c r="Q54" s="3663" t="s">
        <v>3283</v>
      </c>
    </row>
    <row r="55" spans="1:17">
      <c r="A55" s="3663" t="s">
        <v>3424</v>
      </c>
      <c r="B55" s="3663" t="s">
        <v>3277</v>
      </c>
      <c r="C55" s="3663" t="s">
        <v>2507</v>
      </c>
      <c r="D55" s="3663">
        <v>79751.820000000007</v>
      </c>
      <c r="E55" s="3663">
        <v>159503.64000000001</v>
      </c>
      <c r="F55" s="3663" t="s">
        <v>3425</v>
      </c>
      <c r="G55" s="3663" t="s">
        <v>3316</v>
      </c>
      <c r="H55" s="3663" t="s">
        <v>2507</v>
      </c>
      <c r="I55" s="3663">
        <v>0</v>
      </c>
      <c r="J55" s="3663" t="s">
        <v>3426</v>
      </c>
      <c r="K55" s="3663" t="s">
        <v>3426</v>
      </c>
      <c r="L55" s="3663">
        <v>2553</v>
      </c>
      <c r="M55" s="3663">
        <v>2553</v>
      </c>
      <c r="N55" s="3663">
        <v>160.06</v>
      </c>
      <c r="O55" s="3663">
        <v>0</v>
      </c>
      <c r="P55" s="3663" t="s">
        <v>3358</v>
      </c>
      <c r="Q55" s="3663" t="s">
        <v>3283</v>
      </c>
    </row>
  </sheetData>
  <autoFilter ref="A1:Q55">
    <filterColumn colId="5">
      <filters>
        <filter val="＞0.7并且≤2"/>
        <filter val="≤1.5"/>
        <filter val="≥0.7并且≤1.5"/>
        <filter val="≥0.7并且≤2.0"/>
        <filter val="≥1.0"/>
        <filter val="≥1并且≤1.5"/>
        <filter val="大于或等于0.7并且小于或等于1.5"/>
        <filter val="大于或等于0.7并且小于或等于2"/>
        <filter val="大于或等于1"/>
        <filter val="大于或等于1并且小于或等于1.5"/>
        <filter val="容积率≥1.0"/>
        <filter val="小于或等于2"/>
      </filters>
    </filterColumn>
  </autoFilter>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0" sqref="N2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3286</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533</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338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23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24005</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905</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3941</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60917.47</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24005</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12183</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365</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1232</v>
      </c>
      <c r="D16" s="2324">
        <f ca="1">IF(B1="",'数据-汇总表'!E3,INDIRECT("'数据-取费表'!K"&amp;$K$1)+INDIRECT("'数据-取费表'!S"&amp;$K$1))</f>
        <v>61600.22</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183</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13963</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61600.22</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1663</v>
      </c>
      <c r="D20" s="2334"/>
      <c r="E20" s="2288"/>
      <c r="F20" s="2335"/>
      <c r="G20" s="2533" t="s">
        <v>3453</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1663</v>
      </c>
      <c r="D22" s="2324">
        <f ca="1">IF(B1="",'数据-汇总表'!E6,IF(INDIRECT("'数据-取费表'!c"&amp;$K$1)="住宅",INDIRECT("'数据-取费表'!s"&amp;$K$1),INDIRECT("'数据-取费表'!k"&amp;$K$1)+INDIRECT("'数据-取费表'!s"&amp;$K$1)))</f>
        <v>61600.22</v>
      </c>
      <c r="E22" s="51">
        <f>'数据-取费表'!B28</f>
        <v>270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313</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480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681</v>
      </c>
      <c r="D26" s="453">
        <f ca="1">C27</f>
        <v>8.72E-2</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8.72E-2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681</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1257</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18357</v>
      </c>
      <c r="D30" s="463">
        <f ca="1">C32</f>
        <v>0.1162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18357</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0.1162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1642</v>
      </c>
      <c r="D33" s="453">
        <f ca="1">C34</f>
        <v>0.10290000000000001</v>
      </c>
      <c r="E33" s="455" t="s">
        <v>455</v>
      </c>
      <c r="F33" s="465">
        <f ca="1">IF(B1="",'数据-取费表'!Q16,INDIRECT("'数据-取费表'!q"&amp;$K$1))</f>
        <v>0.1</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0.10290000000000001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1642</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3286</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12183</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365</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1232</v>
      </c>
      <c r="D16" s="437">
        <f ca="1">IF(B1="",'数据-汇总表'!E3,INDIRECT("'数据-取费表'!K"&amp;$K$1)+INDIRECT("'数据-取费表'!S"&amp;$K$1))</f>
        <v>61600.22</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183</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13963</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279</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591</v>
      </c>
      <c r="D20" s="448">
        <f ca="1">ROUND(((1+F20)^'数据-取费表'!B20)-1,4)</f>
        <v>8.4699999999999998E-2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1424</v>
      </c>
      <c r="D21" s="3029"/>
      <c r="E21" s="448"/>
      <c r="F21" s="465">
        <f ca="1">IF(B1="",'数据-取费表'!Q16,INDIRECT("'数据-取费表'!q"&amp;$K$1))</f>
        <v>0.1</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9" t="s">
        <v>1394</v>
      </c>
      <c r="B24" s="3890"/>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9" t="s">
        <v>2296</v>
      </c>
      <c r="B25" s="3890"/>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9" t="s">
        <v>2297</v>
      </c>
      <c r="B26" s="3890"/>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91" t="s">
        <v>2295</v>
      </c>
      <c r="B27" s="3892"/>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1" t="s">
        <v>471</v>
      </c>
      <c r="D6" s="3862"/>
      <c r="E6" s="3861" t="s">
        <v>472</v>
      </c>
      <c r="F6" s="3862"/>
      <c r="G6" s="3861" t="s">
        <v>473</v>
      </c>
      <c r="H6" s="3862"/>
      <c r="I6" s="3861" t="s">
        <v>474</v>
      </c>
      <c r="J6" s="3862"/>
      <c r="K6" s="484" t="s">
        <v>475</v>
      </c>
      <c r="L6" s="1856"/>
      <c r="M6" s="1855"/>
      <c r="N6" s="1855"/>
      <c r="O6" s="1857"/>
      <c r="P6" s="3865" t="s">
        <v>476</v>
      </c>
      <c r="Q6" s="3866"/>
      <c r="R6" s="3847" t="s">
        <v>472</v>
      </c>
      <c r="S6" s="3848"/>
      <c r="T6" s="3847" t="s">
        <v>473</v>
      </c>
      <c r="U6" s="3848"/>
      <c r="V6" s="3873" t="s">
        <v>474</v>
      </c>
      <c r="W6" s="3873"/>
      <c r="X6" s="1380"/>
      <c r="Y6" s="3847" t="s">
        <v>476</v>
      </c>
      <c r="Z6" s="3848"/>
      <c r="AA6" s="3858" t="s">
        <v>472</v>
      </c>
      <c r="AB6" s="3859" t="s">
        <v>473</v>
      </c>
      <c r="AC6" s="3858" t="s">
        <v>474</v>
      </c>
    </row>
    <row r="7" spans="1:30" ht="20.25">
      <c r="A7" s="485"/>
      <c r="B7" s="486"/>
      <c r="C7" s="3851" t="s">
        <v>2192</v>
      </c>
      <c r="D7" s="3852"/>
      <c r="E7" s="3851" t="s">
        <v>2193</v>
      </c>
      <c r="F7" s="3852"/>
      <c r="G7" s="3851" t="s">
        <v>2194</v>
      </c>
      <c r="H7" s="3852"/>
      <c r="I7" s="3851" t="s">
        <v>2195</v>
      </c>
      <c r="J7" s="3852"/>
      <c r="K7" s="484"/>
      <c r="L7" s="1856"/>
      <c r="M7" s="1855"/>
      <c r="N7" s="1855"/>
      <c r="O7" s="1857"/>
      <c r="P7" s="3867"/>
      <c r="Q7" s="3868"/>
      <c r="R7" s="3849"/>
      <c r="S7" s="3850"/>
      <c r="T7" s="3849"/>
      <c r="U7" s="3850"/>
      <c r="V7" s="3873"/>
      <c r="W7" s="3873"/>
      <c r="X7" s="1380"/>
      <c r="Y7" s="3849"/>
      <c r="Z7" s="3850"/>
      <c r="AA7" s="3859"/>
      <c r="AB7" s="3859"/>
      <c r="AC7" s="3859"/>
    </row>
    <row r="8" spans="1:30" ht="21" thickBot="1">
      <c r="A8" s="485"/>
      <c r="B8" s="486"/>
      <c r="C8" s="3894" t="s">
        <v>2196</v>
      </c>
      <c r="D8" s="3895"/>
      <c r="E8" s="3894" t="s">
        <v>2196</v>
      </c>
      <c r="F8" s="3895"/>
      <c r="G8" s="3853" t="s">
        <v>2196</v>
      </c>
      <c r="H8" s="3854"/>
      <c r="I8" s="3853" t="s">
        <v>2196</v>
      </c>
      <c r="J8" s="3854"/>
      <c r="K8" s="484" t="s">
        <v>477</v>
      </c>
      <c r="L8" s="1856"/>
      <c r="M8" s="1855"/>
      <c r="N8" s="1855"/>
      <c r="O8" s="1857"/>
      <c r="P8" s="3869"/>
      <c r="Q8" s="3870"/>
      <c r="R8" s="3849"/>
      <c r="S8" s="3850"/>
      <c r="T8" s="3871"/>
      <c r="U8" s="3872"/>
      <c r="V8" s="3873"/>
      <c r="W8" s="3873"/>
      <c r="X8" s="1380"/>
      <c r="Y8" s="3871"/>
      <c r="Z8" s="3872"/>
      <c r="AA8" s="3860"/>
      <c r="AB8" s="3860"/>
      <c r="AC8" s="3860"/>
    </row>
    <row r="9" spans="1:30" s="1118" customFormat="1" ht="21" thickBot="1">
      <c r="A9" s="2392"/>
      <c r="B9" s="2399" t="s">
        <v>478</v>
      </c>
      <c r="C9" s="2391">
        <f>'数据-取费表'!B2</f>
        <v>44965</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45" t="s">
        <v>479</v>
      </c>
      <c r="Q9" s="3855"/>
      <c r="R9" s="1381" t="s">
        <v>5</v>
      </c>
      <c r="S9" s="1382">
        <f t="shared" ref="S9:S17" si="0">F9</f>
        <v>0</v>
      </c>
      <c r="T9" s="1381" t="s">
        <v>5</v>
      </c>
      <c r="U9" s="1382">
        <f t="shared" ref="U9:U17" si="1">H9</f>
        <v>0</v>
      </c>
      <c r="V9" s="1381" t="s">
        <v>5</v>
      </c>
      <c r="W9" s="1382">
        <f t="shared" ref="W9:W17" si="2">J9</f>
        <v>0</v>
      </c>
      <c r="X9" s="1383"/>
      <c r="Y9" s="3845" t="s">
        <v>479</v>
      </c>
      <c r="Z9" s="3846"/>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45" t="s">
        <v>482</v>
      </c>
      <c r="Q10" s="3846"/>
      <c r="R10" s="1381" t="s">
        <v>5</v>
      </c>
      <c r="S10" s="1382">
        <f t="shared" si="0"/>
        <v>0</v>
      </c>
      <c r="T10" s="1381" t="s">
        <v>5</v>
      </c>
      <c r="U10" s="1382">
        <f t="shared" si="1"/>
        <v>0</v>
      </c>
      <c r="V10" s="1381" t="s">
        <v>5</v>
      </c>
      <c r="W10" s="1382">
        <f t="shared" si="2"/>
        <v>0</v>
      </c>
      <c r="X10" s="1383"/>
      <c r="Y10" s="3845" t="s">
        <v>482</v>
      </c>
      <c r="Z10" s="3846"/>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80" t="s">
        <v>484</v>
      </c>
      <c r="Q11" s="1050" t="str">
        <f t="shared" ref="Q11:Q17" si="6">B11</f>
        <v>用途</v>
      </c>
      <c r="R11" s="1381" t="s">
        <v>5</v>
      </c>
      <c r="S11" s="1382">
        <f t="shared" si="0"/>
        <v>100</v>
      </c>
      <c r="T11" s="1381" t="s">
        <v>5</v>
      </c>
      <c r="U11" s="1382">
        <f t="shared" si="1"/>
        <v>100</v>
      </c>
      <c r="V11" s="1381" t="s">
        <v>5</v>
      </c>
      <c r="W11" s="1382">
        <f t="shared" si="2"/>
        <v>100</v>
      </c>
      <c r="X11" s="1383"/>
      <c r="Y11" s="3794"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101</v>
      </c>
      <c r="G12" s="500"/>
      <c r="H12" s="246">
        <f>ROUND(100/'数据-取费表'!G16,0)</f>
        <v>101</v>
      </c>
      <c r="I12" s="500"/>
      <c r="J12" s="246">
        <f>ROUND(100/'数据-取费表'!G16,0)</f>
        <v>101</v>
      </c>
      <c r="K12" s="501"/>
      <c r="L12" s="1861"/>
      <c r="M12" s="1855"/>
      <c r="N12" s="1855"/>
      <c r="O12" s="1862"/>
      <c r="P12" s="3880"/>
      <c r="Q12" s="1050" t="str">
        <f t="shared" si="6"/>
        <v>土地使用年限（年）</v>
      </c>
      <c r="R12" s="1381" t="s">
        <v>5</v>
      </c>
      <c r="S12" s="1382">
        <f t="shared" si="0"/>
        <v>101</v>
      </c>
      <c r="T12" s="1381" t="s">
        <v>5</v>
      </c>
      <c r="U12" s="1382">
        <f t="shared" si="1"/>
        <v>101</v>
      </c>
      <c r="V12" s="1381" t="s">
        <v>5</v>
      </c>
      <c r="W12" s="1382">
        <f t="shared" si="2"/>
        <v>101</v>
      </c>
      <c r="X12" s="1383"/>
      <c r="Y12" s="3794"/>
      <c r="Z12" s="1049" t="str">
        <f t="shared" si="7"/>
        <v>土地使用年限（年）</v>
      </c>
      <c r="AA12" s="1384">
        <f t="shared" si="3"/>
        <v>0.99009900990099009</v>
      </c>
      <c r="AB12" s="1384">
        <f t="shared" si="4"/>
        <v>0.99009900990099009</v>
      </c>
      <c r="AC12" s="1384">
        <f t="shared" si="5"/>
        <v>0.99009900990099009</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80"/>
      <c r="Q13" s="1050" t="str">
        <f t="shared" si="6"/>
        <v>容积率</v>
      </c>
      <c r="R13" s="1381" t="s">
        <v>5</v>
      </c>
      <c r="S13" s="1382" t="e">
        <f t="shared" si="0"/>
        <v>#N/A</v>
      </c>
      <c r="T13" s="1381" t="s">
        <v>5</v>
      </c>
      <c r="U13" s="1382" t="e">
        <f t="shared" si="1"/>
        <v>#N/A</v>
      </c>
      <c r="V13" s="1381" t="s">
        <v>5</v>
      </c>
      <c r="W13" s="1382" t="e">
        <f t="shared" si="2"/>
        <v>#N/A</v>
      </c>
      <c r="X13" s="1383"/>
      <c r="Y13" s="3794"/>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80"/>
      <c r="Q14" s="1050" t="str">
        <f t="shared" si="6"/>
        <v>配建</v>
      </c>
      <c r="R14" s="1381" t="s">
        <v>5</v>
      </c>
      <c r="S14" s="1382">
        <f t="shared" si="0"/>
        <v>100</v>
      </c>
      <c r="T14" s="1381" t="s">
        <v>5</v>
      </c>
      <c r="U14" s="1382">
        <f t="shared" si="1"/>
        <v>100</v>
      </c>
      <c r="V14" s="1381" t="s">
        <v>5</v>
      </c>
      <c r="W14" s="1382">
        <f t="shared" si="2"/>
        <v>100</v>
      </c>
      <c r="X14" s="1383"/>
      <c r="Y14" s="3794"/>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80"/>
      <c r="Q15" s="1050">
        <f t="shared" si="6"/>
        <v>111</v>
      </c>
      <c r="R15" s="1381" t="s">
        <v>5</v>
      </c>
      <c r="S15" s="1382">
        <f t="shared" si="0"/>
        <v>100</v>
      </c>
      <c r="T15" s="1381" t="s">
        <v>5</v>
      </c>
      <c r="U15" s="1382">
        <f t="shared" si="1"/>
        <v>100</v>
      </c>
      <c r="V15" s="1381" t="s">
        <v>5</v>
      </c>
      <c r="W15" s="1382">
        <f t="shared" si="2"/>
        <v>100</v>
      </c>
      <c r="X15" s="1383"/>
      <c r="Y15" s="3794"/>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80"/>
      <c r="Q16" s="1050">
        <f t="shared" si="6"/>
        <v>111</v>
      </c>
      <c r="R16" s="1381" t="s">
        <v>5</v>
      </c>
      <c r="S16" s="1382">
        <f t="shared" si="0"/>
        <v>100</v>
      </c>
      <c r="T16" s="1381" t="s">
        <v>5</v>
      </c>
      <c r="U16" s="1382">
        <f t="shared" si="1"/>
        <v>100</v>
      </c>
      <c r="V16" s="1381" t="s">
        <v>5</v>
      </c>
      <c r="W16" s="1382">
        <f t="shared" si="2"/>
        <v>100</v>
      </c>
      <c r="X16" s="1383"/>
      <c r="Y16" s="3794"/>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6" t="s">
        <v>489</v>
      </c>
      <c r="Q17" s="1385" t="str">
        <f t="shared" si="6"/>
        <v>居住社区成熟度</v>
      </c>
      <c r="R17" s="1386" t="s">
        <v>5</v>
      </c>
      <c r="S17" s="1387">
        <f t="shared" si="0"/>
        <v>100</v>
      </c>
      <c r="T17" s="1386" t="s">
        <v>5</v>
      </c>
      <c r="U17" s="1387">
        <f t="shared" si="1"/>
        <v>100</v>
      </c>
      <c r="V17" s="1386" t="s">
        <v>5</v>
      </c>
      <c r="W17" s="1387">
        <f t="shared" si="2"/>
        <v>100</v>
      </c>
      <c r="X17" s="1380"/>
      <c r="Y17" s="3876"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7"/>
      <c r="Q18" s="1385"/>
      <c r="R18" s="1386"/>
      <c r="S18" s="1387"/>
      <c r="T18" s="1386"/>
      <c r="U18" s="1387"/>
      <c r="V18" s="1386"/>
      <c r="W18" s="1387"/>
      <c r="X18" s="1380"/>
      <c r="Y18" s="3877"/>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7"/>
      <c r="Q19" s="1385" t="str">
        <f>B19</f>
        <v>商业繁华度</v>
      </c>
      <c r="R19" s="1386" t="s">
        <v>5</v>
      </c>
      <c r="S19" s="1387">
        <f>F19</f>
        <v>100</v>
      </c>
      <c r="T19" s="1386" t="s">
        <v>5</v>
      </c>
      <c r="U19" s="1387">
        <f>H19</f>
        <v>100</v>
      </c>
      <c r="V19" s="1386" t="s">
        <v>5</v>
      </c>
      <c r="W19" s="1387">
        <f>J19</f>
        <v>100</v>
      </c>
      <c r="X19" s="1380"/>
      <c r="Y19" s="3877"/>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7"/>
      <c r="Q20" s="1385"/>
      <c r="R20" s="1386"/>
      <c r="S20" s="1387"/>
      <c r="T20" s="1386"/>
      <c r="U20" s="1387"/>
      <c r="V20" s="1386"/>
      <c r="W20" s="1387"/>
      <c r="X20" s="1380"/>
      <c r="Y20" s="3877"/>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7"/>
      <c r="Q21" s="1385" t="str">
        <f>B21</f>
        <v>办公集聚程度</v>
      </c>
      <c r="R21" s="1386" t="s">
        <v>5</v>
      </c>
      <c r="S21" s="1387">
        <f>F21</f>
        <v>100</v>
      </c>
      <c r="T21" s="1386" t="s">
        <v>5</v>
      </c>
      <c r="U21" s="1387">
        <f>H21</f>
        <v>100</v>
      </c>
      <c r="V21" s="1386" t="s">
        <v>5</v>
      </c>
      <c r="W21" s="1387">
        <f>J21</f>
        <v>100</v>
      </c>
      <c r="X21" s="1380"/>
      <c r="Y21" s="3877"/>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7"/>
      <c r="Q22" s="1385"/>
      <c r="R22" s="1386"/>
      <c r="S22" s="1387"/>
      <c r="T22" s="1386"/>
      <c r="U22" s="1387"/>
      <c r="V22" s="1386"/>
      <c r="W22" s="1387"/>
      <c r="X22" s="1380"/>
      <c r="Y22" s="3877"/>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7"/>
      <c r="Q23" s="1385" t="str">
        <f>B23</f>
        <v>交通便捷度</v>
      </c>
      <c r="R23" s="1386" t="s">
        <v>5</v>
      </c>
      <c r="S23" s="1387">
        <f>F23</f>
        <v>100</v>
      </c>
      <c r="T23" s="1386" t="s">
        <v>5</v>
      </c>
      <c r="U23" s="1387">
        <f>H23</f>
        <v>100</v>
      </c>
      <c r="V23" s="1386" t="s">
        <v>5</v>
      </c>
      <c r="W23" s="1387">
        <f>J23</f>
        <v>100</v>
      </c>
      <c r="X23" s="1380"/>
      <c r="Y23" s="3877"/>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7"/>
      <c r="Q24" s="1385"/>
      <c r="R24" s="1386"/>
      <c r="S24" s="1387"/>
      <c r="T24" s="1386"/>
      <c r="U24" s="1387"/>
      <c r="V24" s="1386"/>
      <c r="W24" s="1387"/>
      <c r="X24" s="1380"/>
      <c r="Y24" s="3877"/>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7"/>
      <c r="Q25" s="1385" t="str">
        <f t="shared" ref="Q25:Q39" si="8">B25</f>
        <v>区域土地利用方向</v>
      </c>
      <c r="R25" s="1386" t="s">
        <v>5</v>
      </c>
      <c r="S25" s="1387">
        <f>F25</f>
        <v>100</v>
      </c>
      <c r="T25" s="1386" t="s">
        <v>5</v>
      </c>
      <c r="U25" s="1387">
        <f>H25</f>
        <v>100</v>
      </c>
      <c r="V25" s="1386" t="s">
        <v>5</v>
      </c>
      <c r="W25" s="1387">
        <f>J25</f>
        <v>100</v>
      </c>
      <c r="X25" s="1380"/>
      <c r="Y25" s="3877"/>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7"/>
      <c r="Q26" s="1385"/>
      <c r="R26" s="1386"/>
      <c r="S26" s="1387"/>
      <c r="T26" s="1386"/>
      <c r="U26" s="1387"/>
      <c r="V26" s="1386"/>
      <c r="W26" s="1387"/>
      <c r="X26" s="1380"/>
      <c r="Y26" s="3877"/>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7"/>
      <c r="Q27" s="1385" t="str">
        <f t="shared" si="8"/>
        <v>自然及人文环境状况</v>
      </c>
      <c r="R27" s="1386" t="s">
        <v>5</v>
      </c>
      <c r="S27" s="1387">
        <f>F27</f>
        <v>100</v>
      </c>
      <c r="T27" s="1386" t="s">
        <v>5</v>
      </c>
      <c r="U27" s="1387">
        <f>H27</f>
        <v>100</v>
      </c>
      <c r="V27" s="1386" t="s">
        <v>5</v>
      </c>
      <c r="W27" s="1387">
        <f>J27</f>
        <v>100</v>
      </c>
      <c r="X27" s="1380"/>
      <c r="Y27" s="3877"/>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7"/>
      <c r="Q28" s="1385"/>
      <c r="R28" s="1386"/>
      <c r="S28" s="1387"/>
      <c r="T28" s="1386"/>
      <c r="U28" s="1387"/>
      <c r="V28" s="1386"/>
      <c r="W28" s="1387"/>
      <c r="X28" s="1380"/>
      <c r="Y28" s="3877"/>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7"/>
      <c r="Q29" s="1050" t="str">
        <f t="shared" si="8"/>
        <v>公共配套设施</v>
      </c>
      <c r="R29" s="1381" t="s">
        <v>5</v>
      </c>
      <c r="S29" s="1382">
        <f>F29</f>
        <v>100</v>
      </c>
      <c r="T29" s="1381" t="s">
        <v>5</v>
      </c>
      <c r="U29" s="1382">
        <f>H29</f>
        <v>100</v>
      </c>
      <c r="V29" s="1381" t="s">
        <v>5</v>
      </c>
      <c r="W29" s="1382">
        <f>J29</f>
        <v>100</v>
      </c>
      <c r="X29" s="1383"/>
      <c r="Y29" s="3877"/>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7"/>
      <c r="Q30" s="1050"/>
      <c r="R30" s="1381"/>
      <c r="S30" s="1382"/>
      <c r="T30" s="1381"/>
      <c r="U30" s="1382"/>
      <c r="V30" s="1381"/>
      <c r="W30" s="1382"/>
      <c r="X30" s="1383"/>
      <c r="Y30" s="3877"/>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7"/>
      <c r="Q31" s="2192" t="str">
        <f>B31</f>
        <v>基础设施水平</v>
      </c>
      <c r="R31" s="1381" t="s">
        <v>5</v>
      </c>
      <c r="S31" s="1382">
        <f>F31</f>
        <v>100</v>
      </c>
      <c r="T31" s="1381" t="s">
        <v>5</v>
      </c>
      <c r="U31" s="1382">
        <f>H31</f>
        <v>100</v>
      </c>
      <c r="V31" s="1381" t="s">
        <v>5</v>
      </c>
      <c r="W31" s="1382">
        <f>J31</f>
        <v>100</v>
      </c>
      <c r="X31" s="1383"/>
      <c r="Y31" s="3877"/>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7"/>
      <c r="Q32" s="2192"/>
      <c r="R32" s="1381"/>
      <c r="S32" s="1382"/>
      <c r="T32" s="1381"/>
      <c r="U32" s="1382"/>
      <c r="V32" s="1381"/>
      <c r="W32" s="1382"/>
      <c r="X32" s="1383"/>
      <c r="Y32" s="3877"/>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7"/>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7"/>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7"/>
      <c r="Q34" s="1385" t="str">
        <f t="shared" si="8"/>
        <v>毗邻道路的类型与等级</v>
      </c>
      <c r="R34" s="1386" t="s">
        <v>5</v>
      </c>
      <c r="S34" s="1387">
        <f t="shared" si="9"/>
        <v>100</v>
      </c>
      <c r="T34" s="1386" t="s">
        <v>5</v>
      </c>
      <c r="U34" s="1387">
        <f t="shared" si="10"/>
        <v>100</v>
      </c>
      <c r="V34" s="1386" t="s">
        <v>5</v>
      </c>
      <c r="W34" s="1387">
        <f t="shared" si="11"/>
        <v>100</v>
      </c>
      <c r="X34" s="1380"/>
      <c r="Y34" s="3877"/>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7"/>
      <c r="Q35" s="1385"/>
      <c r="R35" s="1386"/>
      <c r="S35" s="1387"/>
      <c r="T35" s="1386"/>
      <c r="U35" s="1387"/>
      <c r="V35" s="1386"/>
      <c r="W35" s="1387"/>
      <c r="X35" s="1380"/>
      <c r="Y35" s="3877"/>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7"/>
      <c r="Q36" s="1385" t="str">
        <f t="shared" si="8"/>
        <v>土地级别</v>
      </c>
      <c r="R36" s="1386" t="s">
        <v>5</v>
      </c>
      <c r="S36" s="1387">
        <f t="shared" si="9"/>
        <v>100</v>
      </c>
      <c r="T36" s="1386" t="s">
        <v>5</v>
      </c>
      <c r="U36" s="1387">
        <f t="shared" si="10"/>
        <v>100</v>
      </c>
      <c r="V36" s="1386" t="s">
        <v>5</v>
      </c>
      <c r="W36" s="1387">
        <f t="shared" si="11"/>
        <v>100</v>
      </c>
      <c r="X36" s="1380"/>
      <c r="Y36" s="3877"/>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7"/>
      <c r="Q37" s="1385">
        <f t="shared" si="8"/>
        <v>111</v>
      </c>
      <c r="R37" s="1386" t="s">
        <v>5</v>
      </c>
      <c r="S37" s="1387">
        <f t="shared" si="9"/>
        <v>100</v>
      </c>
      <c r="T37" s="1386" t="s">
        <v>5</v>
      </c>
      <c r="U37" s="1387">
        <f t="shared" si="10"/>
        <v>100</v>
      </c>
      <c r="V37" s="1386" t="s">
        <v>5</v>
      </c>
      <c r="W37" s="1387">
        <f t="shared" si="11"/>
        <v>100</v>
      </c>
      <c r="X37" s="1380"/>
      <c r="Y37" s="3877"/>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8" t="s">
        <v>499</v>
      </c>
      <c r="Q38" s="1385">
        <f t="shared" si="8"/>
        <v>111</v>
      </c>
      <c r="R38" s="1386" t="s">
        <v>5</v>
      </c>
      <c r="S38" s="1387">
        <f t="shared" si="9"/>
        <v>100</v>
      </c>
      <c r="T38" s="1386" t="s">
        <v>5</v>
      </c>
      <c r="U38" s="1387">
        <f t="shared" si="10"/>
        <v>100</v>
      </c>
      <c r="V38" s="1386" t="s">
        <v>5</v>
      </c>
      <c r="W38" s="1387">
        <f t="shared" si="11"/>
        <v>100</v>
      </c>
      <c r="X38" s="1380"/>
      <c r="Y38" s="3879"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9"/>
      <c r="Q39" s="1385">
        <f t="shared" si="8"/>
        <v>111</v>
      </c>
      <c r="R39" s="1390" t="s">
        <v>5</v>
      </c>
      <c r="S39" s="1391">
        <f t="shared" si="9"/>
        <v>100</v>
      </c>
      <c r="T39" s="1390" t="s">
        <v>5</v>
      </c>
      <c r="U39" s="1391">
        <f t="shared" si="10"/>
        <v>100</v>
      </c>
      <c r="V39" s="1390" t="s">
        <v>5</v>
      </c>
      <c r="W39" s="1391">
        <f t="shared" si="11"/>
        <v>100</v>
      </c>
      <c r="X39" s="1392"/>
      <c r="Y39" s="3879"/>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9"/>
      <c r="Q40" s="1385" t="str">
        <f>B40</f>
        <v>宗地面积</v>
      </c>
      <c r="R40" s="1386" t="s">
        <v>5</v>
      </c>
      <c r="S40" s="1387" t="e">
        <f t="shared" si="9"/>
        <v>#N/A</v>
      </c>
      <c r="T40" s="1386" t="s">
        <v>5</v>
      </c>
      <c r="U40" s="1387" t="e">
        <f t="shared" si="10"/>
        <v>#N/A</v>
      </c>
      <c r="V40" s="1386" t="s">
        <v>5</v>
      </c>
      <c r="W40" s="1387" t="e">
        <f t="shared" si="11"/>
        <v>#N/A</v>
      </c>
      <c r="X40" s="1380"/>
      <c r="Y40" s="3879"/>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9"/>
      <c r="Q41" s="1385" t="str">
        <f t="shared" ref="Q41:Q47" si="13">B41</f>
        <v>宗地形状</v>
      </c>
      <c r="R41" s="1386" t="s">
        <v>5</v>
      </c>
      <c r="S41" s="1387">
        <f t="shared" si="9"/>
        <v>100</v>
      </c>
      <c r="T41" s="1386" t="s">
        <v>5</v>
      </c>
      <c r="U41" s="1387">
        <f t="shared" si="10"/>
        <v>100</v>
      </c>
      <c r="V41" s="1386" t="s">
        <v>5</v>
      </c>
      <c r="W41" s="1387">
        <f t="shared" si="11"/>
        <v>100</v>
      </c>
      <c r="X41" s="1380"/>
      <c r="Y41" s="3879"/>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9"/>
      <c r="Q42" s="1385" t="str">
        <f t="shared" si="13"/>
        <v>临街宽度及深度</v>
      </c>
      <c r="R42" s="1386" t="s">
        <v>5</v>
      </c>
      <c r="S42" s="1387">
        <f t="shared" si="9"/>
        <v>100</v>
      </c>
      <c r="T42" s="1386" t="s">
        <v>5</v>
      </c>
      <c r="U42" s="1387">
        <f t="shared" si="10"/>
        <v>100</v>
      </c>
      <c r="V42" s="1386" t="s">
        <v>5</v>
      </c>
      <c r="W42" s="1387">
        <f t="shared" si="11"/>
        <v>100</v>
      </c>
      <c r="X42" s="1380"/>
      <c r="Y42" s="3879"/>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9"/>
      <c r="Q43" s="1385" t="str">
        <f t="shared" si="13"/>
        <v>宗地开发程度</v>
      </c>
      <c r="R43" s="1381" t="s">
        <v>5</v>
      </c>
      <c r="S43" s="1382">
        <f t="shared" si="9"/>
        <v>100</v>
      </c>
      <c r="T43" s="1381" t="s">
        <v>5</v>
      </c>
      <c r="U43" s="1382">
        <f t="shared" si="10"/>
        <v>100</v>
      </c>
      <c r="V43" s="1381" t="s">
        <v>5</v>
      </c>
      <c r="W43" s="1382">
        <f t="shared" si="11"/>
        <v>100</v>
      </c>
      <c r="X43" s="1383"/>
      <c r="Y43" s="3879"/>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9" t="s">
        <v>499</v>
      </c>
      <c r="Q44" s="1385" t="str">
        <f t="shared" si="13"/>
        <v>工程地质条件</v>
      </c>
      <c r="R44" s="1386" t="s">
        <v>5</v>
      </c>
      <c r="S44" s="1387">
        <f t="shared" si="9"/>
        <v>100</v>
      </c>
      <c r="T44" s="1386" t="s">
        <v>5</v>
      </c>
      <c r="U44" s="1387">
        <f t="shared" si="10"/>
        <v>100</v>
      </c>
      <c r="V44" s="1386" t="s">
        <v>5</v>
      </c>
      <c r="W44" s="1387">
        <f t="shared" si="11"/>
        <v>100</v>
      </c>
      <c r="X44" s="1380"/>
      <c r="Y44" s="3879"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9"/>
      <c r="Q45" s="1385">
        <f t="shared" si="13"/>
        <v>111</v>
      </c>
      <c r="R45" s="1386" t="s">
        <v>5</v>
      </c>
      <c r="S45" s="1387">
        <f t="shared" si="9"/>
        <v>100</v>
      </c>
      <c r="T45" s="1386" t="s">
        <v>5</v>
      </c>
      <c r="U45" s="1387">
        <f t="shared" si="10"/>
        <v>100</v>
      </c>
      <c r="V45" s="1386" t="s">
        <v>5</v>
      </c>
      <c r="W45" s="1387">
        <f t="shared" si="11"/>
        <v>100</v>
      </c>
      <c r="X45" s="1380"/>
      <c r="Y45" s="3879"/>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9"/>
      <c r="Q46" s="1385">
        <f t="shared" si="13"/>
        <v>111</v>
      </c>
      <c r="R46" s="1386" t="s">
        <v>5</v>
      </c>
      <c r="S46" s="1387">
        <f t="shared" si="9"/>
        <v>100</v>
      </c>
      <c r="T46" s="1386" t="s">
        <v>5</v>
      </c>
      <c r="U46" s="1387">
        <f t="shared" si="10"/>
        <v>100</v>
      </c>
      <c r="V46" s="1386" t="s">
        <v>5</v>
      </c>
      <c r="W46" s="1387">
        <f t="shared" si="11"/>
        <v>100</v>
      </c>
      <c r="X46" s="1380"/>
      <c r="Y46" s="3879"/>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9"/>
      <c r="Q47" s="1385">
        <f t="shared" si="13"/>
        <v>111</v>
      </c>
      <c r="R47" s="1390" t="s">
        <v>5</v>
      </c>
      <c r="S47" s="1391">
        <f t="shared" si="9"/>
        <v>100</v>
      </c>
      <c r="T47" s="1390" t="s">
        <v>5</v>
      </c>
      <c r="U47" s="1391">
        <f t="shared" si="10"/>
        <v>100</v>
      </c>
      <c r="V47" s="1390" t="s">
        <v>5</v>
      </c>
      <c r="W47" s="1391">
        <f t="shared" si="11"/>
        <v>100</v>
      </c>
      <c r="X47" s="1392"/>
      <c r="Y47" s="3879"/>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80" t="str">
        <f>A48</f>
        <v>成交单价</v>
      </c>
      <c r="Q48" s="3880"/>
      <c r="R48" s="3873">
        <f>E48</f>
        <v>0</v>
      </c>
      <c r="S48" s="3873"/>
      <c r="T48" s="3873">
        <f>G48</f>
        <v>0</v>
      </c>
      <c r="U48" s="3873"/>
      <c r="V48" s="3873">
        <f>I48</f>
        <v>0</v>
      </c>
      <c r="W48" s="3873"/>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80" t="str">
        <f>A49</f>
        <v>比较价格（元/平方米）</v>
      </c>
      <c r="Q49" s="3880"/>
      <c r="R49" s="3888" t="e">
        <f>ROUND(PRODUCT(R48,AA9:AA47),0)</f>
        <v>#DIV/0!</v>
      </c>
      <c r="S49" s="3888"/>
      <c r="T49" s="3888" t="e">
        <f>ROUND(PRODUCT(T48,AB9:AB47),0)</f>
        <v>#DIV/0!</v>
      </c>
      <c r="U49" s="3888"/>
      <c r="V49" s="3888" t="e">
        <f>ROUND(PRODUCT(V48,AC9:AC47),0)</f>
        <v>#DIV/0!</v>
      </c>
      <c r="W49" s="3888"/>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85" t="str">
        <f>A50</f>
        <v>估价对象XX用房的比较价格（楼面单价，元/平方米）</v>
      </c>
      <c r="Q50" s="3886"/>
      <c r="R50" s="3893" t="e">
        <f>ROUND(IF(D49="简单平均",AVERAGE(R49:W49),R49*F49+T49*H49+V49*J49),0)</f>
        <v>#DIV/0!</v>
      </c>
      <c r="S50" s="3893"/>
      <c r="T50" s="3893"/>
      <c r="U50" s="3893"/>
      <c r="V50" s="3893"/>
      <c r="W50" s="3893"/>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96" t="s">
        <v>1639</v>
      </c>
      <c r="H57" s="389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60917.47</v>
      </c>
      <c r="F58" s="604" t="e">
        <f t="shared" ref="F58:F66" si="14">ROUND(B58*E58/10000,0)</f>
        <v>#DIV/0!</v>
      </c>
      <c r="G58" s="3898"/>
      <c r="H58" s="389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97287.33</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2023-2-1</v>
      </c>
      <c r="D69" s="2279">
        <f>EDATE(C69,-3)</f>
        <v>44866</v>
      </c>
      <c r="E69" s="2279">
        <f t="shared" ref="E69:N69" si="17">EDATE(D69,-3)</f>
        <v>44774</v>
      </c>
      <c r="F69" s="2279">
        <f t="shared" si="17"/>
        <v>44682</v>
      </c>
      <c r="G69" s="2279">
        <f t="shared" si="17"/>
        <v>44593</v>
      </c>
      <c r="H69" s="2279">
        <f t="shared" si="17"/>
        <v>44501</v>
      </c>
      <c r="I69" s="2279">
        <f t="shared" si="17"/>
        <v>44409</v>
      </c>
      <c r="J69" s="2279">
        <f t="shared" si="17"/>
        <v>44317</v>
      </c>
      <c r="K69" s="2279">
        <f t="shared" si="17"/>
        <v>44228</v>
      </c>
      <c r="L69" s="2279">
        <f t="shared" si="17"/>
        <v>44136</v>
      </c>
      <c r="M69" s="2279">
        <f t="shared" si="17"/>
        <v>44044</v>
      </c>
      <c r="N69" s="2279">
        <f t="shared" si="17"/>
        <v>43952</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0" sqref="O40"/>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1.02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1.02</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01" t="s">
        <v>2060</v>
      </c>
      <c r="X8" s="390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00"/>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0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1" t="s">
        <v>1370</v>
      </c>
      <c r="B20" s="1278" t="s">
        <v>875</v>
      </c>
      <c r="C20" s="998" t="e">
        <f>ROUND(IF(F21="与级别开发程度一致",0,(G21-E21)/C21),0)</f>
        <v>#DIV/0!</v>
      </c>
      <c r="D20" s="3906" t="s">
        <v>879</v>
      </c>
      <c r="E20" s="3907"/>
      <c r="F20" s="3906" t="s">
        <v>876</v>
      </c>
      <c r="G20" s="3907"/>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12"/>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44965</v>
      </c>
      <c r="H23" s="1298" t="s">
        <v>2247</v>
      </c>
      <c r="I23" s="2266" t="str">
        <f>IF(H23="季度增幅（自定义）",SUMIF(N25:N28,E2,O25:O28),"")</f>
        <v/>
      </c>
      <c r="J23" s="3567"/>
      <c r="K23" s="2977"/>
      <c r="L23" s="2511" t="s">
        <v>2116</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1.1000000000000001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08"/>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08"/>
      <c r="K37" s="3642" t="s">
        <v>3247</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09"/>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09"/>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09"/>
      <c r="B39" s="3571" t="s">
        <v>3220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09"/>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3" t="s">
        <v>1172</v>
      </c>
      <c r="B104" s="3913"/>
      <c r="C104" s="3913"/>
      <c r="D104" s="3913"/>
      <c r="E104" s="3913"/>
      <c r="F104" s="3913"/>
      <c r="G104" s="3913"/>
      <c r="H104" s="3913"/>
      <c r="I104" s="3913"/>
      <c r="J104" s="3913"/>
      <c r="K104" s="2103"/>
      <c r="L104" s="2103"/>
      <c r="M104" s="2103"/>
      <c r="N104" s="2103"/>
    </row>
    <row r="105" spans="1:36">
      <c r="A105" s="3914" t="s">
        <v>1161</v>
      </c>
      <c r="B105" s="3914" t="s">
        <v>1173</v>
      </c>
      <c r="C105" s="1041" t="s">
        <v>1174</v>
      </c>
      <c r="D105" s="1042"/>
      <c r="E105" s="1042"/>
      <c r="F105" s="1042"/>
      <c r="G105" s="1042"/>
      <c r="H105" s="1042"/>
      <c r="I105" s="1042"/>
      <c r="J105" s="1043"/>
      <c r="K105" s="1035"/>
      <c r="L105" s="1035"/>
      <c r="M105" s="1035"/>
      <c r="N105" s="1035"/>
    </row>
    <row r="106" spans="1:36">
      <c r="A106" s="3914"/>
      <c r="B106" s="391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0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4"/>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0" t="s">
        <v>1175</v>
      </c>
      <c r="B114" s="3910"/>
      <c r="C114" s="3910"/>
      <c r="D114" s="3910"/>
      <c r="E114" s="3910"/>
      <c r="F114" s="3910"/>
      <c r="G114" s="3910"/>
      <c r="H114" s="3910"/>
      <c r="I114" s="3910"/>
      <c r="J114" s="3910"/>
      <c r="K114" s="2101"/>
      <c r="L114" s="2101"/>
      <c r="M114" s="2101"/>
      <c r="N114" s="2101"/>
    </row>
    <row r="116" spans="1:14" ht="12.75" thickBot="1"/>
    <row r="117" spans="1:14" ht="25.5" thickBot="1">
      <c r="A117" s="976" t="s">
        <v>831</v>
      </c>
      <c r="B117" s="2104">
        <f>G3</f>
        <v>1.02</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0.98560000000000003</v>
      </c>
      <c r="C119" s="3575">
        <f>B119</f>
        <v>0.98560000000000003</v>
      </c>
      <c r="D119" s="3575">
        <f>ROUND(0.949-0.014*B117,4)</f>
        <v>0.93469999999999998</v>
      </c>
      <c r="E119" s="3575">
        <f>D119</f>
        <v>0.93469999999999998</v>
      </c>
      <c r="F119" s="3575">
        <f>E119</f>
        <v>0.93469999999999998</v>
      </c>
      <c r="G119" s="3575">
        <f>F119</f>
        <v>0.93469999999999998</v>
      </c>
      <c r="H119" s="3575">
        <f>G119</f>
        <v>0.93469999999999998</v>
      </c>
      <c r="I119" s="3575">
        <f>ROUND(0.8486-0.018*B117,4)</f>
        <v>0.83020000000000005</v>
      </c>
      <c r="J119" s="3575">
        <f t="shared" ref="J119:M123" si="35">I119</f>
        <v>0.83020000000000005</v>
      </c>
      <c r="K119" s="3575">
        <f t="shared" si="35"/>
        <v>0.83020000000000005</v>
      </c>
      <c r="L119" s="3575">
        <f t="shared" si="35"/>
        <v>0.83020000000000005</v>
      </c>
      <c r="M119" s="3636">
        <f t="shared" si="35"/>
        <v>0.83020000000000005</v>
      </c>
    </row>
    <row r="120" spans="1:14" ht="12.75">
      <c r="A120" s="3633" t="s">
        <v>3240</v>
      </c>
      <c r="B120" s="3575">
        <f>ROUND(0.993-0.0112*B117,4)</f>
        <v>0.98160000000000003</v>
      </c>
      <c r="C120" s="3575">
        <f>B120</f>
        <v>0.98160000000000003</v>
      </c>
      <c r="D120" s="3575">
        <f>ROUND(0.9415-0.0142*B117,4)</f>
        <v>0.92700000000000005</v>
      </c>
      <c r="E120" s="3575">
        <f t="shared" ref="E120:H121" si="36">D120</f>
        <v>0.92700000000000005</v>
      </c>
      <c r="F120" s="3575">
        <f t="shared" si="36"/>
        <v>0.92700000000000005</v>
      </c>
      <c r="G120" s="3575">
        <f t="shared" si="36"/>
        <v>0.92700000000000005</v>
      </c>
      <c r="H120" s="3575">
        <f t="shared" si="36"/>
        <v>0.92700000000000005</v>
      </c>
      <c r="I120" s="3575">
        <f>ROUND(0.838-0.0182*B117,4)</f>
        <v>0.81940000000000002</v>
      </c>
      <c r="J120" s="3575">
        <f t="shared" si="35"/>
        <v>0.81940000000000002</v>
      </c>
      <c r="K120" s="3575">
        <f t="shared" si="35"/>
        <v>0.81940000000000002</v>
      </c>
      <c r="L120" s="3575">
        <f t="shared" si="35"/>
        <v>0.81940000000000002</v>
      </c>
      <c r="M120" s="3636">
        <f t="shared" si="35"/>
        <v>0.81940000000000002</v>
      </c>
    </row>
    <row r="121" spans="1:14" ht="12.75">
      <c r="A121" s="3633" t="s">
        <v>3241</v>
      </c>
      <c r="B121" s="3575">
        <f>ROUND(0.9448-0.0115*B117,4)</f>
        <v>0.93310000000000004</v>
      </c>
      <c r="C121" s="3575">
        <f>B121</f>
        <v>0.93310000000000004</v>
      </c>
      <c r="D121" s="3575">
        <f>ROUND(0.937-0.0145*B117,4)</f>
        <v>0.92220000000000002</v>
      </c>
      <c r="E121" s="3575">
        <f t="shared" si="36"/>
        <v>0.92220000000000002</v>
      </c>
      <c r="F121" s="3575">
        <f t="shared" si="36"/>
        <v>0.92220000000000002</v>
      </c>
      <c r="G121" s="3575">
        <f t="shared" si="36"/>
        <v>0.92220000000000002</v>
      </c>
      <c r="H121" s="3575">
        <f t="shared" si="36"/>
        <v>0.92220000000000002</v>
      </c>
      <c r="I121" s="3575">
        <f>ROUND(0.7965-0.0185*B117,4)</f>
        <v>0.77759999999999996</v>
      </c>
      <c r="J121" s="3575">
        <f t="shared" si="35"/>
        <v>0.77759999999999996</v>
      </c>
      <c r="K121" s="3575">
        <f t="shared" si="35"/>
        <v>0.77759999999999996</v>
      </c>
      <c r="L121" s="3575">
        <f t="shared" si="35"/>
        <v>0.77759999999999996</v>
      </c>
      <c r="M121" s="3636">
        <f t="shared" si="35"/>
        <v>0.77759999999999996</v>
      </c>
    </row>
    <row r="122" spans="1:14" ht="13.5" thickBot="1">
      <c r="A122" s="3634" t="s">
        <v>3242</v>
      </c>
      <c r="B122" s="3637">
        <f>ROUND(0.7836-0.012*B117,4)</f>
        <v>0.77139999999999997</v>
      </c>
      <c r="C122" s="3637">
        <f>B122</f>
        <v>0.77139999999999997</v>
      </c>
      <c r="D122" s="3637">
        <f>ROUND(0.753-0.015*B117,4)</f>
        <v>0.73770000000000002</v>
      </c>
      <c r="E122" s="3637">
        <f>D122</f>
        <v>0.73770000000000002</v>
      </c>
      <c r="F122" s="3637">
        <f>E122</f>
        <v>0.73770000000000002</v>
      </c>
      <c r="G122" s="3637">
        <f>ROUND(0.6612-0.018*B117,4)</f>
        <v>0.64280000000000004</v>
      </c>
      <c r="H122" s="3637">
        <f>G122</f>
        <v>0.64280000000000004</v>
      </c>
      <c r="I122" s="3637">
        <f>ROUND(0.5905-0.019*B117,4)</f>
        <v>0.57110000000000005</v>
      </c>
      <c r="J122" s="3637">
        <f t="shared" si="35"/>
        <v>0.57110000000000005</v>
      </c>
      <c r="K122" s="3637">
        <f t="shared" si="35"/>
        <v>0.57110000000000005</v>
      </c>
      <c r="L122" s="3637">
        <f t="shared" si="35"/>
        <v>0.57110000000000005</v>
      </c>
      <c r="M122" s="3638">
        <f t="shared" si="35"/>
        <v>0.57110000000000005</v>
      </c>
    </row>
    <row r="123" spans="1:14" ht="12.75">
      <c r="A123" s="3635" t="s">
        <v>3223</v>
      </c>
      <c r="B123" s="3575">
        <f>ROUND(0.9404-0.0106*B117,4)</f>
        <v>0.92959999999999998</v>
      </c>
      <c r="C123" s="3575">
        <f>B123</f>
        <v>0.92959999999999998</v>
      </c>
      <c r="D123" s="3575">
        <f>ROUND(0.8955-0.0135*B117,4)</f>
        <v>0.88170000000000004</v>
      </c>
      <c r="E123" s="3575">
        <f t="shared" ref="E123:H123" si="37">D123</f>
        <v>0.88170000000000004</v>
      </c>
      <c r="F123" s="3575">
        <f t="shared" si="37"/>
        <v>0.88170000000000004</v>
      </c>
      <c r="G123" s="3575">
        <f t="shared" si="37"/>
        <v>0.88170000000000004</v>
      </c>
      <c r="H123" s="3575">
        <f t="shared" si="37"/>
        <v>0.88170000000000004</v>
      </c>
      <c r="I123" s="3575">
        <f>ROUND(0.7632-0.0166*B117,4)</f>
        <v>0.74629999999999996</v>
      </c>
      <c r="J123" s="3575">
        <f t="shared" si="35"/>
        <v>0.74629999999999996</v>
      </c>
      <c r="K123" s="3575">
        <f t="shared" si="35"/>
        <v>0.74629999999999996</v>
      </c>
      <c r="L123" s="3575">
        <f t="shared" si="35"/>
        <v>0.74629999999999996</v>
      </c>
      <c r="M123" s="3636">
        <f t="shared" si="35"/>
        <v>0.74629999999999996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15" t="s">
        <v>2452</v>
      </c>
      <c r="B20" s="3918" t="s">
        <v>2462</v>
      </c>
      <c r="C20" s="3260" t="s">
        <v>2463</v>
      </c>
      <c r="D20" s="3261"/>
      <c r="E20" s="3262">
        <v>1</v>
      </c>
      <c r="F20" s="3263" t="s">
        <v>2464</v>
      </c>
      <c r="G20" s="1035"/>
      <c r="H20" s="1025"/>
      <c r="I20" s="1025"/>
    </row>
    <row r="21" spans="1:13" s="1408" customFormat="1">
      <c r="A21" s="3916"/>
      <c r="B21" s="3919"/>
      <c r="C21" s="3264" t="s">
        <v>2465</v>
      </c>
      <c r="D21" s="3265"/>
      <c r="E21" s="3266">
        <v>1</v>
      </c>
      <c r="F21" s="3263" t="s">
        <v>2466</v>
      </c>
      <c r="G21" s="1035"/>
      <c r="H21" s="1025"/>
      <c r="I21" s="1025"/>
    </row>
    <row r="22" spans="1:13" s="1408" customFormat="1">
      <c r="A22" s="3916"/>
      <c r="B22" s="3919"/>
      <c r="C22" s="3264" t="s">
        <v>2467</v>
      </c>
      <c r="D22" s="3265"/>
      <c r="E22" s="3266">
        <v>0.9</v>
      </c>
      <c r="F22" s="3263" t="s">
        <v>2468</v>
      </c>
      <c r="G22" s="1035"/>
      <c r="H22" s="1025"/>
      <c r="I22" s="1025"/>
    </row>
    <row r="23" spans="1:13" s="1408" customFormat="1">
      <c r="A23" s="3916"/>
      <c r="B23" s="3919"/>
      <c r="C23" s="3264" t="s">
        <v>2469</v>
      </c>
      <c r="D23" s="3265"/>
      <c r="E23" s="3266">
        <v>0.9</v>
      </c>
      <c r="F23" s="3263" t="s">
        <v>2470</v>
      </c>
      <c r="G23" s="1035"/>
      <c r="H23" s="1025"/>
      <c r="I23" s="1025"/>
    </row>
    <row r="24" spans="1:13" s="1408" customFormat="1">
      <c r="A24" s="3916"/>
      <c r="B24" s="3919"/>
      <c r="C24" s="3264" t="s">
        <v>2471</v>
      </c>
      <c r="D24" s="3265"/>
      <c r="E24" s="3266">
        <v>0.8</v>
      </c>
      <c r="F24" s="3263" t="s">
        <v>2472</v>
      </c>
      <c r="G24" s="1035"/>
      <c r="H24" s="1025"/>
      <c r="I24" s="1025"/>
    </row>
    <row r="25" spans="1:13" s="1408" customFormat="1" ht="14.25" thickBot="1">
      <c r="A25" s="3917"/>
      <c r="B25" s="3920"/>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21" t="s">
        <v>2457</v>
      </c>
      <c r="B27" s="3918" t="s">
        <v>2457</v>
      </c>
      <c r="C27" s="3260" t="s">
        <v>2477</v>
      </c>
      <c r="D27" s="3261"/>
      <c r="E27" s="3262">
        <v>1</v>
      </c>
      <c r="F27" s="3263" t="s">
        <v>2478</v>
      </c>
      <c r="G27" s="1035"/>
      <c r="H27" s="1025"/>
      <c r="I27" s="1025"/>
    </row>
    <row r="28" spans="1:13" s="1408" customFormat="1">
      <c r="A28" s="3922"/>
      <c r="B28" s="3919"/>
      <c r="C28" s="3264" t="s">
        <v>2479</v>
      </c>
      <c r="D28" s="3265"/>
      <c r="E28" s="3266">
        <v>1</v>
      </c>
      <c r="F28" s="3263" t="s">
        <v>2480</v>
      </c>
      <c r="G28" s="1035"/>
      <c r="H28" s="1025"/>
      <c r="I28" s="1025"/>
    </row>
    <row r="29" spans="1:13" s="1408" customFormat="1">
      <c r="A29" s="3922"/>
      <c r="B29" s="3919"/>
      <c r="C29" s="3264" t="s">
        <v>2481</v>
      </c>
      <c r="D29" s="3265"/>
      <c r="E29" s="3266">
        <v>0.8</v>
      </c>
      <c r="F29" s="3263" t="s">
        <v>2482</v>
      </c>
      <c r="G29" s="1035"/>
      <c r="H29" s="1025"/>
      <c r="I29" s="1025"/>
    </row>
    <row r="30" spans="1:13" s="1408" customFormat="1">
      <c r="A30" s="3922"/>
      <c r="B30" s="3919"/>
      <c r="C30" s="3264" t="s">
        <v>2483</v>
      </c>
      <c r="D30" s="3265"/>
      <c r="E30" s="3266">
        <v>0.8</v>
      </c>
      <c r="F30" s="3263" t="s">
        <v>2484</v>
      </c>
      <c r="G30" s="1035"/>
      <c r="H30" s="1025"/>
      <c r="I30" s="1025"/>
    </row>
    <row r="31" spans="1:13" s="1408" customFormat="1">
      <c r="A31" s="3922"/>
      <c r="B31" s="3919"/>
      <c r="C31" s="3264" t="s">
        <v>2485</v>
      </c>
      <c r="D31" s="3265"/>
      <c r="E31" s="3266">
        <v>0.8</v>
      </c>
      <c r="F31" s="3263" t="s">
        <v>2486</v>
      </c>
      <c r="G31" s="1035"/>
      <c r="H31" s="1025"/>
      <c r="I31" s="1025"/>
    </row>
    <row r="32" spans="1:13" s="1408" customFormat="1">
      <c r="A32" s="3922"/>
      <c r="B32" s="3919"/>
      <c r="C32" s="3264" t="s">
        <v>2487</v>
      </c>
      <c r="D32" s="3265"/>
      <c r="E32" s="3266">
        <v>0.7</v>
      </c>
      <c r="F32" s="3263" t="s">
        <v>2488</v>
      </c>
      <c r="G32" s="1035"/>
      <c r="H32" s="1025"/>
      <c r="I32" s="1025"/>
    </row>
    <row r="33" spans="1:9" s="1408" customFormat="1">
      <c r="A33" s="3922"/>
      <c r="B33" s="3919"/>
      <c r="C33" s="3264" t="s">
        <v>2489</v>
      </c>
      <c r="D33" s="3265"/>
      <c r="E33" s="3266">
        <v>0.8</v>
      </c>
      <c r="F33" s="3263" t="s">
        <v>2490</v>
      </c>
      <c r="G33" s="1035"/>
      <c r="H33" s="1025"/>
      <c r="I33" s="1025"/>
    </row>
    <row r="34" spans="1:9" s="1408" customFormat="1">
      <c r="A34" s="3922"/>
      <c r="B34" s="3919"/>
      <c r="C34" s="3264" t="s">
        <v>2491</v>
      </c>
      <c r="D34" s="3265"/>
      <c r="E34" s="3266">
        <v>0.6</v>
      </c>
      <c r="F34" s="3263" t="s">
        <v>2492</v>
      </c>
      <c r="G34" s="1035"/>
      <c r="H34" s="1025"/>
      <c r="I34" s="1025"/>
    </row>
    <row r="35" spans="1:9" s="1408" customFormat="1">
      <c r="A35" s="3922"/>
      <c r="B35" s="3919"/>
      <c r="C35" s="3264" t="s">
        <v>2493</v>
      </c>
      <c r="D35" s="3265"/>
      <c r="E35" s="3266">
        <v>0.2</v>
      </c>
      <c r="F35" s="3263" t="s">
        <v>2494</v>
      </c>
      <c r="G35" s="1035"/>
      <c r="H35" s="1025"/>
      <c r="I35" s="1025"/>
    </row>
    <row r="36" spans="1:9" s="1408" customFormat="1">
      <c r="A36" s="3922"/>
      <c r="B36" s="3919"/>
      <c r="C36" s="3264" t="s">
        <v>2495</v>
      </c>
      <c r="D36" s="3265"/>
      <c r="E36" s="3266">
        <v>0.2</v>
      </c>
      <c r="F36" s="3263" t="s">
        <v>2496</v>
      </c>
      <c r="G36" s="1035"/>
      <c r="H36" s="1025"/>
      <c r="I36" s="1025"/>
    </row>
    <row r="37" spans="1:9" s="1408" customFormat="1">
      <c r="A37" s="3922"/>
      <c r="B37" s="3924" t="s">
        <v>2497</v>
      </c>
      <c r="C37" s="3264" t="s">
        <v>2498</v>
      </c>
      <c r="D37" s="3265"/>
      <c r="E37" s="3266">
        <v>0.6</v>
      </c>
      <c r="F37" s="3263" t="s">
        <v>2499</v>
      </c>
      <c r="G37" s="1035"/>
      <c r="H37" s="1025"/>
      <c r="I37" s="1025"/>
    </row>
    <row r="38" spans="1:9" s="1408" customFormat="1">
      <c r="A38" s="3922"/>
      <c r="B38" s="3919"/>
      <c r="C38" s="3264" t="s">
        <v>2500</v>
      </c>
      <c r="D38" s="3265"/>
      <c r="E38" s="3266">
        <v>0.6</v>
      </c>
      <c r="F38" s="3263" t="s">
        <v>2501</v>
      </c>
      <c r="G38" s="1035"/>
      <c r="H38" s="1025"/>
      <c r="I38" s="1025"/>
    </row>
    <row r="39" spans="1:9" s="1408" customFormat="1" ht="14.25" thickBot="1">
      <c r="A39" s="3923"/>
      <c r="B39" s="3920"/>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15" t="s">
        <v>2455</v>
      </c>
      <c r="B41" s="3918" t="s">
        <v>2506</v>
      </c>
      <c r="C41" s="3260" t="s">
        <v>2507</v>
      </c>
      <c r="D41" s="3261"/>
      <c r="E41" s="3262">
        <v>1</v>
      </c>
      <c r="F41" s="3263" t="s">
        <v>2508</v>
      </c>
      <c r="G41" s="1035"/>
      <c r="H41" s="1025"/>
      <c r="I41" s="1025"/>
    </row>
    <row r="42" spans="1:9" s="1408" customFormat="1">
      <c r="A42" s="3916"/>
      <c r="B42" s="3919"/>
      <c r="C42" s="3264" t="s">
        <v>2509</v>
      </c>
      <c r="D42" s="3265"/>
      <c r="E42" s="3266">
        <v>1</v>
      </c>
      <c r="F42" s="3263" t="s">
        <v>2510</v>
      </c>
      <c r="G42" s="1035"/>
      <c r="H42" s="1025"/>
      <c r="I42" s="1025"/>
    </row>
    <row r="43" spans="1:9" s="1408" customFormat="1">
      <c r="A43" s="3916"/>
      <c r="B43" s="3925"/>
      <c r="C43" s="3264" t="s">
        <v>2511</v>
      </c>
      <c r="D43" s="3265"/>
      <c r="E43" s="3266">
        <v>1.5</v>
      </c>
      <c r="F43" s="3263" t="s">
        <v>2512</v>
      </c>
      <c r="G43" s="1035"/>
      <c r="H43" s="1025"/>
      <c r="I43" s="1025"/>
    </row>
    <row r="44" spans="1:9" s="1408" customFormat="1">
      <c r="A44" s="3916"/>
      <c r="B44" s="3275" t="s">
        <v>2457</v>
      </c>
      <c r="C44" s="3264" t="s">
        <v>2456</v>
      </c>
      <c r="D44" s="3265"/>
      <c r="E44" s="3266">
        <v>2</v>
      </c>
      <c r="F44" s="3263" t="s">
        <v>2513</v>
      </c>
      <c r="G44" s="1035"/>
      <c r="H44" s="1025"/>
      <c r="I44" s="1025"/>
    </row>
    <row r="45" spans="1:9" s="1408" customFormat="1">
      <c r="A45" s="3916"/>
      <c r="B45" s="3924" t="s">
        <v>2514</v>
      </c>
      <c r="C45" s="3264" t="s">
        <v>2515</v>
      </c>
      <c r="D45" s="3265"/>
      <c r="E45" s="3266">
        <v>1</v>
      </c>
      <c r="F45" s="3263" t="s">
        <v>2516</v>
      </c>
      <c r="G45" s="1035"/>
      <c r="H45" s="1025"/>
      <c r="I45" s="1025"/>
    </row>
    <row r="46" spans="1:9" s="1408" customFormat="1">
      <c r="A46" s="3916"/>
      <c r="B46" s="3919"/>
      <c r="C46" s="3264" t="s">
        <v>2517</v>
      </c>
      <c r="D46" s="3265"/>
      <c r="E46" s="3266">
        <v>1</v>
      </c>
      <c r="F46" s="3263" t="s">
        <v>2518</v>
      </c>
      <c r="G46" s="1035"/>
      <c r="H46" s="1025"/>
      <c r="I46" s="1025"/>
    </row>
    <row r="47" spans="1:9" s="1408" customFormat="1">
      <c r="A47" s="3916"/>
      <c r="B47" s="3919"/>
      <c r="C47" s="3264" t="s">
        <v>2519</v>
      </c>
      <c r="D47" s="3265"/>
      <c r="E47" s="3266">
        <v>1</v>
      </c>
      <c r="F47" s="3263" t="s">
        <v>2520</v>
      </c>
      <c r="G47" s="1035"/>
      <c r="H47" s="1025"/>
      <c r="I47" s="1025"/>
    </row>
    <row r="48" spans="1:9" s="1408" customFormat="1">
      <c r="A48" s="3916"/>
      <c r="B48" s="3919"/>
      <c r="C48" s="3264" t="s">
        <v>2521</v>
      </c>
      <c r="D48" s="3265"/>
      <c r="E48" s="3266">
        <v>1</v>
      </c>
      <c r="F48" s="3263" t="s">
        <v>2522</v>
      </c>
      <c r="G48" s="1035"/>
      <c r="H48" s="1025"/>
      <c r="I48" s="1025"/>
    </row>
    <row r="49" spans="1:9" s="1408" customFormat="1">
      <c r="A49" s="3916"/>
      <c r="B49" s="3919"/>
      <c r="C49" s="3264" t="s">
        <v>2523</v>
      </c>
      <c r="D49" s="3265"/>
      <c r="E49" s="3266">
        <v>1</v>
      </c>
      <c r="F49" s="3263" t="s">
        <v>2524</v>
      </c>
      <c r="G49" s="1035"/>
      <c r="H49" s="1025"/>
      <c r="I49" s="1025"/>
    </row>
    <row r="50" spans="1:9" s="1408" customFormat="1">
      <c r="A50" s="3916"/>
      <c r="B50" s="3919"/>
      <c r="C50" s="3264" t="s">
        <v>2525</v>
      </c>
      <c r="D50" s="3265"/>
      <c r="E50" s="3266">
        <v>1</v>
      </c>
      <c r="F50" s="3263" t="s">
        <v>2526</v>
      </c>
      <c r="G50" s="1035"/>
      <c r="H50" s="1025"/>
      <c r="I50" s="1025"/>
    </row>
    <row r="51" spans="1:9" s="1408" customFormat="1" ht="14.25" thickBot="1">
      <c r="A51" s="3917"/>
      <c r="B51" s="3920"/>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24" t="s">
        <v>2530</v>
      </c>
      <c r="C73" s="3253" t="s">
        <v>2531</v>
      </c>
      <c r="D73" s="3253" t="s">
        <v>2532</v>
      </c>
      <c r="E73" s="3276">
        <v>0.2</v>
      </c>
      <c r="F73" s="3275">
        <v>25</v>
      </c>
      <c r="H73" s="1025">
        <f>SUMIF(C71:C139,基准地价!C8,E71:E139)</f>
        <v>0</v>
      </c>
    </row>
    <row r="74" spans="1:8" s="1025" customFormat="1" ht="24">
      <c r="A74" s="3275">
        <v>2</v>
      </c>
      <c r="B74" s="3919"/>
      <c r="C74" s="3253" t="s">
        <v>2533</v>
      </c>
      <c r="D74" s="3253" t="s">
        <v>2534</v>
      </c>
      <c r="E74" s="3276">
        <v>0.2</v>
      </c>
      <c r="F74" s="3275">
        <v>25</v>
      </c>
    </row>
    <row r="75" spans="1:8" s="1025" customFormat="1" ht="24">
      <c r="A75" s="3275">
        <v>3</v>
      </c>
      <c r="B75" s="3919"/>
      <c r="C75" s="3253" t="s">
        <v>2535</v>
      </c>
      <c r="D75" s="3253" t="s">
        <v>2536</v>
      </c>
      <c r="E75" s="3276">
        <v>0.2</v>
      </c>
      <c r="F75" s="3275">
        <v>25</v>
      </c>
    </row>
    <row r="76" spans="1:8" s="1025" customFormat="1">
      <c r="A76" s="3275">
        <v>4</v>
      </c>
      <c r="B76" s="3919"/>
      <c r="C76" s="3253" t="s">
        <v>2537</v>
      </c>
      <c r="D76" s="3253" t="s">
        <v>2538</v>
      </c>
      <c r="E76" s="3276">
        <v>0.15</v>
      </c>
      <c r="F76" s="3275">
        <v>20</v>
      </c>
    </row>
    <row r="77" spans="1:8" s="1025" customFormat="1" ht="24">
      <c r="A77" s="3275">
        <v>5</v>
      </c>
      <c r="B77" s="3919"/>
      <c r="C77" s="3253" t="s">
        <v>2539</v>
      </c>
      <c r="D77" s="3253" t="s">
        <v>2540</v>
      </c>
      <c r="E77" s="3276">
        <v>0.15</v>
      </c>
      <c r="F77" s="3275">
        <v>20</v>
      </c>
    </row>
    <row r="78" spans="1:8" s="1025" customFormat="1" ht="24">
      <c r="A78" s="3275">
        <v>6</v>
      </c>
      <c r="B78" s="3919"/>
      <c r="C78" s="3253" t="s">
        <v>2541</v>
      </c>
      <c r="D78" s="3253" t="s">
        <v>2542</v>
      </c>
      <c r="E78" s="3276">
        <v>0.15</v>
      </c>
      <c r="F78" s="3275">
        <v>20</v>
      </c>
    </row>
    <row r="79" spans="1:8" s="1025" customFormat="1" ht="24">
      <c r="A79" s="3275">
        <v>7</v>
      </c>
      <c r="B79" s="3919"/>
      <c r="C79" s="3253" t="s">
        <v>2543</v>
      </c>
      <c r="D79" s="3253" t="s">
        <v>2544</v>
      </c>
      <c r="E79" s="3276">
        <v>0.15</v>
      </c>
      <c r="F79" s="3275">
        <v>20</v>
      </c>
    </row>
    <row r="80" spans="1:8" s="1025" customFormat="1" ht="24">
      <c r="A80" s="3275">
        <v>8</v>
      </c>
      <c r="B80" s="3919"/>
      <c r="C80" s="3253" t="s">
        <v>2545</v>
      </c>
      <c r="D80" s="3253" t="s">
        <v>2546</v>
      </c>
      <c r="E80" s="3276">
        <v>0.1</v>
      </c>
      <c r="F80" s="3275">
        <v>15</v>
      </c>
    </row>
    <row r="81" spans="1:6" s="1025" customFormat="1" ht="24">
      <c r="A81" s="3275">
        <v>9</v>
      </c>
      <c r="B81" s="3919"/>
      <c r="C81" s="3253" t="s">
        <v>2547</v>
      </c>
      <c r="D81" s="3253" t="s">
        <v>2548</v>
      </c>
      <c r="E81" s="3276">
        <v>0.1</v>
      </c>
      <c r="F81" s="3275">
        <v>15</v>
      </c>
    </row>
    <row r="82" spans="1:6" s="1025" customFormat="1" ht="24">
      <c r="A82" s="3275">
        <v>10</v>
      </c>
      <c r="B82" s="3919"/>
      <c r="C82" s="3253" t="s">
        <v>2549</v>
      </c>
      <c r="D82" s="3253" t="s">
        <v>2550</v>
      </c>
      <c r="E82" s="3276">
        <v>0.1</v>
      </c>
      <c r="F82" s="3275">
        <v>15</v>
      </c>
    </row>
    <row r="83" spans="1:6" s="1025" customFormat="1" ht="24">
      <c r="A83" s="3275">
        <v>11</v>
      </c>
      <c r="B83" s="3919"/>
      <c r="C83" s="3253" t="s">
        <v>2551</v>
      </c>
      <c r="D83" s="3253" t="s">
        <v>2552</v>
      </c>
      <c r="E83" s="3276">
        <v>0.1</v>
      </c>
      <c r="F83" s="3275">
        <v>15</v>
      </c>
    </row>
    <row r="84" spans="1:6" s="1025" customFormat="1" ht="24">
      <c r="A84" s="3275">
        <v>12</v>
      </c>
      <c r="B84" s="3919"/>
      <c r="C84" s="3253" t="s">
        <v>2553</v>
      </c>
      <c r="D84" s="3253" t="s">
        <v>2554</v>
      </c>
      <c r="E84" s="3276">
        <v>0.1</v>
      </c>
      <c r="F84" s="3275">
        <v>15</v>
      </c>
    </row>
    <row r="85" spans="1:6" s="1025" customFormat="1">
      <c r="A85" s="3275">
        <v>13</v>
      </c>
      <c r="B85" s="3919"/>
      <c r="C85" s="3253" t="s">
        <v>2555</v>
      </c>
      <c r="D85" s="3253" t="s">
        <v>2556</v>
      </c>
      <c r="E85" s="3276">
        <v>0.1</v>
      </c>
      <c r="F85" s="3275">
        <v>15</v>
      </c>
    </row>
    <row r="86" spans="1:6" s="1025" customFormat="1">
      <c r="A86" s="3275">
        <v>14</v>
      </c>
      <c r="B86" s="3919"/>
      <c r="C86" s="3253" t="s">
        <v>2557</v>
      </c>
      <c r="D86" s="3253" t="s">
        <v>2558</v>
      </c>
      <c r="E86" s="3276">
        <v>0.1</v>
      </c>
      <c r="F86" s="3275">
        <v>15</v>
      </c>
    </row>
    <row r="87" spans="1:6" s="1025" customFormat="1">
      <c r="A87" s="3275">
        <v>15</v>
      </c>
      <c r="B87" s="3919"/>
      <c r="C87" s="3253" t="s">
        <v>2559</v>
      </c>
      <c r="D87" s="3253" t="s">
        <v>2560</v>
      </c>
      <c r="E87" s="3276">
        <v>0.1</v>
      </c>
      <c r="F87" s="3275">
        <v>15</v>
      </c>
    </row>
    <row r="88" spans="1:6" s="1025" customFormat="1" ht="24">
      <c r="A88" s="3275">
        <v>16</v>
      </c>
      <c r="B88" s="3919"/>
      <c r="C88" s="3253" t="s">
        <v>2561</v>
      </c>
      <c r="D88" s="3253" t="s">
        <v>2562</v>
      </c>
      <c r="E88" s="3276">
        <v>0.1</v>
      </c>
      <c r="F88" s="3275">
        <v>15</v>
      </c>
    </row>
    <row r="89" spans="1:6" s="1025" customFormat="1" ht="24">
      <c r="A89" s="3275">
        <v>17</v>
      </c>
      <c r="B89" s="3925"/>
      <c r="C89" s="3253" t="s">
        <v>2563</v>
      </c>
      <c r="D89" s="3253" t="s">
        <v>2564</v>
      </c>
      <c r="E89" s="3276">
        <v>0.1</v>
      </c>
      <c r="F89" s="3275">
        <v>15</v>
      </c>
    </row>
    <row r="90" spans="1:6" s="1025" customFormat="1">
      <c r="A90" s="3275">
        <v>18</v>
      </c>
      <c r="B90" s="3924" t="s">
        <v>2565</v>
      </c>
      <c r="C90" s="3253" t="s">
        <v>2566</v>
      </c>
      <c r="D90" s="3253" t="s">
        <v>2567</v>
      </c>
      <c r="E90" s="3276">
        <v>0.2</v>
      </c>
      <c r="F90" s="3275">
        <v>25</v>
      </c>
    </row>
    <row r="91" spans="1:6" s="1025" customFormat="1" ht="24">
      <c r="A91" s="3275">
        <v>19</v>
      </c>
      <c r="B91" s="3919"/>
      <c r="C91" s="3253" t="s">
        <v>2568</v>
      </c>
      <c r="D91" s="3253" t="s">
        <v>2569</v>
      </c>
      <c r="E91" s="3276">
        <v>0.2</v>
      </c>
      <c r="F91" s="3275">
        <v>25</v>
      </c>
    </row>
    <row r="92" spans="1:6" s="1025" customFormat="1">
      <c r="A92" s="3275">
        <v>20</v>
      </c>
      <c r="B92" s="3919"/>
      <c r="C92" s="3253" t="s">
        <v>2570</v>
      </c>
      <c r="D92" s="3253" t="s">
        <v>2571</v>
      </c>
      <c r="E92" s="3276">
        <v>0.15</v>
      </c>
      <c r="F92" s="3275">
        <v>20</v>
      </c>
    </row>
    <row r="93" spans="1:6" s="1025" customFormat="1" ht="24">
      <c r="A93" s="3275">
        <v>21</v>
      </c>
      <c r="B93" s="3919"/>
      <c r="C93" s="3253" t="s">
        <v>2572</v>
      </c>
      <c r="D93" s="3253" t="s">
        <v>2573</v>
      </c>
      <c r="E93" s="3276">
        <v>0.15</v>
      </c>
      <c r="F93" s="3275">
        <v>20</v>
      </c>
    </row>
    <row r="94" spans="1:6" s="1025" customFormat="1" ht="24">
      <c r="A94" s="3275">
        <v>22</v>
      </c>
      <c r="B94" s="3919"/>
      <c r="C94" s="3253" t="s">
        <v>2574</v>
      </c>
      <c r="D94" s="3253" t="s">
        <v>2575</v>
      </c>
      <c r="E94" s="3276">
        <v>0.15</v>
      </c>
      <c r="F94" s="3275">
        <v>20</v>
      </c>
    </row>
    <row r="95" spans="1:6" s="1025" customFormat="1" ht="36">
      <c r="A95" s="3275">
        <v>23</v>
      </c>
      <c r="B95" s="3919"/>
      <c r="C95" s="3253" t="s">
        <v>2576</v>
      </c>
      <c r="D95" s="3253" t="s">
        <v>2577</v>
      </c>
      <c r="E95" s="3276">
        <v>0.15</v>
      </c>
      <c r="F95" s="3275">
        <v>20</v>
      </c>
    </row>
    <row r="96" spans="1:6" s="1025" customFormat="1">
      <c r="A96" s="3275">
        <v>24</v>
      </c>
      <c r="B96" s="3919"/>
      <c r="C96" s="3253" t="s">
        <v>2578</v>
      </c>
      <c r="D96" s="3253" t="s">
        <v>2579</v>
      </c>
      <c r="E96" s="3276">
        <v>0.1</v>
      </c>
      <c r="F96" s="3275">
        <v>15</v>
      </c>
    </row>
    <row r="97" spans="1:6" s="1025" customFormat="1" ht="24">
      <c r="A97" s="3275">
        <v>25</v>
      </c>
      <c r="B97" s="3919"/>
      <c r="C97" s="3253" t="s">
        <v>2580</v>
      </c>
      <c r="D97" s="3253" t="s">
        <v>2581</v>
      </c>
      <c r="E97" s="3276">
        <v>0.1</v>
      </c>
      <c r="F97" s="3275">
        <v>15</v>
      </c>
    </row>
    <row r="98" spans="1:6" s="1025" customFormat="1" ht="24">
      <c r="A98" s="3275">
        <v>26</v>
      </c>
      <c r="B98" s="3919"/>
      <c r="C98" s="3253" t="s">
        <v>2582</v>
      </c>
      <c r="D98" s="3253" t="s">
        <v>2583</v>
      </c>
      <c r="E98" s="3276">
        <v>0.1</v>
      </c>
      <c r="F98" s="3275">
        <v>15</v>
      </c>
    </row>
    <row r="99" spans="1:6" s="1025" customFormat="1" ht="24">
      <c r="A99" s="3275">
        <v>27</v>
      </c>
      <c r="B99" s="3919"/>
      <c r="C99" s="3253" t="s">
        <v>2584</v>
      </c>
      <c r="D99" s="3253" t="s">
        <v>2585</v>
      </c>
      <c r="E99" s="3276">
        <v>0.1</v>
      </c>
      <c r="F99" s="3275">
        <v>15</v>
      </c>
    </row>
    <row r="100" spans="1:6" s="1025" customFormat="1" ht="24">
      <c r="A100" s="3275">
        <v>28</v>
      </c>
      <c r="B100" s="3919"/>
      <c r="C100" s="3253" t="s">
        <v>2586</v>
      </c>
      <c r="D100" s="3253" t="s">
        <v>2587</v>
      </c>
      <c r="E100" s="3276">
        <v>0.1</v>
      </c>
      <c r="F100" s="3275">
        <v>15</v>
      </c>
    </row>
    <row r="101" spans="1:6" s="1025" customFormat="1" ht="24">
      <c r="A101" s="3275">
        <v>29</v>
      </c>
      <c r="B101" s="3919"/>
      <c r="C101" s="3253" t="s">
        <v>2588</v>
      </c>
      <c r="D101" s="3253" t="s">
        <v>2589</v>
      </c>
      <c r="E101" s="3276">
        <v>0.1</v>
      </c>
      <c r="F101" s="3275">
        <v>15</v>
      </c>
    </row>
    <row r="102" spans="1:6" s="1025" customFormat="1" ht="24">
      <c r="A102" s="3275">
        <v>30</v>
      </c>
      <c r="B102" s="3919"/>
      <c r="C102" s="3253" t="s">
        <v>2590</v>
      </c>
      <c r="D102" s="3253" t="s">
        <v>2591</v>
      </c>
      <c r="E102" s="3276">
        <v>0.1</v>
      </c>
      <c r="F102" s="3275">
        <v>15</v>
      </c>
    </row>
    <row r="103" spans="1:6" s="1025" customFormat="1" ht="24">
      <c r="A103" s="3275">
        <v>31</v>
      </c>
      <c r="B103" s="3919"/>
      <c r="C103" s="3253" t="s">
        <v>2592</v>
      </c>
      <c r="D103" s="3253" t="s">
        <v>2593</v>
      </c>
      <c r="E103" s="3276">
        <v>0.1</v>
      </c>
      <c r="F103" s="3275">
        <v>15</v>
      </c>
    </row>
    <row r="104" spans="1:6" s="1025" customFormat="1" ht="24">
      <c r="A104" s="3275">
        <v>32</v>
      </c>
      <c r="B104" s="3919"/>
      <c r="C104" s="3253" t="s">
        <v>2594</v>
      </c>
      <c r="D104" s="3253" t="s">
        <v>2595</v>
      </c>
      <c r="E104" s="3276">
        <v>0.1</v>
      </c>
      <c r="F104" s="3275">
        <v>15</v>
      </c>
    </row>
    <row r="105" spans="1:6" s="1025" customFormat="1" ht="24">
      <c r="A105" s="3275">
        <v>33</v>
      </c>
      <c r="B105" s="3919"/>
      <c r="C105" s="3253" t="s">
        <v>2596</v>
      </c>
      <c r="D105" s="3253" t="s">
        <v>2597</v>
      </c>
      <c r="E105" s="3276">
        <v>0.1</v>
      </c>
      <c r="F105" s="3275">
        <v>15</v>
      </c>
    </row>
    <row r="106" spans="1:6" s="1025" customFormat="1" ht="24">
      <c r="A106" s="3275">
        <v>34</v>
      </c>
      <c r="B106" s="3925"/>
      <c r="C106" s="3253" t="s">
        <v>2598</v>
      </c>
      <c r="D106" s="3253" t="s">
        <v>2599</v>
      </c>
      <c r="E106" s="3276">
        <v>0.1</v>
      </c>
      <c r="F106" s="3275">
        <v>15</v>
      </c>
    </row>
    <row r="107" spans="1:6" s="1025" customFormat="1" ht="24">
      <c r="A107" s="3275">
        <v>35</v>
      </c>
      <c r="B107" s="3924" t="s">
        <v>2600</v>
      </c>
      <c r="C107" s="3275" t="s">
        <v>2601</v>
      </c>
      <c r="D107" s="3253" t="s">
        <v>2602</v>
      </c>
      <c r="E107" s="3276">
        <v>0.15</v>
      </c>
      <c r="F107" s="3275">
        <v>20</v>
      </c>
    </row>
    <row r="108" spans="1:6" s="1025" customFormat="1" ht="24">
      <c r="A108" s="3275">
        <v>36</v>
      </c>
      <c r="B108" s="3919"/>
      <c r="C108" s="3275" t="s">
        <v>2603</v>
      </c>
      <c r="D108" s="3253" t="s">
        <v>2604</v>
      </c>
      <c r="E108" s="3276">
        <v>0.15</v>
      </c>
      <c r="F108" s="3275">
        <v>20</v>
      </c>
    </row>
    <row r="109" spans="1:6" s="1025" customFormat="1" ht="24">
      <c r="A109" s="3275">
        <v>37</v>
      </c>
      <c r="B109" s="3919"/>
      <c r="C109" s="3275" t="s">
        <v>2605</v>
      </c>
      <c r="D109" s="3253" t="s">
        <v>2606</v>
      </c>
      <c r="E109" s="3276">
        <v>0.15</v>
      </c>
      <c r="F109" s="3275">
        <v>20</v>
      </c>
    </row>
    <row r="110" spans="1:6" s="1025" customFormat="1">
      <c r="A110" s="3275">
        <v>38</v>
      </c>
      <c r="B110" s="3919"/>
      <c r="C110" s="3275" t="s">
        <v>2607</v>
      </c>
      <c r="D110" s="3253" t="s">
        <v>2608</v>
      </c>
      <c r="E110" s="3276">
        <v>0.1</v>
      </c>
      <c r="F110" s="3275">
        <v>15</v>
      </c>
    </row>
    <row r="111" spans="1:6" s="1025" customFormat="1" ht="24">
      <c r="A111" s="3275">
        <v>39</v>
      </c>
      <c r="B111" s="3919"/>
      <c r="C111" s="3275" t="s">
        <v>2609</v>
      </c>
      <c r="D111" s="3253" t="s">
        <v>2610</v>
      </c>
      <c r="E111" s="3276">
        <v>0.1</v>
      </c>
      <c r="F111" s="3275">
        <v>15</v>
      </c>
    </row>
    <row r="112" spans="1:6" s="1025" customFormat="1" ht="24">
      <c r="A112" s="3275">
        <v>40</v>
      </c>
      <c r="B112" s="3925"/>
      <c r="C112" s="3275" t="s">
        <v>2611</v>
      </c>
      <c r="D112" s="3253" t="s">
        <v>2612</v>
      </c>
      <c r="E112" s="3276">
        <v>0.1</v>
      </c>
      <c r="F112" s="3275">
        <v>15</v>
      </c>
    </row>
    <row r="113" spans="1:6" s="1025" customFormat="1" ht="24">
      <c r="A113" s="3275">
        <v>41</v>
      </c>
      <c r="B113" s="3926" t="s">
        <v>2613</v>
      </c>
      <c r="C113" s="3275" t="s">
        <v>2614</v>
      </c>
      <c r="D113" s="3253" t="s">
        <v>2615</v>
      </c>
      <c r="E113" s="3276">
        <v>0.1</v>
      </c>
      <c r="F113" s="3275">
        <v>15</v>
      </c>
    </row>
    <row r="114" spans="1:6" s="1025" customFormat="1">
      <c r="A114" s="3275">
        <v>42</v>
      </c>
      <c r="B114" s="3926"/>
      <c r="C114" s="3275" t="s">
        <v>2616</v>
      </c>
      <c r="D114" s="3253" t="s">
        <v>2617</v>
      </c>
      <c r="E114" s="3276">
        <v>0.1</v>
      </c>
      <c r="F114" s="3275">
        <v>15</v>
      </c>
    </row>
    <row r="115" spans="1:6" s="1025" customFormat="1" ht="24">
      <c r="A115" s="3275">
        <v>43</v>
      </c>
      <c r="B115" s="3926"/>
      <c r="C115" s="3275" t="s">
        <v>2618</v>
      </c>
      <c r="D115" s="3253" t="s">
        <v>2619</v>
      </c>
      <c r="E115" s="3276">
        <v>0.1</v>
      </c>
      <c r="F115" s="3275">
        <v>15</v>
      </c>
    </row>
    <row r="116" spans="1:6" s="1025" customFormat="1" ht="24">
      <c r="A116" s="3275">
        <v>44</v>
      </c>
      <c r="B116" s="3924" t="s">
        <v>2620</v>
      </c>
      <c r="C116" s="3275" t="s">
        <v>2621</v>
      </c>
      <c r="D116" s="3253" t="s">
        <v>2622</v>
      </c>
      <c r="E116" s="3276">
        <v>0.1</v>
      </c>
      <c r="F116" s="3275">
        <v>15</v>
      </c>
    </row>
    <row r="117" spans="1:6" s="1025" customFormat="1" ht="24">
      <c r="A117" s="3275">
        <v>45</v>
      </c>
      <c r="B117" s="3925"/>
      <c r="C117" s="3253" t="s">
        <v>2623</v>
      </c>
      <c r="D117" s="3253" t="s">
        <v>2624</v>
      </c>
      <c r="E117" s="3276">
        <v>0.1</v>
      </c>
      <c r="F117" s="3275">
        <v>15</v>
      </c>
    </row>
    <row r="118" spans="1:6" s="1025" customFormat="1" ht="24">
      <c r="A118" s="3275">
        <v>46</v>
      </c>
      <c r="B118" s="3924" t="s">
        <v>2625</v>
      </c>
      <c r="C118" s="3275" t="s">
        <v>2626</v>
      </c>
      <c r="D118" s="3253" t="s">
        <v>2627</v>
      </c>
      <c r="E118" s="3276">
        <v>0.1</v>
      </c>
      <c r="F118" s="3275">
        <v>15</v>
      </c>
    </row>
    <row r="119" spans="1:6" s="1025" customFormat="1" ht="24">
      <c r="A119" s="3275">
        <v>47</v>
      </c>
      <c r="B119" s="3925"/>
      <c r="C119" s="3275" t="s">
        <v>2628</v>
      </c>
      <c r="D119" s="3253" t="s">
        <v>2629</v>
      </c>
      <c r="E119" s="3276">
        <v>0.1</v>
      </c>
      <c r="F119" s="3275">
        <v>15</v>
      </c>
    </row>
    <row r="120" spans="1:6" s="1025" customFormat="1" ht="24">
      <c r="A120" s="3275">
        <v>48</v>
      </c>
      <c r="B120" s="3924" t="s">
        <v>2630</v>
      </c>
      <c r="C120" s="3275" t="s">
        <v>2631</v>
      </c>
      <c r="D120" s="3253" t="s">
        <v>2632</v>
      </c>
      <c r="E120" s="3276">
        <v>0.1</v>
      </c>
      <c r="F120" s="3275">
        <v>15</v>
      </c>
    </row>
    <row r="121" spans="1:6" s="1025" customFormat="1">
      <c r="A121" s="3275">
        <v>49</v>
      </c>
      <c r="B121" s="3925"/>
      <c r="C121" s="3275" t="s">
        <v>2633</v>
      </c>
      <c r="D121" s="3253" t="s">
        <v>2634</v>
      </c>
      <c r="E121" s="3276">
        <v>0.1</v>
      </c>
      <c r="F121" s="3275">
        <v>15</v>
      </c>
    </row>
    <row r="122" spans="1:6" s="1025" customFormat="1" ht="24">
      <c r="A122" s="3275">
        <v>50</v>
      </c>
      <c r="B122" s="3926" t="s">
        <v>2635</v>
      </c>
      <c r="C122" s="3275" t="s">
        <v>2636</v>
      </c>
      <c r="D122" s="3253" t="s">
        <v>2637</v>
      </c>
      <c r="E122" s="3276">
        <v>0.1</v>
      </c>
      <c r="F122" s="3275">
        <v>15</v>
      </c>
    </row>
    <row r="123" spans="1:6" s="1025" customFormat="1" ht="24">
      <c r="A123" s="3275">
        <v>51</v>
      </c>
      <c r="B123" s="3926"/>
      <c r="C123" s="3275" t="s">
        <v>2638</v>
      </c>
      <c r="D123" s="3253" t="s">
        <v>2639</v>
      </c>
      <c r="E123" s="3276">
        <v>0.1</v>
      </c>
      <c r="F123" s="3275">
        <v>15</v>
      </c>
    </row>
    <row r="124" spans="1:6" s="1025" customFormat="1" ht="24">
      <c r="A124" s="3275">
        <v>52</v>
      </c>
      <c r="B124" s="3926" t="s">
        <v>2640</v>
      </c>
      <c r="C124" s="3275" t="s">
        <v>2641</v>
      </c>
      <c r="D124" s="3253" t="s">
        <v>2642</v>
      </c>
      <c r="E124" s="3276">
        <v>0.1</v>
      </c>
      <c r="F124" s="3275">
        <v>15</v>
      </c>
    </row>
    <row r="125" spans="1:6" s="1025" customFormat="1" ht="24">
      <c r="A125" s="3275">
        <v>53</v>
      </c>
      <c r="B125" s="3926"/>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26" t="s">
        <v>2648</v>
      </c>
      <c r="C127" s="3275" t="s">
        <v>2649</v>
      </c>
      <c r="D127" s="3253" t="s">
        <v>2650</v>
      </c>
      <c r="E127" s="3276">
        <v>0.1</v>
      </c>
      <c r="F127" s="3275">
        <v>15</v>
      </c>
    </row>
    <row r="128" spans="1:6">
      <c r="A128" s="3275">
        <v>56</v>
      </c>
      <c r="B128" s="3926"/>
      <c r="C128" s="3275" t="s">
        <v>2651</v>
      </c>
      <c r="D128" s="3253" t="s">
        <v>2652</v>
      </c>
      <c r="E128" s="3276">
        <v>0.1</v>
      </c>
      <c r="F128" s="3275">
        <v>15</v>
      </c>
    </row>
    <row r="129" spans="1:14" ht="24">
      <c r="A129" s="3275">
        <v>57</v>
      </c>
      <c r="B129" s="3926"/>
      <c r="C129" s="3275" t="s">
        <v>2653</v>
      </c>
      <c r="D129" s="3253" t="s">
        <v>2654</v>
      </c>
      <c r="E129" s="3276">
        <v>0.1</v>
      </c>
      <c r="F129" s="3275">
        <v>15</v>
      </c>
    </row>
    <row r="130" spans="1:14" ht="24">
      <c r="A130" s="3275">
        <v>58</v>
      </c>
      <c r="B130" s="3926" t="s">
        <v>2655</v>
      </c>
      <c r="C130" s="3275" t="s">
        <v>2656</v>
      </c>
      <c r="D130" s="3253" t="s">
        <v>2657</v>
      </c>
      <c r="E130" s="3276">
        <v>0.1</v>
      </c>
      <c r="F130" s="3275">
        <v>15</v>
      </c>
    </row>
    <row r="131" spans="1:14" ht="24">
      <c r="A131" s="3275">
        <v>59</v>
      </c>
      <c r="B131" s="3926"/>
      <c r="C131" s="3275" t="s">
        <v>2658</v>
      </c>
      <c r="D131" s="3253" t="s">
        <v>2659</v>
      </c>
      <c r="E131" s="3276">
        <v>0.1</v>
      </c>
      <c r="F131" s="3275">
        <v>15</v>
      </c>
    </row>
    <row r="132" spans="1:14" ht="24">
      <c r="A132" s="3275">
        <v>60</v>
      </c>
      <c r="B132" s="3924" t="s">
        <v>2660</v>
      </c>
      <c r="C132" s="3275" t="s">
        <v>2661</v>
      </c>
      <c r="D132" s="3253" t="s">
        <v>2662</v>
      </c>
      <c r="E132" s="3276">
        <v>0.1</v>
      </c>
      <c r="F132" s="3275">
        <v>15</v>
      </c>
    </row>
    <row r="133" spans="1:14" ht="24">
      <c r="A133" s="3275">
        <v>61</v>
      </c>
      <c r="B133" s="3925"/>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26" t="s">
        <v>2668</v>
      </c>
      <c r="C135" s="3275" t="s">
        <v>2669</v>
      </c>
      <c r="D135" s="3253" t="s">
        <v>2670</v>
      </c>
      <c r="E135" s="3276">
        <v>0.1</v>
      </c>
      <c r="F135" s="3275">
        <v>15</v>
      </c>
    </row>
    <row r="136" spans="1:14">
      <c r="A136" s="3275">
        <v>64</v>
      </c>
      <c r="B136" s="3926"/>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27" t="s">
        <v>2817</v>
      </c>
      <c r="B1" s="3927"/>
      <c r="C1" s="3927"/>
      <c r="D1" s="3927"/>
      <c r="E1" s="3927"/>
      <c r="F1" s="3927"/>
      <c r="G1" s="392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29"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30"/>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5">
      <c r="A1" s="3931" t="s">
        <v>3192</v>
      </c>
      <c r="B1" s="3931"/>
      <c r="C1" s="3931"/>
      <c r="D1" s="3931"/>
      <c r="E1" s="3931"/>
      <c r="F1" s="3932"/>
    </row>
    <row r="2" spans="1:6" ht="15">
      <c r="A2" s="3500" t="s">
        <v>3193</v>
      </c>
      <c r="B2" s="3501"/>
      <c r="C2" s="3501"/>
      <c r="D2" s="3501"/>
      <c r="E2" s="3501"/>
      <c r="F2" s="3501"/>
    </row>
    <row r="3" spans="1:6" ht="15">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33" t="s">
        <v>3030</v>
      </c>
      <c r="B1" s="3933"/>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97287.33平方米。根据《建设工程规划许可证》[]、《出让合同》[]，估价对象规划建筑面积为61600.22平方米。</v>
      </c>
    </row>
    <row r="7" spans="1:4" ht="56.25">
      <c r="A7" s="1583" t="s">
        <v>2029</v>
      </c>
    </row>
    <row r="8" spans="1:4" ht="18.75">
      <c r="A8" s="1582" t="s">
        <v>1430</v>
      </c>
    </row>
    <row r="9" spans="1:4" ht="75">
      <c r="A9" s="15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2023年2月8日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根据《国有土地使用证》[]，估价对象（分摊）出让国有建设用地使用权面积为97287.33平方米。根据《建设工程规划许可证》[]、《出让合同》[]，估价对象规划建筑面积为61600.22平方米。</v>
      </c>
    </row>
    <row r="21" spans="1:1" ht="18.75">
      <c r="A21" s="1579" t="s">
        <v>1592</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本次估价对象为出让国有建设用地使用权，《国有土地使用证》[]证载土地终止日期为工业2071年12月26日。截至估价期日，出让国有建设用地使用权剩余土地使用年限为。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8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1" t="s">
        <v>1858</v>
      </c>
      <c r="C1" s="3941"/>
      <c r="D1" s="3941"/>
      <c r="E1" s="3941"/>
      <c r="F1" s="3941"/>
      <c r="G1" s="3940" t="s">
        <v>1859</v>
      </c>
      <c r="H1" s="3940"/>
      <c r="I1" s="3940"/>
      <c r="J1" s="3940"/>
      <c r="K1" s="3940"/>
      <c r="L1" s="3940"/>
      <c r="N1" s="3940" t="s">
        <v>1860</v>
      </c>
      <c r="O1" s="3940"/>
      <c r="P1" s="3940"/>
      <c r="Q1" s="3940"/>
      <c r="S1" s="3940" t="s">
        <v>1861</v>
      </c>
      <c r="T1" s="3940"/>
      <c r="U1" s="3940"/>
      <c r="V1" s="3940"/>
      <c r="X1" s="3939" t="s">
        <v>1921</v>
      </c>
      <c r="Y1" s="3940"/>
      <c r="Z1" s="3940"/>
      <c r="AA1" s="3940"/>
      <c r="AB1" s="3940"/>
      <c r="AD1" s="3939" t="s">
        <v>1925</v>
      </c>
      <c r="AE1" s="3940"/>
      <c r="AF1" s="3940"/>
      <c r="AG1" s="3940"/>
      <c r="AH1" s="3940"/>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3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3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3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3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3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3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3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3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3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3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3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3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3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3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3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4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4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4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3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3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3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3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3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3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3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3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3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3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3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3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3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3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3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3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3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3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3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3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3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3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3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3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3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3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3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3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3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3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35">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3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3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3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35">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3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基准地价!G23</f>
        <v>44965</v>
      </c>
      <c r="B1" s="3348" t="s">
        <v>2793</v>
      </c>
      <c r="C1" s="3349"/>
      <c r="D1" s="3349"/>
      <c r="E1" s="3349"/>
      <c r="F1" s="3349"/>
      <c r="G1" s="3349"/>
      <c r="H1" s="3349"/>
      <c r="I1" s="3349"/>
      <c r="J1" s="3350"/>
      <c r="K1" s="3349" t="s">
        <v>2794</v>
      </c>
      <c r="L1" s="3349"/>
      <c r="M1" s="3349"/>
      <c r="N1" s="3349"/>
      <c r="O1" s="3349"/>
      <c r="P1" s="3349"/>
      <c r="Q1" s="3350"/>
      <c r="R1" s="3945" t="s">
        <v>2803</v>
      </c>
      <c r="S1" s="3946"/>
      <c r="T1" s="3946"/>
      <c r="U1" s="3946"/>
      <c r="V1" s="3946"/>
      <c r="W1" s="3946"/>
      <c r="X1" s="3350"/>
      <c r="Y1" s="3945" t="s">
        <v>2814</v>
      </c>
      <c r="Z1" s="3946"/>
      <c r="AA1" s="3946"/>
      <c r="AB1" s="3946"/>
      <c r="AC1" s="3946"/>
      <c r="AD1" s="3946"/>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3256</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3257</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3255</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3253</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3251</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3252</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3258</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45" t="s">
        <v>2810</v>
      </c>
      <c r="S21" s="3946"/>
      <c r="T21" s="3946"/>
      <c r="U21" s="3946"/>
      <c r="V21" s="3946"/>
      <c r="W21" s="3946"/>
      <c r="X21" s="3350"/>
      <c r="Y21" s="3945" t="s">
        <v>1925</v>
      </c>
      <c r="Z21" s="3946"/>
      <c r="AA21" s="3946"/>
      <c r="AB21" s="3946"/>
      <c r="AC21" s="3946"/>
      <c r="AD21" s="3946"/>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3256</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3257</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3255</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3253</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3254</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3252</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8" t="s">
        <v>1807</v>
      </c>
      <c r="C8" s="1612">
        <f ca="1">ROUND(F8*F10*F9*(1-F11)/10000,0)</f>
        <v>0</v>
      </c>
      <c r="D8" s="1609" t="s">
        <v>1817</v>
      </c>
      <c r="E8" s="59" t="s">
        <v>585</v>
      </c>
      <c r="F8" s="751">
        <f ca="1">INDIRECT("'数据-取费表'!u"&amp;$G$1)</f>
        <v>0</v>
      </c>
      <c r="G8" s="1405"/>
      <c r="H8" s="2151" t="s">
        <v>1353</v>
      </c>
      <c r="I8" s="3948" t="s">
        <v>1807</v>
      </c>
      <c r="J8" s="749">
        <f ca="1">ROUND(M8*M10*M9*(1-M11)/10000,0)</f>
        <v>0</v>
      </c>
      <c r="K8" s="332" t="s">
        <v>1817</v>
      </c>
      <c r="L8" s="750" t="s">
        <v>1267</v>
      </c>
      <c r="M8" s="751">
        <f ca="1">INDIRECT("'数据-取费表'!z"&amp;$G$1)</f>
        <v>0</v>
      </c>
    </row>
    <row r="9" spans="1:25" ht="18" customHeight="1">
      <c r="A9" s="2147"/>
      <c r="B9" s="3949"/>
      <c r="C9" s="1613"/>
      <c r="D9" s="1610"/>
      <c r="E9" s="59" t="s">
        <v>586</v>
      </c>
      <c r="F9" s="751">
        <f ca="1">IF(INDIRECT("'数据-取费表'!ah"&amp;$G$1)="",INDIRECT("'数据-取费表'!k"&amp;$G$1),INDIRECT("'数据-取费表'!ah"&amp;$G$1))</f>
        <v>0</v>
      </c>
      <c r="G9" s="1405"/>
      <c r="H9" s="2136"/>
      <c r="I9" s="3949"/>
      <c r="J9" s="754"/>
      <c r="K9" s="755"/>
      <c r="L9" s="750" t="s">
        <v>1268</v>
      </c>
      <c r="M9" s="751">
        <f ca="1">F9</f>
        <v>0</v>
      </c>
    </row>
    <row r="10" spans="1:25" ht="18" customHeight="1">
      <c r="A10" s="2140"/>
      <c r="B10" s="3950"/>
      <c r="C10" s="1613"/>
      <c r="D10" s="1610"/>
      <c r="E10" s="59" t="s">
        <v>587</v>
      </c>
      <c r="F10" s="751">
        <f ca="1">INDIRECT("'数据-取费表'!ai"&amp;$G$1)</f>
        <v>0</v>
      </c>
      <c r="G10" s="1405"/>
      <c r="H10" s="2136"/>
      <c r="I10" s="3950"/>
      <c r="J10" s="754"/>
      <c r="K10" s="755"/>
      <c r="L10" s="750" t="s">
        <v>1269</v>
      </c>
      <c r="M10" s="751">
        <f ca="1">INDIRECT("'数据-取费表'!ai"&amp;$G$1)</f>
        <v>0</v>
      </c>
    </row>
    <row r="11" spans="1:25" ht="18" customHeight="1">
      <c r="A11" s="752"/>
      <c r="B11" s="3951"/>
      <c r="C11" s="1613"/>
      <c r="D11" s="1610"/>
      <c r="E11" s="59" t="s">
        <v>588</v>
      </c>
      <c r="F11" s="760">
        <f ca="1">INDIRECT("'数据-取费表'!w"&amp;$G$1)</f>
        <v>0</v>
      </c>
      <c r="G11" s="1405"/>
      <c r="H11" s="2152"/>
      <c r="I11" s="395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8</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8.0000000000000004E-4</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8</v>
      </c>
      <c r="G36" s="1786"/>
      <c r="H36" s="1789"/>
      <c r="I36" s="3947"/>
      <c r="J36" s="1803"/>
      <c r="K36" s="1804"/>
      <c r="L36" s="1803"/>
      <c r="M36" s="1803"/>
    </row>
    <row r="37" spans="1:18" ht="18" customHeight="1">
      <c r="A37" s="780"/>
      <c r="B37" s="759"/>
      <c r="C37" s="67"/>
      <c r="D37" s="781"/>
      <c r="E37" s="750" t="s">
        <v>621</v>
      </c>
      <c r="F37" s="751">
        <f ca="1">INDIRECT("'数据-取费表'!r"&amp;$G$1)</f>
        <v>0</v>
      </c>
      <c r="G37" s="1786"/>
      <c r="H37" s="1789"/>
      <c r="I37" s="394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-2</v>
      </c>
      <c r="K54" s="3952"/>
      <c r="L54" s="3953"/>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M38" sqref="M3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3" t="s">
        <v>3450</v>
      </c>
      <c r="E1" s="2079" t="s">
        <v>1728</v>
      </c>
      <c r="F1" s="2080">
        <f ca="1">J53</f>
        <v>46.91</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24005</v>
      </c>
      <c r="C2" s="3006"/>
      <c r="D2" s="3007"/>
      <c r="E2" s="3008"/>
      <c r="F2" s="3008"/>
      <c r="G2" s="3002"/>
      <c r="H2" s="1781"/>
      <c r="I2" s="1781"/>
      <c r="J2" s="1781"/>
      <c r="K2" s="1782"/>
      <c r="L2" s="1781"/>
      <c r="M2" s="1781"/>
    </row>
    <row r="3" spans="1:33" ht="18" customHeight="1" thickBot="1">
      <c r="A3" s="798" t="s">
        <v>1256</v>
      </c>
      <c r="B3" s="799">
        <f ca="1">IF(ISERROR(B2*10000/F43),0,ROUND(B2*10000/F43,0))</f>
        <v>3941</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1403</v>
      </c>
      <c r="D5" s="2143" t="s">
        <v>1805</v>
      </c>
      <c r="E5" s="2137"/>
      <c r="F5" s="2138"/>
      <c r="G5" s="1786"/>
      <c r="H5" s="747">
        <v>1</v>
      </c>
      <c r="I5" s="748" t="s">
        <v>1802</v>
      </c>
      <c r="J5" s="53">
        <f ca="1">J6+J10+J12</f>
        <v>0</v>
      </c>
      <c r="K5" s="2143" t="s">
        <v>1805</v>
      </c>
      <c r="L5" s="2137"/>
      <c r="M5" s="2138"/>
    </row>
    <row r="6" spans="1:33" ht="18" customHeight="1">
      <c r="A6" s="1617" t="s">
        <v>1353</v>
      </c>
      <c r="B6" s="3948" t="s">
        <v>1807</v>
      </c>
      <c r="C6" s="749">
        <f ca="1">ROUND(F6*F8*F7*(1-F9)/10000,0)</f>
        <v>1401</v>
      </c>
      <c r="D6" s="2144" t="s">
        <v>1806</v>
      </c>
      <c r="E6" s="750" t="s">
        <v>1267</v>
      </c>
      <c r="F6" s="751">
        <f ca="1">INDIRECT("'数据-取费表'!u"&amp;$G$1)</f>
        <v>0.7</v>
      </c>
      <c r="G6" s="1786"/>
      <c r="H6" s="2151" t="s">
        <v>1812</v>
      </c>
      <c r="I6" s="3948" t="s">
        <v>1807</v>
      </c>
      <c r="J6" s="749">
        <f ca="1">ROUND(M6*M8*M7*(1-M9)/10000,0)</f>
        <v>0</v>
      </c>
      <c r="K6" s="332" t="s">
        <v>1266</v>
      </c>
      <c r="L6" s="750" t="s">
        <v>1267</v>
      </c>
      <c r="M6" s="751">
        <f ca="1">INDIRECT("'数据-取费表'!z"&amp;$G$1)</f>
        <v>0</v>
      </c>
    </row>
    <row r="7" spans="1:33" ht="18" customHeight="1">
      <c r="A7" s="2147"/>
      <c r="B7" s="3949"/>
      <c r="C7" s="754"/>
      <c r="D7" s="755"/>
      <c r="E7" s="750" t="s">
        <v>1268</v>
      </c>
      <c r="F7" s="751">
        <f ca="1">IF(INDIRECT("'数据-取费表'!ah"&amp;$G$1)="",INDIRECT("'数据-取费表'!k"&amp;$G$1),INDIRECT("'数据-取费表'!ah"&amp;$G$1))</f>
        <v>60917.47</v>
      </c>
      <c r="G7" s="1786"/>
      <c r="H7" s="2136"/>
      <c r="I7" s="3949"/>
      <c r="J7" s="754"/>
      <c r="K7" s="755"/>
      <c r="L7" s="750" t="s">
        <v>1268</v>
      </c>
      <c r="M7" s="751">
        <f ca="1">F7</f>
        <v>60917.47</v>
      </c>
    </row>
    <row r="8" spans="1:33" ht="18" customHeight="1">
      <c r="A8" s="2140"/>
      <c r="B8" s="3950"/>
      <c r="C8" s="754"/>
      <c r="D8" s="755"/>
      <c r="E8" s="750" t="s">
        <v>1269</v>
      </c>
      <c r="F8" s="751">
        <f ca="1">INDIRECT("'数据-取费表'!ai"&amp;$G$1)</f>
        <v>365</v>
      </c>
      <c r="G8" s="1786"/>
      <c r="H8" s="2136"/>
      <c r="I8" s="3950"/>
      <c r="J8" s="754"/>
      <c r="K8" s="755"/>
      <c r="L8" s="750" t="s">
        <v>1269</v>
      </c>
      <c r="M8" s="751">
        <f ca="1">INDIRECT("'数据-取费表'!ai"&amp;$G$1)</f>
        <v>365</v>
      </c>
    </row>
    <row r="9" spans="1:33" ht="18" customHeight="1">
      <c r="A9" s="752"/>
      <c r="B9" s="3951"/>
      <c r="C9" s="754"/>
      <c r="D9" s="755"/>
      <c r="E9" s="750" t="s">
        <v>1270</v>
      </c>
      <c r="F9" s="760">
        <f ca="1">INDIRECT("'数据-取费表'!w"&amp;$G$1)</f>
        <v>0.1</v>
      </c>
      <c r="G9" s="1786"/>
      <c r="H9" s="2152"/>
      <c r="I9" s="3950"/>
      <c r="J9" s="754"/>
      <c r="K9" s="755"/>
      <c r="L9" s="761" t="s">
        <v>1270</v>
      </c>
      <c r="M9" s="762">
        <f ca="1">INDIRECT("'数据-取费表'!ab"&amp;$G$1)</f>
        <v>0</v>
      </c>
    </row>
    <row r="10" spans="1:33" ht="18" customHeight="1">
      <c r="A10" s="1617" t="s">
        <v>1810</v>
      </c>
      <c r="B10" s="2141" t="s">
        <v>1803</v>
      </c>
      <c r="C10" s="765">
        <f ca="1">ROUND(IF(F10="押一",C6/12*F11,IF(F10="押二",C6/12*2*F11,IF(F10="押三",C6/12*3*F11,C11*F11))),0)</f>
        <v>2</v>
      </c>
      <c r="D10" s="2148" t="s">
        <v>2232</v>
      </c>
      <c r="E10" s="2145" t="s">
        <v>1808</v>
      </c>
      <c r="F10" s="2229" t="s">
        <v>3451</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17579</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12183</v>
      </c>
      <c r="D14" s="1734" t="s">
        <v>1274</v>
      </c>
      <c r="E14" s="1735"/>
      <c r="F14" s="771"/>
      <c r="G14" s="1786"/>
      <c r="H14" s="1454" t="s">
        <v>1359</v>
      </c>
      <c r="I14" s="1950" t="s">
        <v>2103</v>
      </c>
      <c r="J14" s="51">
        <f ca="1">C29</f>
        <v>17579</v>
      </c>
      <c r="K14" s="24"/>
      <c r="L14" s="767"/>
      <c r="M14" s="768"/>
    </row>
    <row r="15" spans="1:33" s="1788" customFormat="1" ht="18" customHeight="1" thickBot="1">
      <c r="A15" s="1453" t="s">
        <v>1410</v>
      </c>
      <c r="B15" s="750" t="s">
        <v>595</v>
      </c>
      <c r="C15" s="51">
        <f ca="1">ROUND(C14*F15,0)</f>
        <v>365</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254</v>
      </c>
      <c r="K16" s="1608" t="s">
        <v>1279</v>
      </c>
      <c r="L16" s="2133"/>
      <c r="M16" s="2138"/>
    </row>
    <row r="17" spans="1:33" s="1788" customFormat="1" ht="18" customHeight="1">
      <c r="A17" s="1453" t="s">
        <v>1412</v>
      </c>
      <c r="B17" s="750" t="s">
        <v>601</v>
      </c>
      <c r="C17" s="51">
        <f ca="1">ROUND(F17*(F43+INDIRECT("'数据-取费表'!S"&amp;$G$1))/10000,0)</f>
        <v>1232</v>
      </c>
      <c r="D17" s="750" t="s">
        <v>1280</v>
      </c>
      <c r="E17" s="750" t="s">
        <v>1281</v>
      </c>
      <c r="F17" s="54">
        <f>'数据-取费表'!B35</f>
        <v>200</v>
      </c>
      <c r="G17" s="3003"/>
      <c r="H17" s="1454" t="s">
        <v>1359</v>
      </c>
      <c r="I17" s="750" t="s">
        <v>604</v>
      </c>
      <c r="J17" s="2762">
        <f ca="1">ROUND(IF(AND(项目基本情况!B11="自然人",项目基本情况!B10="北京市"),J6*M17/(1+'数据-取费表'!C42),J18+J19+J20),2)</f>
        <v>77.83</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183</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13963</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279</v>
      </c>
      <c r="D20" s="777" t="s">
        <v>1288</v>
      </c>
      <c r="E20" s="750" t="s">
        <v>1276</v>
      </c>
      <c r="F20" s="775">
        <f>'数据-取费表'!B37</f>
        <v>0.02</v>
      </c>
      <c r="G20" s="3003"/>
      <c r="H20" s="1456" t="s">
        <v>1405</v>
      </c>
      <c r="I20" s="332" t="s">
        <v>1289</v>
      </c>
      <c r="J20" s="52">
        <f ca="1">ROUND(M20*M21/10000,2)</f>
        <v>77.83</v>
      </c>
      <c r="K20" s="779" t="s">
        <v>1290</v>
      </c>
      <c r="L20" s="750" t="s">
        <v>1291</v>
      </c>
      <c r="M20" s="608">
        <f>'数据-取费表'!B52</f>
        <v>8</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97287.329999999987</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175.79</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591</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8.0000000000000004E-4</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-254</v>
      </c>
      <c r="K25" s="2166" t="s">
        <v>1306</v>
      </c>
      <c r="L25" s="2167"/>
      <c r="M25" s="2168"/>
    </row>
    <row r="26" spans="1:33" ht="18" customHeight="1">
      <c r="A26" s="1453" t="s">
        <v>1360</v>
      </c>
      <c r="B26" s="750" t="s">
        <v>1785</v>
      </c>
      <c r="C26" s="51">
        <f ca="1">ROUND((C19+C20)*F26,0)</f>
        <v>1424</v>
      </c>
      <c r="D26" s="777" t="s">
        <v>1307</v>
      </c>
      <c r="E26" s="761" t="s">
        <v>1308</v>
      </c>
      <c r="F26" s="760">
        <f ca="1">INDIRECT("'数据-取费表'!q"&amp;$G$1)</f>
        <v>0.1</v>
      </c>
      <c r="G26" s="1786"/>
      <c r="H26" s="2149" t="s">
        <v>1309</v>
      </c>
      <c r="I26" s="1951" t="s">
        <v>2104</v>
      </c>
      <c r="J26" s="749">
        <f ca="1">IF(J5&lt;&gt;0,ROUND(J25*(1-((1+M28)/(1+M26))^M27)/(M26-M28),0),0)</f>
        <v>0</v>
      </c>
      <c r="K26" s="779" t="s">
        <v>1310</v>
      </c>
      <c r="L26" s="750" t="s">
        <v>1773</v>
      </c>
      <c r="M26" s="760">
        <f ca="1">INDIRECT("'数据-取费表'!I"&amp;$G$1)</f>
        <v>4.4999999999999998E-2</v>
      </c>
    </row>
    <row r="27" spans="1:33" ht="18" customHeight="1">
      <c r="A27" s="1453" t="s">
        <v>1361</v>
      </c>
      <c r="B27" s="750" t="s">
        <v>633</v>
      </c>
      <c r="C27" s="51">
        <f ca="1">ROUND(F21*F26,4)</f>
        <v>2E-3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17579</v>
      </c>
      <c r="D29" s="2163"/>
      <c r="E29" s="2164"/>
      <c r="F29" s="2165"/>
      <c r="G29" s="3003"/>
      <c r="H29" s="788" t="s">
        <v>1316</v>
      </c>
      <c r="I29" s="789" t="s">
        <v>1317</v>
      </c>
      <c r="J29" s="790">
        <f ca="1">ROUND(J26/(1+F40)^F41,0)</f>
        <v>0</v>
      </c>
      <c r="K29" s="791" t="s">
        <v>1318</v>
      </c>
      <c r="L29" s="792"/>
      <c r="M29" s="793">
        <f ca="1">INDIRECT("'数据-取费表'!k"&amp;$G$1)</f>
        <v>60917.47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519</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311.33</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73.39</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160.11000000000001</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77.83</v>
      </c>
      <c r="D34" s="779" t="s">
        <v>1328</v>
      </c>
      <c r="E34" s="750" t="s">
        <v>1329</v>
      </c>
      <c r="F34" s="608">
        <f>'数据-取费表'!B52</f>
        <v>8</v>
      </c>
      <c r="G34" s="1786"/>
      <c r="H34" s="1789"/>
      <c r="I34" s="800" t="s">
        <v>1342</v>
      </c>
      <c r="J34" s="801"/>
      <c r="K34" s="1804"/>
      <c r="L34" s="1803"/>
      <c r="M34" s="1803"/>
    </row>
    <row r="35" spans="1:18" ht="18" customHeight="1">
      <c r="A35" s="780"/>
      <c r="B35" s="759"/>
      <c r="C35" s="67"/>
      <c r="D35" s="781"/>
      <c r="E35" s="750" t="s">
        <v>1330</v>
      </c>
      <c r="F35" s="751">
        <f ca="1">INDIRECT("'数据-取费表'!r"&amp;$G$1)</f>
        <v>97287.329999999987</v>
      </c>
      <c r="G35" s="1786"/>
      <c r="H35" s="1789"/>
      <c r="I35" s="802" t="s">
        <v>1343</v>
      </c>
      <c r="J35" s="803">
        <f ca="1">ROUND(C13*J36,0)</f>
        <v>1055</v>
      </c>
      <c r="K35" s="1802"/>
      <c r="L35" s="1801"/>
      <c r="M35" s="1801"/>
    </row>
    <row r="36" spans="1:18" ht="18" customHeight="1">
      <c r="A36" s="1454" t="s">
        <v>1414</v>
      </c>
      <c r="B36" s="750" t="s">
        <v>1331</v>
      </c>
      <c r="C36" s="51">
        <f ca="1">ROUND(C29*F36,2)</f>
        <v>175.79</v>
      </c>
      <c r="D36" s="1732" t="s">
        <v>1332</v>
      </c>
      <c r="E36" s="750" t="s">
        <v>1325</v>
      </c>
      <c r="F36" s="782">
        <f ca="1">INDIRECT("'数据-取费表'!Ak"&amp;$G$1)</f>
        <v>0.01</v>
      </c>
      <c r="G36" s="1786"/>
      <c r="H36" s="1801"/>
      <c r="I36" s="804" t="s">
        <v>1344</v>
      </c>
      <c r="J36" s="805">
        <f ca="1">INDIRECT("'数据-取费表'!j"&amp;$G$1)</f>
        <v>0.06</v>
      </c>
      <c r="K36" s="1805"/>
      <c r="L36" s="1801"/>
      <c r="M36" s="1801"/>
    </row>
    <row r="37" spans="1:18" ht="18" customHeight="1">
      <c r="A37" s="1454" t="s">
        <v>1415</v>
      </c>
      <c r="B37" s="750" t="s">
        <v>626</v>
      </c>
      <c r="C37" s="51">
        <f ca="1">ROUND(C13*F37,2)</f>
        <v>17.579999999999998</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14.03</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884</v>
      </c>
      <c r="D39" s="2166" t="s">
        <v>1335</v>
      </c>
      <c r="E39" s="2167"/>
      <c r="F39" s="2168"/>
      <c r="G39" s="1786"/>
      <c r="H39" s="1801"/>
      <c r="I39" s="802" t="s">
        <v>1347</v>
      </c>
      <c r="J39" s="810">
        <f ca="1">ROUND(J35/C39,3)</f>
        <v>1.1930000000000001</v>
      </c>
      <c r="K39" s="1806"/>
      <c r="L39" s="1801"/>
      <c r="M39" s="1801"/>
    </row>
    <row r="40" spans="1:18" ht="18" customHeight="1">
      <c r="A40" s="747" t="s">
        <v>1420</v>
      </c>
      <c r="B40" s="1951" t="s">
        <v>1658</v>
      </c>
      <c r="C40" s="749">
        <f ca="1">ROUND(C39*(1-((1+F42)/(1+F40))^F41)/(F40-F42),0)</f>
        <v>24005</v>
      </c>
      <c r="D40" s="779" t="s">
        <v>1336</v>
      </c>
      <c r="E40" s="750" t="s">
        <v>1773</v>
      </c>
      <c r="F40" s="760">
        <f ca="1">INDIRECT("'数据-取费表'!I"&amp;$G$1)</f>
        <v>4.4999999999999998E-2</v>
      </c>
      <c r="G40" s="1786"/>
      <c r="H40" s="1786"/>
      <c r="I40" s="802" t="s">
        <v>1348</v>
      </c>
      <c r="J40" s="810">
        <f ca="1">1-J39</f>
        <v>-0.19300000000000006</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46.91</v>
      </c>
      <c r="G41" s="1786"/>
      <c r="H41" s="1741"/>
      <c r="I41" s="808" t="s">
        <v>1349</v>
      </c>
      <c r="J41" s="811"/>
      <c r="K41" s="1805"/>
      <c r="L41" s="1741"/>
      <c r="M41" s="1741"/>
    </row>
    <row r="42" spans="1:18" ht="18" customHeight="1">
      <c r="A42" s="756"/>
      <c r="B42" s="757"/>
      <c r="C42" s="758"/>
      <c r="D42" s="781"/>
      <c r="E42" s="750" t="s">
        <v>1338</v>
      </c>
      <c r="F42" s="760">
        <f ca="1">INDIRECT("'数据-取费表'!v"&amp;$G$1)</f>
        <v>0.02</v>
      </c>
      <c r="G42" s="1786"/>
      <c r="H42" s="1741"/>
      <c r="I42" s="812" t="s">
        <v>1350</v>
      </c>
      <c r="J42" s="810">
        <f ca="1">ROUND(C13/C40,3)</f>
        <v>0.73199999999999998</v>
      </c>
      <c r="K42" s="1805"/>
      <c r="L42" s="1741"/>
      <c r="M42" s="1741"/>
    </row>
    <row r="43" spans="1:18" ht="18" customHeight="1" thickBot="1">
      <c r="A43" s="788" t="s">
        <v>1316</v>
      </c>
      <c r="B43" s="789" t="s">
        <v>1339</v>
      </c>
      <c r="C43" s="790">
        <f ca="1">ROUND(C40*10000/F43,0)</f>
        <v>3941</v>
      </c>
      <c r="D43" s="791" t="s">
        <v>1340</v>
      </c>
      <c r="E43" s="792" t="s">
        <v>1341</v>
      </c>
      <c r="F43" s="793">
        <f ca="1">INDIRECT("'数据-取费表'!k"&amp;$G$1)</f>
        <v>60917.47</v>
      </c>
      <c r="G43" s="1786"/>
      <c r="H43" s="1741"/>
      <c r="I43" s="812" t="s">
        <v>1351</v>
      </c>
      <c r="J43" s="813">
        <f ca="1">1-J42</f>
        <v>0.26800000000000002</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-29263</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3452</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48.91</v>
      </c>
      <c r="M48" s="3005"/>
      <c r="O48" s="2090" t="s">
        <v>1733</v>
      </c>
      <c r="P48" s="2091" t="s">
        <v>1759</v>
      </c>
      <c r="Q48" s="2092">
        <f ca="1">C40+J29</f>
        <v>24005</v>
      </c>
      <c r="R48" s="2091" t="s">
        <v>1734</v>
      </c>
    </row>
    <row r="49" spans="1:18" s="1783" customFormat="1" ht="18" customHeight="1" thickBot="1">
      <c r="A49" s="752"/>
      <c r="B49" s="753"/>
      <c r="C49" s="754"/>
      <c r="D49" s="755"/>
      <c r="E49" s="750" t="s">
        <v>1268</v>
      </c>
      <c r="F49" s="751">
        <f ca="1">F7</f>
        <v>60917.47</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17579</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-3878</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6.5000000000000002E-2</v>
      </c>
      <c r="K52" s="2559" t="s">
        <v>1774</v>
      </c>
      <c r="L52" s="2077"/>
      <c r="M52" s="3005"/>
      <c r="O52" s="2093" t="s">
        <v>1740</v>
      </c>
      <c r="P52" s="2091" t="s">
        <v>1741</v>
      </c>
      <c r="Q52" s="2094">
        <f>J52</f>
        <v>6.5000000000000002E-2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46.91</v>
      </c>
      <c r="K53" s="3954" t="s">
        <v>2226</v>
      </c>
      <c r="L53" s="3955"/>
      <c r="M53" s="3005"/>
      <c r="O53" s="2093" t="s">
        <v>1742</v>
      </c>
      <c r="P53" s="2091" t="s">
        <v>1743</v>
      </c>
      <c r="Q53" s="2092">
        <f ca="1">J53</f>
        <v>46.91</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24005</v>
      </c>
      <c r="R54" s="2095" t="s">
        <v>1746</v>
      </c>
    </row>
    <row r="55" spans="1:18" s="1783" customFormat="1" ht="18" customHeight="1" thickTop="1" thickBot="1">
      <c r="A55" s="763">
        <v>2</v>
      </c>
      <c r="B55" s="764" t="s">
        <v>592</v>
      </c>
      <c r="C55" s="765">
        <f ca="1">C13</f>
        <v>17579</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17579</v>
      </c>
      <c r="D56" s="2245"/>
      <c r="E56" s="750"/>
      <c r="F56" s="775"/>
      <c r="I56" s="2573" t="s">
        <v>1711</v>
      </c>
      <c r="J56" s="2583" t="s">
        <v>3432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271</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24005</v>
      </c>
      <c r="R57" s="2091" t="s">
        <v>1734</v>
      </c>
    </row>
    <row r="58" spans="1:18" s="1783" customFormat="1" ht="28.5" customHeight="1" thickBot="1">
      <c r="A58" s="1454" t="s">
        <v>1353</v>
      </c>
      <c r="B58" s="750" t="s">
        <v>604</v>
      </c>
      <c r="C58" s="2762">
        <f ca="1">ROUND(IF(AND(项目基本情况!B11="自然人",项目基本情况!B10="北京市"),C48*F58/(1+'数据-取费表'!C42),C59+C60+C61),2)</f>
        <v>77.83</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77.83</v>
      </c>
      <c r="D61" s="779" t="s">
        <v>616</v>
      </c>
      <c r="E61" s="750" t="s">
        <v>617</v>
      </c>
      <c r="F61" s="608">
        <f t="shared" si="0"/>
        <v>8</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97287.329999999987</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175.79</v>
      </c>
      <c r="D63" s="2245" t="s">
        <v>1332</v>
      </c>
      <c r="E63" s="750" t="s">
        <v>1276</v>
      </c>
      <c r="F63" s="782">
        <f t="shared" ca="1" si="0"/>
        <v>0.01</v>
      </c>
      <c r="I63" s="2579" t="s">
        <v>1724</v>
      </c>
      <c r="J63" s="2580">
        <v>70</v>
      </c>
      <c r="K63" s="2580">
        <v>50</v>
      </c>
      <c r="L63" s="2580">
        <v>80</v>
      </c>
      <c r="M63" s="2582">
        <v>0.02</v>
      </c>
      <c r="O63" s="2090" t="s">
        <v>1745</v>
      </c>
      <c r="P63" s="2091" t="s">
        <v>1762</v>
      </c>
      <c r="Q63" s="2092">
        <f ca="1">Q57+Q58</f>
        <v>24005</v>
      </c>
      <c r="R63" s="2095" t="s">
        <v>1746</v>
      </c>
    </row>
    <row r="64" spans="1:18" s="1783" customFormat="1" ht="16.5" thickBot="1">
      <c r="A64" s="1454" t="s">
        <v>1415</v>
      </c>
      <c r="B64" s="750" t="s">
        <v>626</v>
      </c>
      <c r="C64" s="51">
        <f ca="1">ROUND(C55*F64,2)</f>
        <v>17.579999999999998</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-271</v>
      </c>
      <c r="D66" s="2244" t="s">
        <v>647</v>
      </c>
      <c r="E66" s="2243"/>
      <c r="F66" s="785"/>
      <c r="K66" s="1809"/>
      <c r="O66" s="2090" t="s">
        <v>1733</v>
      </c>
      <c r="P66" s="2091" t="s">
        <v>1763</v>
      </c>
      <c r="Q66" s="2092">
        <f ca="1">C40+J29</f>
        <v>24005</v>
      </c>
      <c r="R66" s="2091" t="s">
        <v>1734</v>
      </c>
    </row>
    <row r="67" spans="1:18" s="1783" customFormat="1" ht="20.25" thickBot="1">
      <c r="A67" s="747" t="s">
        <v>1309</v>
      </c>
      <c r="B67" s="1951" t="s">
        <v>1658</v>
      </c>
      <c r="C67" s="749">
        <f ca="1">ROUND(C66*(1-((1+F69)/(1+F67))^F68)/(F67-F69),0)</f>
        <v>-5258</v>
      </c>
      <c r="D67" s="779" t="s">
        <v>651</v>
      </c>
      <c r="E67" s="750" t="s">
        <v>652</v>
      </c>
      <c r="F67" s="760">
        <f ca="1">F40</f>
        <v>4.4999999999999998E-2</v>
      </c>
      <c r="K67" s="1809"/>
      <c r="O67" s="2090" t="s">
        <v>1735</v>
      </c>
      <c r="P67" s="2091" t="s">
        <v>1766</v>
      </c>
      <c r="Q67" s="2092">
        <f ca="1">L60</f>
        <v>0</v>
      </c>
      <c r="R67" s="2095" t="s">
        <v>1768</v>
      </c>
    </row>
    <row r="68" spans="1:18" ht="21.75" thickBot="1">
      <c r="A68" s="752"/>
      <c r="B68" s="753"/>
      <c r="C68" s="754"/>
      <c r="D68" s="786" t="s">
        <v>1337</v>
      </c>
      <c r="E68" s="750" t="s">
        <v>1313</v>
      </c>
      <c r="F68" s="787">
        <f ca="1">F41</f>
        <v>46.91</v>
      </c>
      <c r="O68" s="2093" t="s">
        <v>1737</v>
      </c>
      <c r="P68" s="2091" t="s">
        <v>1767</v>
      </c>
      <c r="Q68" s="2097">
        <f ca="1">L51</f>
        <v>-3878</v>
      </c>
      <c r="R68" s="2098" t="s">
        <v>1770</v>
      </c>
    </row>
    <row r="69" spans="1:18" ht="20.25" thickBot="1">
      <c r="A69" s="756"/>
      <c r="B69" s="757"/>
      <c r="C69" s="758"/>
      <c r="D69" s="781"/>
      <c r="E69" s="750" t="s">
        <v>657</v>
      </c>
      <c r="F69" s="2065"/>
      <c r="O69" s="2093" t="s">
        <v>1738</v>
      </c>
      <c r="P69" s="2099" t="s">
        <v>1752</v>
      </c>
      <c r="Q69" s="2092">
        <f ca="1">ROUND(Q70-Q71*Q72,0)</f>
        <v>-171</v>
      </c>
      <c r="R69" s="2095"/>
    </row>
    <row r="70" spans="1:18" ht="15.75" thickBot="1">
      <c r="A70" s="788" t="s">
        <v>1316</v>
      </c>
      <c r="B70" s="789" t="s">
        <v>1339</v>
      </c>
      <c r="C70" s="790">
        <f ca="1">ROUND(C67*10000/F70,0)</f>
        <v>-863</v>
      </c>
      <c r="D70" s="791" t="s">
        <v>1340</v>
      </c>
      <c r="E70" s="792" t="s">
        <v>1341</v>
      </c>
      <c r="F70" s="793">
        <f ca="1">F43</f>
        <v>60917.47</v>
      </c>
      <c r="O70" s="2093" t="s">
        <v>1753</v>
      </c>
      <c r="P70" s="2099" t="s">
        <v>1754</v>
      </c>
      <c r="Q70" s="2092">
        <f ca="1">C39</f>
        <v>884</v>
      </c>
      <c r="R70" s="2091" t="s">
        <v>1734</v>
      </c>
    </row>
    <row r="71" spans="1:18" ht="15.75" thickBot="1">
      <c r="O71" s="2093" t="s">
        <v>1755</v>
      </c>
      <c r="P71" s="2099" t="s">
        <v>1756</v>
      </c>
      <c r="Q71" s="2092">
        <f ca="1">C13</f>
        <v>17579</v>
      </c>
      <c r="R71" s="2091" t="s">
        <v>1734</v>
      </c>
    </row>
    <row r="72" spans="1:18" ht="15.75" thickBot="1">
      <c r="O72" s="2093" t="s">
        <v>1757</v>
      </c>
      <c r="P72" s="2099" t="s">
        <v>1758</v>
      </c>
      <c r="Q72" s="2094">
        <f ca="1">J36</f>
        <v>0.06</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24005</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56" t="s">
        <v>2303</v>
      </c>
      <c r="K2" s="3957"/>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58" t="s">
        <v>2313</v>
      </c>
      <c r="K3" s="3959"/>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58" t="s">
        <v>2315</v>
      </c>
      <c r="K4" s="3959"/>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60" t="s">
        <v>2319</v>
      </c>
      <c r="B6" s="3961"/>
      <c r="C6" s="3962"/>
      <c r="D6" s="3098"/>
      <c r="E6" s="3099"/>
      <c r="F6" s="3100"/>
      <c r="G6" s="3101"/>
      <c r="H6" s="3076"/>
      <c r="I6" s="3077"/>
      <c r="J6" s="3963">
        <v>1</v>
      </c>
      <c r="K6" s="3964"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63"/>
      <c r="K7" s="3965"/>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67" t="s">
        <v>2333</v>
      </c>
      <c r="C8" s="3968"/>
      <c r="D8" s="3117" t="s">
        <v>2334</v>
      </c>
      <c r="E8" s="3118" t="s">
        <v>2335</v>
      </c>
      <c r="F8" s="3119" t="s">
        <v>2336</v>
      </c>
      <c r="G8" s="3120"/>
      <c r="H8" s="3076"/>
      <c r="I8" s="3077"/>
      <c r="J8" s="3963"/>
      <c r="K8" s="3965"/>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67" t="s">
        <v>2339</v>
      </c>
      <c r="C9" s="3968"/>
      <c r="D9" s="3117">
        <f>ROUND(D6*E9,0)</f>
        <v>0</v>
      </c>
      <c r="E9" s="3121"/>
      <c r="F9" s="3122" t="s">
        <v>2340</v>
      </c>
      <c r="G9" s="3101"/>
      <c r="H9" s="3076"/>
      <c r="I9" s="3077"/>
      <c r="J9" s="3963"/>
      <c r="K9" s="3965"/>
      <c r="L9" s="3111" t="s">
        <v>2341</v>
      </c>
      <c r="M9" s="3112"/>
      <c r="N9" s="3088"/>
      <c r="O9" s="3113"/>
      <c r="P9" s="3113"/>
      <c r="Q9" s="3114">
        <v>365</v>
      </c>
      <c r="R9" s="3115">
        <f t="shared" si="0"/>
        <v>0</v>
      </c>
      <c r="S9" s="3068"/>
      <c r="T9" s="3068"/>
      <c r="U9" s="3068"/>
      <c r="V9" s="3077"/>
    </row>
    <row r="10" spans="1:22" s="3081" customFormat="1" ht="13.15" customHeight="1">
      <c r="A10" s="3116">
        <v>2</v>
      </c>
      <c r="B10" s="3967" t="s">
        <v>2342</v>
      </c>
      <c r="C10" s="3968"/>
      <c r="D10" s="3117">
        <f>ROUND(D6*E10,0)</f>
        <v>0</v>
      </c>
      <c r="E10" s="3121"/>
      <c r="F10" s="3122" t="s">
        <v>2343</v>
      </c>
      <c r="G10" s="3101"/>
      <c r="H10" s="3076"/>
      <c r="I10" s="3077"/>
      <c r="J10" s="3963"/>
      <c r="K10" s="3965"/>
      <c r="L10" s="3111" t="s">
        <v>2344</v>
      </c>
      <c r="M10" s="3112"/>
      <c r="N10" s="3088"/>
      <c r="O10" s="3113"/>
      <c r="P10" s="3113"/>
      <c r="Q10" s="3114">
        <v>365</v>
      </c>
      <c r="R10" s="3115">
        <f t="shared" si="0"/>
        <v>0</v>
      </c>
      <c r="S10" s="3068"/>
      <c r="T10" s="3068"/>
      <c r="U10" s="3068"/>
      <c r="V10" s="3077"/>
    </row>
    <row r="11" spans="1:22" s="3081" customFormat="1" ht="13.15" customHeight="1">
      <c r="A11" s="3116">
        <v>3</v>
      </c>
      <c r="B11" s="3967" t="s">
        <v>2345</v>
      </c>
      <c r="C11" s="3968"/>
      <c r="D11" s="3117">
        <f>D12+D14+D15+D16</f>
        <v>0</v>
      </c>
      <c r="E11" s="3123" t="e">
        <f>D11/D6</f>
        <v>#DIV/0!</v>
      </c>
      <c r="F11" s="3119"/>
      <c r="G11" s="3120"/>
      <c r="H11" s="3076"/>
      <c r="I11" s="3077"/>
      <c r="J11" s="3963"/>
      <c r="K11" s="3965"/>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69" t="s">
        <v>2348</v>
      </c>
      <c r="C12" s="3970"/>
      <c r="D12" s="3125">
        <f>ROUND(D13*1.2%*(1-30%),0)</f>
        <v>0</v>
      </c>
      <c r="E12" s="3126">
        <v>1.2E-2</v>
      </c>
      <c r="F12" s="3119" t="s">
        <v>2349</v>
      </c>
      <c r="G12" s="3120"/>
      <c r="H12" s="3076"/>
      <c r="I12" s="3077"/>
      <c r="J12" s="3963"/>
      <c r="K12" s="3965"/>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63"/>
      <c r="K13" s="3965"/>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69" t="s">
        <v>2354</v>
      </c>
      <c r="C14" s="3970"/>
      <c r="D14" s="3125">
        <f>ROUND(E14*B5/10000,0)</f>
        <v>0</v>
      </c>
      <c r="E14" s="3114"/>
      <c r="F14" s="3119" t="s">
        <v>2355</v>
      </c>
      <c r="G14" s="3120"/>
      <c r="H14" s="3076"/>
      <c r="I14" s="3077"/>
      <c r="J14" s="3963"/>
      <c r="K14" s="3966"/>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69" t="s">
        <v>2358</v>
      </c>
      <c r="C15" s="3970"/>
      <c r="D15" s="3125">
        <f>ROUND(D6*E15,0)</f>
        <v>0</v>
      </c>
      <c r="E15" s="3126">
        <v>5.5E-2</v>
      </c>
      <c r="F15" s="3119" t="s">
        <v>2359</v>
      </c>
      <c r="G15" s="3101"/>
      <c r="H15" s="3076"/>
      <c r="I15" s="3077"/>
      <c r="J15" s="3963">
        <v>2</v>
      </c>
      <c r="K15" s="3964"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69" t="s">
        <v>2369</v>
      </c>
      <c r="C16" s="3970"/>
      <c r="D16" s="3136">
        <f>D6*E16</f>
        <v>0</v>
      </c>
      <c r="E16" s="3137"/>
      <c r="F16" s="3122" t="s">
        <v>2370</v>
      </c>
      <c r="G16" s="3101"/>
      <c r="H16" s="3076"/>
      <c r="I16" s="3077"/>
      <c r="J16" s="3963"/>
      <c r="K16" s="3965"/>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71" t="s">
        <v>2372</v>
      </c>
      <c r="C17" s="3972"/>
      <c r="D17" s="3139">
        <f>ROUND(D6*E17,0)</f>
        <v>0</v>
      </c>
      <c r="E17" s="3140"/>
      <c r="F17" s="3141" t="s">
        <v>2373</v>
      </c>
      <c r="G17" s="3101"/>
      <c r="H17" s="3076"/>
      <c r="I17" s="3077"/>
      <c r="J17" s="3963"/>
      <c r="K17" s="3965"/>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63"/>
      <c r="K18" s="3965"/>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63"/>
      <c r="K19" s="3966"/>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63">
        <v>3</v>
      </c>
      <c r="K20" s="3964"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63"/>
      <c r="K21" s="3965"/>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63"/>
      <c r="K22" s="3965"/>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63"/>
      <c r="K23" s="3965"/>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63"/>
      <c r="K24" s="3966"/>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73">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7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56" t="s">
        <v>2415</v>
      </c>
      <c r="K32" s="3957"/>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58" t="s">
        <v>2419</v>
      </c>
      <c r="K33" s="3959"/>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58" t="s">
        <v>2421</v>
      </c>
      <c r="K34" s="395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63">
        <v>1</v>
      </c>
      <c r="K36" s="3964"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63"/>
      <c r="K37" s="3965"/>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63"/>
      <c r="K38" s="3965"/>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63"/>
      <c r="K39" s="3965"/>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63"/>
      <c r="K40" s="3966"/>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73">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7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1663</v>
      </c>
      <c r="D13" s="3013">
        <f>'数据-汇总表'!E6</f>
        <v>61600.22</v>
      </c>
      <c r="E13" s="3013">
        <f>'数据-取费表'!B28</f>
        <v>270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0.85299999999999998</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1" t="s">
        <v>471</v>
      </c>
      <c r="D4" s="3862"/>
      <c r="E4" s="3863" t="s">
        <v>472</v>
      </c>
      <c r="F4" s="3864"/>
      <c r="G4" s="3861" t="s">
        <v>473</v>
      </c>
      <c r="H4" s="3862"/>
      <c r="I4" s="3861" t="s">
        <v>474</v>
      </c>
      <c r="J4" s="3862"/>
      <c r="K4" s="818" t="s">
        <v>475</v>
      </c>
      <c r="L4" s="1856"/>
      <c r="M4" s="1857"/>
      <c r="N4" s="1857"/>
      <c r="O4" s="1857"/>
      <c r="P4" s="3865" t="s">
        <v>476</v>
      </c>
      <c r="Q4" s="3866"/>
      <c r="R4" s="3847" t="s">
        <v>472</v>
      </c>
      <c r="S4" s="3848"/>
      <c r="T4" s="3847" t="s">
        <v>473</v>
      </c>
      <c r="U4" s="3848"/>
      <c r="V4" s="3873" t="s">
        <v>474</v>
      </c>
      <c r="W4" s="3873"/>
      <c r="X4" s="1380"/>
      <c r="Y4" s="3847" t="s">
        <v>476</v>
      </c>
      <c r="Z4" s="3848"/>
      <c r="AA4" s="3858" t="s">
        <v>472</v>
      </c>
      <c r="AB4" s="3858" t="s">
        <v>473</v>
      </c>
      <c r="AC4" s="3858" t="s">
        <v>474</v>
      </c>
    </row>
    <row r="5" spans="1:29" ht="15">
      <c r="A5" s="485"/>
      <c r="B5" s="486"/>
      <c r="C5" s="3851" t="s">
        <v>2192</v>
      </c>
      <c r="D5" s="3852"/>
      <c r="E5" s="3874" t="s">
        <v>2193</v>
      </c>
      <c r="F5" s="3875"/>
      <c r="G5" s="3851" t="s">
        <v>2194</v>
      </c>
      <c r="H5" s="3852"/>
      <c r="I5" s="3851" t="s">
        <v>2195</v>
      </c>
      <c r="J5" s="3852"/>
      <c r="K5" s="819"/>
      <c r="L5" s="1856"/>
      <c r="M5" s="1857"/>
      <c r="N5" s="1857"/>
      <c r="O5" s="1857"/>
      <c r="P5" s="3867"/>
      <c r="Q5" s="3868"/>
      <c r="R5" s="3849"/>
      <c r="S5" s="3850"/>
      <c r="T5" s="3849"/>
      <c r="U5" s="3850"/>
      <c r="V5" s="3873"/>
      <c r="W5" s="3873"/>
      <c r="X5" s="1380"/>
      <c r="Y5" s="3849"/>
      <c r="Z5" s="3850"/>
      <c r="AA5" s="3859"/>
      <c r="AB5" s="3859"/>
      <c r="AC5" s="3859"/>
    </row>
    <row r="6" spans="1:29" ht="15.75" thickBot="1">
      <c r="A6" s="487"/>
      <c r="B6" s="488"/>
      <c r="C6" s="3853" t="s">
        <v>2196</v>
      </c>
      <c r="D6" s="3854"/>
      <c r="E6" s="3856" t="s">
        <v>2196</v>
      </c>
      <c r="F6" s="3857"/>
      <c r="G6" s="3853" t="s">
        <v>2196</v>
      </c>
      <c r="H6" s="3854"/>
      <c r="I6" s="3853" t="s">
        <v>2196</v>
      </c>
      <c r="J6" s="3854"/>
      <c r="K6" s="819" t="s">
        <v>477</v>
      </c>
      <c r="L6" s="1856"/>
      <c r="M6" s="1857"/>
      <c r="N6" s="1857"/>
      <c r="O6" s="1857"/>
      <c r="P6" s="3869"/>
      <c r="Q6" s="3870"/>
      <c r="R6" s="3849"/>
      <c r="S6" s="3850"/>
      <c r="T6" s="3871"/>
      <c r="U6" s="3872"/>
      <c r="V6" s="3873"/>
      <c r="W6" s="3873"/>
      <c r="X6" s="1380"/>
      <c r="Y6" s="3871"/>
      <c r="Z6" s="3872"/>
      <c r="AA6" s="3860"/>
      <c r="AB6" s="3860"/>
      <c r="AC6" s="3860"/>
    </row>
    <row r="7" spans="1:29" s="1118" customFormat="1" ht="15.75" thickBot="1">
      <c r="A7" s="2392"/>
      <c r="B7" s="2399" t="s">
        <v>478</v>
      </c>
      <c r="C7" s="489">
        <f>'数据-取费表'!B2</f>
        <v>44965</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45" t="s">
        <v>479</v>
      </c>
      <c r="Q7" s="3855"/>
      <c r="R7" s="1381" t="s">
        <v>10</v>
      </c>
      <c r="S7" s="1382">
        <f t="shared" ref="S7:S15" si="0">F7</f>
        <v>0</v>
      </c>
      <c r="T7" s="1381" t="s">
        <v>10</v>
      </c>
      <c r="U7" s="1382">
        <f t="shared" ref="U7:U15" si="1">H7</f>
        <v>0</v>
      </c>
      <c r="V7" s="1381" t="s">
        <v>10</v>
      </c>
      <c r="W7" s="1382">
        <f t="shared" ref="W7:W15"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45" t="s">
        <v>482</v>
      </c>
      <c r="Q8" s="3846"/>
      <c r="R8" s="1381" t="s">
        <v>10</v>
      </c>
      <c r="S8" s="1382">
        <f t="shared" si="0"/>
        <v>0</v>
      </c>
      <c r="T8" s="1381" t="s">
        <v>10</v>
      </c>
      <c r="U8" s="1382">
        <f t="shared" si="1"/>
        <v>0</v>
      </c>
      <c r="V8" s="1381" t="s">
        <v>10</v>
      </c>
      <c r="W8" s="1382">
        <f t="shared" si="2"/>
        <v>0</v>
      </c>
      <c r="X8" s="1383"/>
      <c r="Y8" s="3845" t="s">
        <v>482</v>
      </c>
      <c r="Z8" s="3846"/>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80" t="s">
        <v>484</v>
      </c>
      <c r="Q9" s="1050" t="str">
        <f t="shared" ref="Q9:Q15" si="6">B9</f>
        <v>用途</v>
      </c>
      <c r="R9" s="1381" t="s">
        <v>5</v>
      </c>
      <c r="S9" s="1382">
        <f t="shared" si="0"/>
        <v>100</v>
      </c>
      <c r="T9" s="1381" t="s">
        <v>5</v>
      </c>
      <c r="U9" s="1382">
        <f t="shared" si="1"/>
        <v>100</v>
      </c>
      <c r="V9" s="1381" t="s">
        <v>5</v>
      </c>
      <c r="W9" s="1382">
        <f t="shared" si="2"/>
        <v>100</v>
      </c>
      <c r="X9" s="1383"/>
      <c r="Y9" s="379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794"/>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80"/>
      <c r="Q11" s="1050" t="str">
        <f t="shared" si="6"/>
        <v>容积率</v>
      </c>
      <c r="R11" s="1381" t="s">
        <v>8</v>
      </c>
      <c r="S11" s="1382" t="e">
        <f t="shared" si="0"/>
        <v>#N/A</v>
      </c>
      <c r="T11" s="1381" t="s">
        <v>8</v>
      </c>
      <c r="U11" s="1382" t="e">
        <f t="shared" si="1"/>
        <v>#N/A</v>
      </c>
      <c r="V11" s="1381" t="s">
        <v>8</v>
      </c>
      <c r="W11" s="1382" t="e">
        <f t="shared" si="2"/>
        <v>#N/A</v>
      </c>
      <c r="X11" s="1383"/>
      <c r="Y11" s="379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80"/>
      <c r="Q12" s="1050">
        <f t="shared" si="6"/>
        <v>111</v>
      </c>
      <c r="R12" s="1381" t="s">
        <v>8</v>
      </c>
      <c r="S12" s="1382">
        <f t="shared" si="0"/>
        <v>100</v>
      </c>
      <c r="T12" s="1381" t="s">
        <v>8</v>
      </c>
      <c r="U12" s="1382">
        <f t="shared" si="1"/>
        <v>100</v>
      </c>
      <c r="V12" s="1381" t="s">
        <v>8</v>
      </c>
      <c r="W12" s="1382">
        <f t="shared" si="2"/>
        <v>100</v>
      </c>
      <c r="X12" s="1383"/>
      <c r="Y12" s="379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80"/>
      <c r="Q13" s="1050">
        <f t="shared" si="6"/>
        <v>111</v>
      </c>
      <c r="R13" s="1381" t="s">
        <v>8</v>
      </c>
      <c r="S13" s="1382">
        <f t="shared" si="0"/>
        <v>100</v>
      </c>
      <c r="T13" s="1381" t="s">
        <v>8</v>
      </c>
      <c r="U13" s="1382">
        <f t="shared" si="1"/>
        <v>100</v>
      </c>
      <c r="V13" s="1381" t="s">
        <v>8</v>
      </c>
      <c r="W13" s="1382">
        <f t="shared" si="2"/>
        <v>100</v>
      </c>
      <c r="X13" s="1383"/>
      <c r="Y13" s="3794"/>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80"/>
      <c r="Q14" s="1050">
        <f t="shared" si="6"/>
        <v>111</v>
      </c>
      <c r="R14" s="1381" t="s">
        <v>8</v>
      </c>
      <c r="S14" s="1382">
        <f t="shared" si="0"/>
        <v>100</v>
      </c>
      <c r="T14" s="1381" t="s">
        <v>8</v>
      </c>
      <c r="U14" s="1382">
        <f t="shared" si="1"/>
        <v>100</v>
      </c>
      <c r="V14" s="1381" t="s">
        <v>8</v>
      </c>
      <c r="W14" s="1382">
        <f t="shared" si="2"/>
        <v>100</v>
      </c>
      <c r="X14" s="1383"/>
      <c r="Y14" s="3794"/>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6" t="s">
        <v>489</v>
      </c>
      <c r="Q15" s="1385" t="str">
        <f t="shared" si="6"/>
        <v>居住社区成熟度</v>
      </c>
      <c r="R15" s="1386" t="s">
        <v>8</v>
      </c>
      <c r="S15" s="1387">
        <f t="shared" si="0"/>
        <v>100</v>
      </c>
      <c r="T15" s="1386" t="s">
        <v>8</v>
      </c>
      <c r="U15" s="1387">
        <f t="shared" si="1"/>
        <v>100</v>
      </c>
      <c r="V15" s="1386" t="s">
        <v>8</v>
      </c>
      <c r="W15" s="1387">
        <f t="shared" si="2"/>
        <v>100</v>
      </c>
      <c r="X15" s="1380"/>
      <c r="Y15" s="3876"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7"/>
      <c r="Q16" s="1385"/>
      <c r="R16" s="1386"/>
      <c r="S16" s="1387"/>
      <c r="T16" s="1386"/>
      <c r="U16" s="1387"/>
      <c r="V16" s="1386"/>
      <c r="W16" s="1387"/>
      <c r="X16" s="1380"/>
      <c r="Y16" s="387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7"/>
      <c r="Q17" s="1385" t="str">
        <f>B17</f>
        <v>交通便捷度</v>
      </c>
      <c r="R17" s="1386" t="s">
        <v>8</v>
      </c>
      <c r="S17" s="1387">
        <f>F17</f>
        <v>100</v>
      </c>
      <c r="T17" s="1386" t="s">
        <v>8</v>
      </c>
      <c r="U17" s="1387">
        <f>H17</f>
        <v>100</v>
      </c>
      <c r="V17" s="1386" t="s">
        <v>8</v>
      </c>
      <c r="W17" s="1387">
        <f>J17</f>
        <v>100</v>
      </c>
      <c r="X17" s="1380"/>
      <c r="Y17" s="387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7"/>
      <c r="Q18" s="1385"/>
      <c r="R18" s="1386"/>
      <c r="S18" s="1387"/>
      <c r="T18" s="1386"/>
      <c r="U18" s="1387"/>
      <c r="V18" s="1386"/>
      <c r="W18" s="1387"/>
      <c r="X18" s="1380"/>
      <c r="Y18" s="387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7"/>
      <c r="Q19" s="1385" t="str">
        <f>B19</f>
        <v>公共配套设施</v>
      </c>
      <c r="R19" s="1386" t="s">
        <v>8</v>
      </c>
      <c r="S19" s="1387">
        <f>F19</f>
        <v>100</v>
      </c>
      <c r="T19" s="1386" t="s">
        <v>8</v>
      </c>
      <c r="U19" s="1387">
        <f>H19</f>
        <v>100</v>
      </c>
      <c r="V19" s="1386" t="s">
        <v>8</v>
      </c>
      <c r="W19" s="1387">
        <f>J19</f>
        <v>100</v>
      </c>
      <c r="X19" s="1380"/>
      <c r="Y19" s="387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7"/>
      <c r="Q20" s="1385"/>
      <c r="R20" s="1386"/>
      <c r="S20" s="1387"/>
      <c r="T20" s="1386"/>
      <c r="U20" s="1387"/>
      <c r="V20" s="1386"/>
      <c r="W20" s="1387"/>
      <c r="X20" s="1380"/>
      <c r="Y20" s="387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7"/>
      <c r="Q21" s="2193" t="str">
        <f>B21</f>
        <v>基础设施水平</v>
      </c>
      <c r="R21" s="1386" t="s">
        <v>8</v>
      </c>
      <c r="S21" s="1387">
        <f>F21</f>
        <v>100</v>
      </c>
      <c r="T21" s="1386" t="s">
        <v>8</v>
      </c>
      <c r="U21" s="1387">
        <f>H21</f>
        <v>100</v>
      </c>
      <c r="V21" s="1386" t="s">
        <v>8</v>
      </c>
      <c r="W21" s="1387">
        <f>J21</f>
        <v>100</v>
      </c>
      <c r="X21" s="2195"/>
      <c r="Y21" s="387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7"/>
      <c r="Q22" s="2193"/>
      <c r="R22" s="1386"/>
      <c r="S22" s="1387"/>
      <c r="T22" s="1386"/>
      <c r="U22" s="1387"/>
      <c r="V22" s="1386"/>
      <c r="W22" s="1387"/>
      <c r="X22" s="2195"/>
      <c r="Y22" s="3877"/>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7"/>
      <c r="Q23" s="1385" t="str">
        <f>B23</f>
        <v>自然及人文环境</v>
      </c>
      <c r="R23" s="1386" t="s">
        <v>8</v>
      </c>
      <c r="S23" s="1387">
        <f>F23</f>
        <v>100</v>
      </c>
      <c r="T23" s="1386" t="s">
        <v>8</v>
      </c>
      <c r="U23" s="1387">
        <f>H23</f>
        <v>100</v>
      </c>
      <c r="V23" s="1386" t="s">
        <v>8</v>
      </c>
      <c r="W23" s="1387">
        <f>J23</f>
        <v>100</v>
      </c>
      <c r="X23" s="1380"/>
      <c r="Y23" s="387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7"/>
      <c r="Q24" s="1385"/>
      <c r="R24" s="1386"/>
      <c r="S24" s="1387"/>
      <c r="T24" s="1386"/>
      <c r="U24" s="1387"/>
      <c r="V24" s="1386"/>
      <c r="W24" s="1387"/>
      <c r="X24" s="1380"/>
      <c r="Y24" s="3877"/>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7"/>
      <c r="Q25" s="1385" t="str">
        <f t="shared" ref="Q25:Q46" si="8">B25</f>
        <v>楼层-1</v>
      </c>
      <c r="R25" s="1386" t="s">
        <v>8</v>
      </c>
      <c r="S25" s="1387">
        <f>F25</f>
        <v>100</v>
      </c>
      <c r="T25" s="1386" t="s">
        <v>8</v>
      </c>
      <c r="U25" s="1387">
        <f>H25</f>
        <v>100</v>
      </c>
      <c r="V25" s="1386" t="s">
        <v>8</v>
      </c>
      <c r="W25" s="1387">
        <f>J25</f>
        <v>100</v>
      </c>
      <c r="X25" s="1380"/>
      <c r="Y25" s="3877"/>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7"/>
      <c r="Q26" s="1385" t="str">
        <f t="shared" si="8"/>
        <v>朝向</v>
      </c>
      <c r="R26" s="1386" t="s">
        <v>8</v>
      </c>
      <c r="S26" s="1387">
        <f>F26</f>
        <v>100</v>
      </c>
      <c r="T26" s="1386" t="s">
        <v>8</v>
      </c>
      <c r="U26" s="1387">
        <f>H26</f>
        <v>100</v>
      </c>
      <c r="V26" s="1386" t="s">
        <v>8</v>
      </c>
      <c r="W26" s="1387">
        <f>J26</f>
        <v>100</v>
      </c>
      <c r="X26" s="1380"/>
      <c r="Y26" s="3877"/>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7"/>
      <c r="Q27" s="1050" t="str">
        <f t="shared" si="8"/>
        <v>道路级别</v>
      </c>
      <c r="R27" s="1381" t="s">
        <v>8</v>
      </c>
      <c r="S27" s="1382">
        <f>F27</f>
        <v>100</v>
      </c>
      <c r="T27" s="1381" t="s">
        <v>8</v>
      </c>
      <c r="U27" s="1382">
        <f>H27</f>
        <v>100</v>
      </c>
      <c r="V27" s="1381" t="s">
        <v>8</v>
      </c>
      <c r="W27" s="1382">
        <f>J27</f>
        <v>100</v>
      </c>
      <c r="X27" s="1383"/>
      <c r="Y27" s="3877"/>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7"/>
      <c r="Q28" s="1385">
        <f t="shared" si="8"/>
        <v>111</v>
      </c>
      <c r="R28" s="1386" t="s">
        <v>8</v>
      </c>
      <c r="S28" s="1387">
        <f t="shared" ref="S28:S46" si="9">F28</f>
        <v>100</v>
      </c>
      <c r="T28" s="1386" t="s">
        <v>8</v>
      </c>
      <c r="U28" s="1387">
        <f t="shared" ref="U28:U46" si="10">H28</f>
        <v>100</v>
      </c>
      <c r="V28" s="1386" t="s">
        <v>8</v>
      </c>
      <c r="W28" s="1387">
        <f t="shared" ref="W28:W46" si="11">J28</f>
        <v>100</v>
      </c>
      <c r="X28" s="1380"/>
      <c r="Y28" s="3877"/>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7"/>
      <c r="Q29" s="1385">
        <f t="shared" si="8"/>
        <v>111</v>
      </c>
      <c r="R29" s="1386" t="s">
        <v>8</v>
      </c>
      <c r="S29" s="1387">
        <f t="shared" si="9"/>
        <v>100</v>
      </c>
      <c r="T29" s="1386" t="s">
        <v>8</v>
      </c>
      <c r="U29" s="1387">
        <f t="shared" si="10"/>
        <v>100</v>
      </c>
      <c r="V29" s="1386" t="s">
        <v>8</v>
      </c>
      <c r="W29" s="1387">
        <f t="shared" si="11"/>
        <v>100</v>
      </c>
      <c r="X29" s="1380"/>
      <c r="Y29" s="387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7"/>
      <c r="Q30" s="1385">
        <f t="shared" si="8"/>
        <v>111</v>
      </c>
      <c r="R30" s="1386" t="s">
        <v>8</v>
      </c>
      <c r="S30" s="1387">
        <f t="shared" si="9"/>
        <v>100</v>
      </c>
      <c r="T30" s="1386" t="s">
        <v>8</v>
      </c>
      <c r="U30" s="1387">
        <f t="shared" si="10"/>
        <v>100</v>
      </c>
      <c r="V30" s="1386" t="s">
        <v>8</v>
      </c>
      <c r="W30" s="1387">
        <f t="shared" si="11"/>
        <v>100</v>
      </c>
      <c r="X30" s="1380"/>
      <c r="Y30" s="3877"/>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7"/>
      <c r="Q31" s="1385">
        <f t="shared" si="8"/>
        <v>111</v>
      </c>
      <c r="R31" s="1386" t="s">
        <v>8</v>
      </c>
      <c r="S31" s="1387">
        <f t="shared" si="9"/>
        <v>100</v>
      </c>
      <c r="T31" s="1386" t="s">
        <v>8</v>
      </c>
      <c r="U31" s="1387">
        <f t="shared" si="10"/>
        <v>100</v>
      </c>
      <c r="V31" s="1386" t="s">
        <v>8</v>
      </c>
      <c r="W31" s="1387">
        <f t="shared" si="11"/>
        <v>100</v>
      </c>
      <c r="X31" s="1380"/>
      <c r="Y31" s="3877"/>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8" t="s">
        <v>499</v>
      </c>
      <c r="Q32" s="1385" t="str">
        <f t="shared" si="8"/>
        <v>建筑类型</v>
      </c>
      <c r="R32" s="1386" t="s">
        <v>8</v>
      </c>
      <c r="S32" s="1387">
        <f t="shared" si="9"/>
        <v>100</v>
      </c>
      <c r="T32" s="1386" t="s">
        <v>8</v>
      </c>
      <c r="U32" s="1387">
        <f t="shared" si="10"/>
        <v>100</v>
      </c>
      <c r="V32" s="1386" t="s">
        <v>8</v>
      </c>
      <c r="W32" s="1387">
        <f t="shared" si="11"/>
        <v>100</v>
      </c>
      <c r="X32" s="1380"/>
      <c r="Y32" s="3879"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9"/>
      <c r="Q33" s="1414" t="str">
        <f t="shared" si="8"/>
        <v>项目建筑规模</v>
      </c>
      <c r="R33" s="1390" t="s">
        <v>8</v>
      </c>
      <c r="S33" s="1391" t="e">
        <f t="shared" si="9"/>
        <v>#N/A</v>
      </c>
      <c r="T33" s="1390" t="s">
        <v>8</v>
      </c>
      <c r="U33" s="1391" t="e">
        <f t="shared" si="10"/>
        <v>#N/A</v>
      </c>
      <c r="V33" s="1390" t="s">
        <v>8</v>
      </c>
      <c r="W33" s="1391" t="e">
        <f t="shared" si="11"/>
        <v>#N/A</v>
      </c>
      <c r="X33" s="1392"/>
      <c r="Y33" s="387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9"/>
      <c r="Q34" s="1385" t="str">
        <f t="shared" si="8"/>
        <v>建筑结构</v>
      </c>
      <c r="R34" s="1386" t="s">
        <v>8</v>
      </c>
      <c r="S34" s="1387">
        <f t="shared" si="9"/>
        <v>100</v>
      </c>
      <c r="T34" s="1386" t="s">
        <v>8</v>
      </c>
      <c r="U34" s="1387">
        <f t="shared" si="10"/>
        <v>100</v>
      </c>
      <c r="V34" s="1386" t="s">
        <v>8</v>
      </c>
      <c r="W34" s="1387">
        <f t="shared" si="11"/>
        <v>100</v>
      </c>
      <c r="X34" s="1380"/>
      <c r="Y34" s="3879"/>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9"/>
      <c r="Q35" s="1385" t="str">
        <f t="shared" si="8"/>
        <v>建筑品质</v>
      </c>
      <c r="R35" s="1386" t="s">
        <v>8</v>
      </c>
      <c r="S35" s="1387">
        <f t="shared" si="9"/>
        <v>100</v>
      </c>
      <c r="T35" s="1386" t="s">
        <v>8</v>
      </c>
      <c r="U35" s="1387">
        <f t="shared" si="10"/>
        <v>100</v>
      </c>
      <c r="V35" s="1386" t="s">
        <v>8</v>
      </c>
      <c r="W35" s="1387">
        <f t="shared" si="11"/>
        <v>100</v>
      </c>
      <c r="X35" s="1380"/>
      <c r="Y35" s="3879"/>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9"/>
      <c r="Q36" s="1385" t="str">
        <f t="shared" si="8"/>
        <v>公共部分装修</v>
      </c>
      <c r="R36" s="1386" t="s">
        <v>8</v>
      </c>
      <c r="S36" s="1387">
        <f t="shared" si="9"/>
        <v>100</v>
      </c>
      <c r="T36" s="1386" t="s">
        <v>8</v>
      </c>
      <c r="U36" s="1387">
        <f t="shared" si="10"/>
        <v>100</v>
      </c>
      <c r="V36" s="1386" t="s">
        <v>8</v>
      </c>
      <c r="W36" s="1387">
        <f t="shared" si="11"/>
        <v>100</v>
      </c>
      <c r="X36" s="1380"/>
      <c r="Y36" s="3879"/>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9"/>
      <c r="Q37" s="1050" t="str">
        <f t="shared" si="8"/>
        <v>成新度</v>
      </c>
      <c r="R37" s="1381" t="s">
        <v>8</v>
      </c>
      <c r="S37" s="1382" t="e">
        <f t="shared" si="9"/>
        <v>#N/A</v>
      </c>
      <c r="T37" s="1381" t="s">
        <v>8</v>
      </c>
      <c r="U37" s="1382" t="e">
        <f t="shared" si="10"/>
        <v>#N/A</v>
      </c>
      <c r="V37" s="1381" t="s">
        <v>8</v>
      </c>
      <c r="W37" s="1382" t="e">
        <f t="shared" si="11"/>
        <v>#N/A</v>
      </c>
      <c r="X37" s="1383"/>
      <c r="Y37" s="3879"/>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9" t="s">
        <v>499</v>
      </c>
      <c r="Q38" s="1385" t="str">
        <f t="shared" si="8"/>
        <v>物业管理</v>
      </c>
      <c r="R38" s="1386" t="s">
        <v>8</v>
      </c>
      <c r="S38" s="1387">
        <f t="shared" si="9"/>
        <v>100</v>
      </c>
      <c r="T38" s="1386" t="s">
        <v>8</v>
      </c>
      <c r="U38" s="1387">
        <f t="shared" si="10"/>
        <v>100</v>
      </c>
      <c r="V38" s="1386" t="s">
        <v>8</v>
      </c>
      <c r="W38" s="1387">
        <f t="shared" si="11"/>
        <v>100</v>
      </c>
      <c r="X38" s="1380"/>
      <c r="Y38" s="3879"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9"/>
      <c r="Q39" s="1385" t="str">
        <f t="shared" si="8"/>
        <v>市政基础设施</v>
      </c>
      <c r="R39" s="1386" t="s">
        <v>8</v>
      </c>
      <c r="S39" s="1387">
        <f t="shared" si="9"/>
        <v>100</v>
      </c>
      <c r="T39" s="1386" t="s">
        <v>8</v>
      </c>
      <c r="U39" s="1387">
        <f t="shared" si="10"/>
        <v>100</v>
      </c>
      <c r="V39" s="1386" t="s">
        <v>8</v>
      </c>
      <c r="W39" s="1387">
        <f t="shared" si="11"/>
        <v>100</v>
      </c>
      <c r="X39" s="1380"/>
      <c r="Y39" s="3879"/>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9"/>
      <c r="Q40" s="1385" t="str">
        <f t="shared" si="8"/>
        <v>房型</v>
      </c>
      <c r="R40" s="1386" t="s">
        <v>8</v>
      </c>
      <c r="S40" s="1387">
        <f t="shared" si="9"/>
        <v>100</v>
      </c>
      <c r="T40" s="1386" t="s">
        <v>8</v>
      </c>
      <c r="U40" s="1387">
        <f t="shared" si="10"/>
        <v>100</v>
      </c>
      <c r="V40" s="1386" t="s">
        <v>8</v>
      </c>
      <c r="W40" s="1387">
        <f t="shared" si="11"/>
        <v>100</v>
      </c>
      <c r="X40" s="1380"/>
      <c r="Y40" s="3879"/>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9"/>
      <c r="Q41" s="1414" t="str">
        <f t="shared" si="8"/>
        <v>单套/主力户型建筑面积</v>
      </c>
      <c r="R41" s="1390" t="s">
        <v>8</v>
      </c>
      <c r="S41" s="1391">
        <f t="shared" si="9"/>
        <v>100</v>
      </c>
      <c r="T41" s="1390" t="s">
        <v>8</v>
      </c>
      <c r="U41" s="1391">
        <f t="shared" si="10"/>
        <v>100</v>
      </c>
      <c r="V41" s="1390" t="s">
        <v>8</v>
      </c>
      <c r="W41" s="1391">
        <f t="shared" si="11"/>
        <v>100</v>
      </c>
      <c r="X41" s="1392"/>
      <c r="Y41" s="3879"/>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9"/>
      <c r="Q42" s="1385" t="str">
        <f t="shared" si="8"/>
        <v>内部装修</v>
      </c>
      <c r="R42" s="1386" t="s">
        <v>8</v>
      </c>
      <c r="S42" s="1387">
        <f t="shared" si="9"/>
        <v>100</v>
      </c>
      <c r="T42" s="1386" t="s">
        <v>8</v>
      </c>
      <c r="U42" s="1387">
        <f t="shared" si="10"/>
        <v>100</v>
      </c>
      <c r="V42" s="1386" t="s">
        <v>8</v>
      </c>
      <c r="W42" s="1387">
        <f t="shared" si="11"/>
        <v>100</v>
      </c>
      <c r="X42" s="1380"/>
      <c r="Y42" s="3879"/>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9"/>
      <c r="Q43" s="1385" t="str">
        <f t="shared" si="8"/>
        <v>内部装修维护情况</v>
      </c>
      <c r="R43" s="1386" t="s">
        <v>8</v>
      </c>
      <c r="S43" s="1387">
        <f t="shared" si="9"/>
        <v>100</v>
      </c>
      <c r="T43" s="1386" t="s">
        <v>8</v>
      </c>
      <c r="U43" s="1387">
        <f t="shared" si="10"/>
        <v>100</v>
      </c>
      <c r="V43" s="1386" t="s">
        <v>8</v>
      </c>
      <c r="W43" s="1387">
        <f t="shared" si="11"/>
        <v>100</v>
      </c>
      <c r="X43" s="1380"/>
      <c r="Y43" s="387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9"/>
      <c r="Q44" s="1050">
        <f t="shared" si="8"/>
        <v>111</v>
      </c>
      <c r="R44" s="1381" t="s">
        <v>8</v>
      </c>
      <c r="S44" s="1382">
        <f t="shared" si="9"/>
        <v>100</v>
      </c>
      <c r="T44" s="1381" t="s">
        <v>8</v>
      </c>
      <c r="U44" s="1382">
        <f t="shared" si="10"/>
        <v>100</v>
      </c>
      <c r="V44" s="1381" t="s">
        <v>8</v>
      </c>
      <c r="W44" s="1382">
        <f t="shared" si="11"/>
        <v>100</v>
      </c>
      <c r="X44" s="1383"/>
      <c r="Y44" s="387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9"/>
      <c r="Q45" s="1385">
        <f t="shared" si="8"/>
        <v>111</v>
      </c>
      <c r="R45" s="1386" t="s">
        <v>8</v>
      </c>
      <c r="S45" s="1387">
        <f t="shared" si="9"/>
        <v>100</v>
      </c>
      <c r="T45" s="1386" t="s">
        <v>8</v>
      </c>
      <c r="U45" s="1387">
        <f t="shared" si="10"/>
        <v>100</v>
      </c>
      <c r="V45" s="1386" t="s">
        <v>8</v>
      </c>
      <c r="W45" s="1387">
        <f t="shared" si="11"/>
        <v>100</v>
      </c>
      <c r="X45" s="1380"/>
      <c r="Y45" s="3879"/>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7"/>
      <c r="Q46" s="1385">
        <f t="shared" si="8"/>
        <v>111</v>
      </c>
      <c r="R46" s="1386" t="s">
        <v>7</v>
      </c>
      <c r="S46" s="1387">
        <f t="shared" si="9"/>
        <v>100</v>
      </c>
      <c r="T46" s="1386" t="s">
        <v>7</v>
      </c>
      <c r="U46" s="1387">
        <f t="shared" si="10"/>
        <v>100</v>
      </c>
      <c r="V46" s="1386" t="s">
        <v>7</v>
      </c>
      <c r="W46" s="1387">
        <f t="shared" si="11"/>
        <v>100</v>
      </c>
      <c r="X46" s="1380"/>
      <c r="Y46" s="397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80" t="str">
        <f>A47</f>
        <v>成交单价（元/平方米）</v>
      </c>
      <c r="Q47" s="3880"/>
      <c r="R47" s="3976">
        <f>E47</f>
        <v>0</v>
      </c>
      <c r="S47" s="3976"/>
      <c r="T47" s="3976">
        <f>G47</f>
        <v>0</v>
      </c>
      <c r="U47" s="3976"/>
      <c r="V47" s="3976">
        <f>I47</f>
        <v>0</v>
      </c>
      <c r="W47" s="397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80" t="str">
        <f>A48</f>
        <v>比较价格（元/平方米）</v>
      </c>
      <c r="Q48" s="3880"/>
      <c r="R48" s="3976" t="e">
        <f>IF(F1="售价",ROUND(PRODUCT(R47,AA7:AA46),0),ROUND(PRODUCT(R47,AA7:AA46),1))</f>
        <v>#DIV/0!</v>
      </c>
      <c r="S48" s="3976"/>
      <c r="T48" s="3976" t="e">
        <f>IF(F1="售价",ROUND(PRODUCT(T47,AB7:AB46),0),ROUND(PRODUCT(T47,AB7:AB46),1))</f>
        <v>#DIV/0!</v>
      </c>
      <c r="U48" s="3976"/>
      <c r="V48" s="3976" t="e">
        <f>IF(F1="售价",ROUND(PRODUCT(V47,AC7:AC46),0),ROUND(PRODUCT(V47,AC7:AC46),1))</f>
        <v>#DIV/0!</v>
      </c>
      <c r="W48" s="397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85" t="str">
        <f>A49</f>
        <v>估价对象XX用房的比较价格（楼面单价，元/平方米）</v>
      </c>
      <c r="Q49" s="3886"/>
      <c r="R49" s="3975" t="e">
        <f>IF(F1="售价",ROUND(IF(D48="简单平均",AVERAGE(R48:V48),R48*F48+T48*H48+V48*J48),0),ROUND(IF(D48="简单平均",AVERAGE(R48:V48),R48*F48+T48*H48+V48*J48),1))</f>
        <v>#DIV/0!</v>
      </c>
      <c r="S49" s="3975"/>
      <c r="T49" s="3975"/>
      <c r="U49" s="3975"/>
      <c r="V49" s="3975"/>
      <c r="W49" s="397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1" t="s">
        <v>471</v>
      </c>
      <c r="D4" s="3862"/>
      <c r="E4" s="3863" t="s">
        <v>472</v>
      </c>
      <c r="F4" s="3864"/>
      <c r="G4" s="3861" t="s">
        <v>473</v>
      </c>
      <c r="H4" s="3862"/>
      <c r="I4" s="3861" t="s">
        <v>474</v>
      </c>
      <c r="J4" s="3862"/>
      <c r="K4" s="484" t="s">
        <v>475</v>
      </c>
      <c r="L4" s="1856"/>
      <c r="M4" s="1857"/>
      <c r="N4" s="1857"/>
      <c r="O4" s="1857"/>
      <c r="P4" s="3865" t="s">
        <v>476</v>
      </c>
      <c r="Q4" s="3866"/>
      <c r="R4" s="3847" t="s">
        <v>472</v>
      </c>
      <c r="S4" s="3848"/>
      <c r="T4" s="3847" t="s">
        <v>473</v>
      </c>
      <c r="U4" s="3848"/>
      <c r="V4" s="3873" t="s">
        <v>474</v>
      </c>
      <c r="W4" s="3873"/>
      <c r="X4" s="1380"/>
      <c r="Y4" s="3847" t="s">
        <v>476</v>
      </c>
      <c r="Z4" s="3848"/>
      <c r="AA4" s="3858" t="s">
        <v>472</v>
      </c>
      <c r="AB4" s="3873" t="s">
        <v>473</v>
      </c>
      <c r="AC4" s="3858" t="s">
        <v>474</v>
      </c>
    </row>
    <row r="5" spans="1:29" ht="15">
      <c r="A5" s="485"/>
      <c r="B5" s="486"/>
      <c r="C5" s="3851" t="s">
        <v>2192</v>
      </c>
      <c r="D5" s="3852"/>
      <c r="E5" s="3874" t="s">
        <v>2193</v>
      </c>
      <c r="F5" s="3875"/>
      <c r="G5" s="3851" t="s">
        <v>2194</v>
      </c>
      <c r="H5" s="3852"/>
      <c r="I5" s="3851" t="s">
        <v>2195</v>
      </c>
      <c r="J5" s="3852"/>
      <c r="K5" s="484"/>
      <c r="L5" s="1856"/>
      <c r="M5" s="1857"/>
      <c r="N5" s="1857"/>
      <c r="O5" s="1857"/>
      <c r="P5" s="3867"/>
      <c r="Q5" s="3868"/>
      <c r="R5" s="3849"/>
      <c r="S5" s="3850"/>
      <c r="T5" s="3849"/>
      <c r="U5" s="3850"/>
      <c r="V5" s="3873"/>
      <c r="W5" s="3873"/>
      <c r="X5" s="1380"/>
      <c r="Y5" s="3849"/>
      <c r="Z5" s="3850"/>
      <c r="AA5" s="3859"/>
      <c r="AB5" s="3873"/>
      <c r="AC5" s="3859"/>
    </row>
    <row r="6" spans="1:29" ht="15.75" thickBot="1">
      <c r="A6" s="487"/>
      <c r="B6" s="488"/>
      <c r="C6" s="3853" t="s">
        <v>2196</v>
      </c>
      <c r="D6" s="3854"/>
      <c r="E6" s="3856" t="s">
        <v>2196</v>
      </c>
      <c r="F6" s="3857"/>
      <c r="G6" s="3853" t="s">
        <v>2196</v>
      </c>
      <c r="H6" s="3854"/>
      <c r="I6" s="3853" t="s">
        <v>2196</v>
      </c>
      <c r="J6" s="3854"/>
      <c r="K6" s="484" t="s">
        <v>477</v>
      </c>
      <c r="L6" s="1856"/>
      <c r="M6" s="1857"/>
      <c r="N6" s="1857"/>
      <c r="O6" s="1857"/>
      <c r="P6" s="3869"/>
      <c r="Q6" s="3870"/>
      <c r="R6" s="3849"/>
      <c r="S6" s="3850"/>
      <c r="T6" s="3871"/>
      <c r="U6" s="3872"/>
      <c r="V6" s="3873"/>
      <c r="W6" s="3873"/>
      <c r="X6" s="1380"/>
      <c r="Y6" s="3871"/>
      <c r="Z6" s="3872"/>
      <c r="AA6" s="3860"/>
      <c r="AB6" s="3873"/>
      <c r="AC6" s="3860"/>
    </row>
    <row r="7" spans="1:29" s="1118" customFormat="1" ht="15.75" thickBot="1">
      <c r="A7" s="2392"/>
      <c r="B7" s="2399" t="s">
        <v>478</v>
      </c>
      <c r="C7" s="489">
        <f>'数据-取费表'!B2</f>
        <v>44965</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45" t="s">
        <v>479</v>
      </c>
      <c r="Q7" s="3855"/>
      <c r="R7" s="1381" t="s">
        <v>5</v>
      </c>
      <c r="S7" s="1382">
        <f t="shared" ref="S7:S15" si="0">F7</f>
        <v>0</v>
      </c>
      <c r="T7" s="1381" t="s">
        <v>5</v>
      </c>
      <c r="U7" s="1382">
        <f t="shared" ref="U7:U15" si="1">H7</f>
        <v>0</v>
      </c>
      <c r="V7" s="1381" t="s">
        <v>5</v>
      </c>
      <c r="W7" s="1382">
        <f t="shared" ref="W7:W15"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45" t="s">
        <v>482</v>
      </c>
      <c r="Q8" s="3846"/>
      <c r="R8" s="1381" t="s">
        <v>5</v>
      </c>
      <c r="S8" s="1382">
        <f t="shared" si="0"/>
        <v>0</v>
      </c>
      <c r="T8" s="1381" t="s">
        <v>5</v>
      </c>
      <c r="U8" s="1382">
        <f t="shared" si="1"/>
        <v>0</v>
      </c>
      <c r="V8" s="1381" t="s">
        <v>5</v>
      </c>
      <c r="W8" s="1382">
        <f t="shared" si="2"/>
        <v>0</v>
      </c>
      <c r="X8" s="1383"/>
      <c r="Y8" s="3845" t="s">
        <v>482</v>
      </c>
      <c r="Z8" s="3846"/>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80" t="s">
        <v>484</v>
      </c>
      <c r="Q9" s="1050" t="str">
        <f t="shared" ref="Q9:Q15" si="6">B9</f>
        <v>用途</v>
      </c>
      <c r="R9" s="1381" t="s">
        <v>5</v>
      </c>
      <c r="S9" s="1382">
        <f t="shared" si="0"/>
        <v>100</v>
      </c>
      <c r="T9" s="1381" t="s">
        <v>5</v>
      </c>
      <c r="U9" s="1382">
        <f t="shared" si="1"/>
        <v>100</v>
      </c>
      <c r="V9" s="1381" t="s">
        <v>5</v>
      </c>
      <c r="W9" s="1382">
        <f t="shared" si="2"/>
        <v>100</v>
      </c>
      <c r="X9" s="1383"/>
      <c r="Y9" s="379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79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80"/>
      <c r="Q11" s="1050" t="str">
        <f t="shared" si="6"/>
        <v>容积率</v>
      </c>
      <c r="R11" s="1381" t="s">
        <v>5</v>
      </c>
      <c r="S11" s="1382" t="e">
        <f t="shared" si="0"/>
        <v>#N/A</v>
      </c>
      <c r="T11" s="1381" t="s">
        <v>5</v>
      </c>
      <c r="U11" s="1382" t="e">
        <f t="shared" si="1"/>
        <v>#N/A</v>
      </c>
      <c r="V11" s="1381" t="s">
        <v>5</v>
      </c>
      <c r="W11" s="1382" t="e">
        <f t="shared" si="2"/>
        <v>#N/A</v>
      </c>
      <c r="X11" s="1383"/>
      <c r="Y11" s="379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80"/>
      <c r="Q12" s="1050">
        <f t="shared" si="6"/>
        <v>111</v>
      </c>
      <c r="R12" s="1381" t="s">
        <v>5</v>
      </c>
      <c r="S12" s="1382">
        <f t="shared" si="0"/>
        <v>100</v>
      </c>
      <c r="T12" s="1381" t="s">
        <v>5</v>
      </c>
      <c r="U12" s="1382">
        <f t="shared" si="1"/>
        <v>100</v>
      </c>
      <c r="V12" s="1381" t="s">
        <v>5</v>
      </c>
      <c r="W12" s="1382">
        <f t="shared" si="2"/>
        <v>100</v>
      </c>
      <c r="X12" s="1383"/>
      <c r="Y12" s="379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80"/>
      <c r="Q13" s="1050">
        <f t="shared" si="6"/>
        <v>111</v>
      </c>
      <c r="R13" s="1381" t="s">
        <v>5</v>
      </c>
      <c r="S13" s="1382">
        <f t="shared" si="0"/>
        <v>100</v>
      </c>
      <c r="T13" s="1381" t="s">
        <v>5</v>
      </c>
      <c r="U13" s="1382">
        <f t="shared" si="1"/>
        <v>100</v>
      </c>
      <c r="V13" s="1381" t="s">
        <v>5</v>
      </c>
      <c r="W13" s="1382">
        <f t="shared" si="2"/>
        <v>100</v>
      </c>
      <c r="X13" s="1383"/>
      <c r="Y13" s="3794"/>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80"/>
      <c r="Q14" s="1050">
        <f t="shared" si="6"/>
        <v>111</v>
      </c>
      <c r="R14" s="1381" t="s">
        <v>5</v>
      </c>
      <c r="S14" s="1382">
        <f t="shared" si="0"/>
        <v>100</v>
      </c>
      <c r="T14" s="1381" t="s">
        <v>5</v>
      </c>
      <c r="U14" s="1382">
        <f t="shared" si="1"/>
        <v>100</v>
      </c>
      <c r="V14" s="1381" t="s">
        <v>5</v>
      </c>
      <c r="W14" s="1382">
        <f t="shared" si="2"/>
        <v>100</v>
      </c>
      <c r="X14" s="1383"/>
      <c r="Y14" s="3794"/>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6" t="s">
        <v>489</v>
      </c>
      <c r="Q15" s="1385" t="str">
        <f t="shared" si="6"/>
        <v>商业繁华度</v>
      </c>
      <c r="R15" s="1386" t="s">
        <v>5</v>
      </c>
      <c r="S15" s="1387">
        <f t="shared" si="0"/>
        <v>100</v>
      </c>
      <c r="T15" s="1386" t="s">
        <v>5</v>
      </c>
      <c r="U15" s="1387">
        <f t="shared" si="1"/>
        <v>100</v>
      </c>
      <c r="V15" s="1386" t="s">
        <v>5</v>
      </c>
      <c r="W15" s="1387">
        <f t="shared" si="2"/>
        <v>100</v>
      </c>
      <c r="X15" s="1380"/>
      <c r="Y15" s="3876"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7"/>
      <c r="Q16" s="1385"/>
      <c r="R16" s="1386"/>
      <c r="S16" s="1387"/>
      <c r="T16" s="1386"/>
      <c r="U16" s="1387"/>
      <c r="V16" s="1386"/>
      <c r="W16" s="1387"/>
      <c r="X16" s="1380"/>
      <c r="Y16" s="387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7"/>
      <c r="Q17" s="1385" t="str">
        <f>B17</f>
        <v>交通便捷度</v>
      </c>
      <c r="R17" s="1386" t="s">
        <v>5</v>
      </c>
      <c r="S17" s="1387">
        <f>F17</f>
        <v>100</v>
      </c>
      <c r="T17" s="1386" t="s">
        <v>5</v>
      </c>
      <c r="U17" s="1387">
        <f>H17</f>
        <v>100</v>
      </c>
      <c r="V17" s="1386" t="s">
        <v>5</v>
      </c>
      <c r="W17" s="1387">
        <f>J17</f>
        <v>100</v>
      </c>
      <c r="X17" s="1380"/>
      <c r="Y17" s="387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7"/>
      <c r="Q18" s="1385"/>
      <c r="R18" s="1386"/>
      <c r="S18" s="1387"/>
      <c r="T18" s="1386"/>
      <c r="U18" s="1387"/>
      <c r="V18" s="1386"/>
      <c r="W18" s="1387"/>
      <c r="X18" s="1380"/>
      <c r="Y18" s="387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7"/>
      <c r="Q19" s="1385" t="str">
        <f>B19</f>
        <v>公共配套设施</v>
      </c>
      <c r="R19" s="1386" t="s">
        <v>5</v>
      </c>
      <c r="S19" s="1387">
        <f>F19</f>
        <v>100</v>
      </c>
      <c r="T19" s="1386" t="s">
        <v>5</v>
      </c>
      <c r="U19" s="1387">
        <f>H19</f>
        <v>100</v>
      </c>
      <c r="V19" s="1386" t="s">
        <v>5</v>
      </c>
      <c r="W19" s="1387">
        <f>J19</f>
        <v>100</v>
      </c>
      <c r="X19" s="1380"/>
      <c r="Y19" s="387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7"/>
      <c r="Q20" s="1385"/>
      <c r="R20" s="1386"/>
      <c r="S20" s="1387"/>
      <c r="T20" s="1386"/>
      <c r="U20" s="1387"/>
      <c r="V20" s="1386"/>
      <c r="W20" s="1387"/>
      <c r="X20" s="1380"/>
      <c r="Y20" s="387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7"/>
      <c r="Q21" s="2193" t="str">
        <f>B21</f>
        <v>基础设施水平</v>
      </c>
      <c r="R21" s="1386" t="s">
        <v>5</v>
      </c>
      <c r="S21" s="1387">
        <f>F21</f>
        <v>100</v>
      </c>
      <c r="T21" s="1386" t="s">
        <v>5</v>
      </c>
      <c r="U21" s="1387">
        <f>H21</f>
        <v>100</v>
      </c>
      <c r="V21" s="1386" t="s">
        <v>5</v>
      </c>
      <c r="W21" s="1387">
        <f>J21</f>
        <v>100</v>
      </c>
      <c r="X21" s="2195"/>
      <c r="Y21" s="387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7"/>
      <c r="Q22" s="2193"/>
      <c r="R22" s="1386"/>
      <c r="S22" s="1387"/>
      <c r="T22" s="1386"/>
      <c r="U22" s="1387"/>
      <c r="V22" s="1386"/>
      <c r="W22" s="1387"/>
      <c r="X22" s="2195"/>
      <c r="Y22" s="3877"/>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7"/>
      <c r="Q23" s="1385" t="str">
        <f>B23</f>
        <v>自然及人文环境</v>
      </c>
      <c r="R23" s="1386" t="s">
        <v>5</v>
      </c>
      <c r="S23" s="1387">
        <f>F23</f>
        <v>100</v>
      </c>
      <c r="T23" s="1386" t="s">
        <v>5</v>
      </c>
      <c r="U23" s="1387">
        <f>H23</f>
        <v>100</v>
      </c>
      <c r="V23" s="1386" t="s">
        <v>5</v>
      </c>
      <c r="W23" s="1387">
        <f>J23</f>
        <v>100</v>
      </c>
      <c r="X23" s="1380"/>
      <c r="Y23" s="387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7"/>
      <c r="Q24" s="1385"/>
      <c r="R24" s="1386"/>
      <c r="S24" s="1387"/>
      <c r="T24" s="1386"/>
      <c r="U24" s="1387"/>
      <c r="V24" s="1386"/>
      <c r="W24" s="1387"/>
      <c r="X24" s="1380"/>
      <c r="Y24" s="3877"/>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7"/>
      <c r="Q25" s="1385" t="str">
        <f t="shared" ref="Q25:Q46" si="8">B25</f>
        <v>临街状况</v>
      </c>
      <c r="R25" s="1386" t="s">
        <v>5</v>
      </c>
      <c r="S25" s="1387">
        <f>F25</f>
        <v>100</v>
      </c>
      <c r="T25" s="1386" t="s">
        <v>5</v>
      </c>
      <c r="U25" s="1387">
        <f>H25</f>
        <v>100</v>
      </c>
      <c r="V25" s="1386" t="s">
        <v>5</v>
      </c>
      <c r="W25" s="1387">
        <f>J25</f>
        <v>100</v>
      </c>
      <c r="X25" s="1380"/>
      <c r="Y25" s="3877"/>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7"/>
      <c r="Q26" s="1385" t="str">
        <f t="shared" si="8"/>
        <v>平面位置/可视性</v>
      </c>
      <c r="R26" s="1386" t="s">
        <v>5</v>
      </c>
      <c r="S26" s="1387">
        <f>F26</f>
        <v>100</v>
      </c>
      <c r="T26" s="1386" t="s">
        <v>5</v>
      </c>
      <c r="U26" s="1387">
        <f>H26</f>
        <v>100</v>
      </c>
      <c r="V26" s="1386" t="s">
        <v>5</v>
      </c>
      <c r="W26" s="1387">
        <f>J26</f>
        <v>100</v>
      </c>
      <c r="X26" s="1380"/>
      <c r="Y26" s="3877"/>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7"/>
      <c r="Q27" s="1050" t="str">
        <f t="shared" si="8"/>
        <v>人流量</v>
      </c>
      <c r="R27" s="1381" t="s">
        <v>5</v>
      </c>
      <c r="S27" s="1382">
        <f>F27</f>
        <v>100</v>
      </c>
      <c r="T27" s="1381" t="s">
        <v>5</v>
      </c>
      <c r="U27" s="1382">
        <f>H27</f>
        <v>100</v>
      </c>
      <c r="V27" s="1381" t="s">
        <v>5</v>
      </c>
      <c r="W27" s="1382">
        <f>J27</f>
        <v>100</v>
      </c>
      <c r="X27" s="1383"/>
      <c r="Y27" s="3877"/>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7"/>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7"/>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7"/>
      <c r="Q29" s="1385">
        <f t="shared" si="8"/>
        <v>111</v>
      </c>
      <c r="R29" s="1386" t="s">
        <v>5</v>
      </c>
      <c r="S29" s="1387">
        <f t="shared" si="9"/>
        <v>100</v>
      </c>
      <c r="T29" s="1386" t="s">
        <v>5</v>
      </c>
      <c r="U29" s="1387">
        <f t="shared" si="10"/>
        <v>100</v>
      </c>
      <c r="V29" s="1386" t="s">
        <v>5</v>
      </c>
      <c r="W29" s="1387">
        <f t="shared" si="11"/>
        <v>100</v>
      </c>
      <c r="X29" s="1380"/>
      <c r="Y29" s="387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7"/>
      <c r="Q30" s="1385">
        <f t="shared" si="8"/>
        <v>111</v>
      </c>
      <c r="R30" s="1386" t="s">
        <v>5</v>
      </c>
      <c r="S30" s="1387">
        <f t="shared" si="9"/>
        <v>100</v>
      </c>
      <c r="T30" s="1386" t="s">
        <v>5</v>
      </c>
      <c r="U30" s="1387">
        <f t="shared" si="10"/>
        <v>100</v>
      </c>
      <c r="V30" s="1386" t="s">
        <v>5</v>
      </c>
      <c r="W30" s="1387">
        <f t="shared" si="11"/>
        <v>100</v>
      </c>
      <c r="X30" s="1380"/>
      <c r="Y30" s="3877"/>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7"/>
      <c r="Q31" s="1385">
        <f t="shared" si="8"/>
        <v>111</v>
      </c>
      <c r="R31" s="1386" t="s">
        <v>5</v>
      </c>
      <c r="S31" s="1387">
        <f t="shared" si="9"/>
        <v>100</v>
      </c>
      <c r="T31" s="1386" t="s">
        <v>5</v>
      </c>
      <c r="U31" s="1387">
        <f t="shared" si="10"/>
        <v>100</v>
      </c>
      <c r="V31" s="1386" t="s">
        <v>5</v>
      </c>
      <c r="W31" s="1387">
        <f t="shared" si="11"/>
        <v>100</v>
      </c>
      <c r="X31" s="1380"/>
      <c r="Y31" s="3877"/>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8" t="s">
        <v>499</v>
      </c>
      <c r="Q32" s="1385" t="str">
        <f t="shared" si="8"/>
        <v>商业类型</v>
      </c>
      <c r="R32" s="1386" t="s">
        <v>5</v>
      </c>
      <c r="S32" s="1387">
        <f t="shared" si="9"/>
        <v>100</v>
      </c>
      <c r="T32" s="1386" t="s">
        <v>5</v>
      </c>
      <c r="U32" s="1387">
        <f t="shared" si="10"/>
        <v>100</v>
      </c>
      <c r="V32" s="1386" t="s">
        <v>5</v>
      </c>
      <c r="W32" s="1387">
        <f t="shared" si="11"/>
        <v>100</v>
      </c>
      <c r="X32" s="1380"/>
      <c r="Y32" s="3879"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9"/>
      <c r="Q33" s="1414" t="str">
        <f t="shared" si="8"/>
        <v>项目建筑规模</v>
      </c>
      <c r="R33" s="1390" t="s">
        <v>5</v>
      </c>
      <c r="S33" s="1391" t="e">
        <f t="shared" si="9"/>
        <v>#N/A</v>
      </c>
      <c r="T33" s="1390" t="s">
        <v>5</v>
      </c>
      <c r="U33" s="1391" t="e">
        <f t="shared" si="10"/>
        <v>#N/A</v>
      </c>
      <c r="V33" s="1390" t="s">
        <v>5</v>
      </c>
      <c r="W33" s="1391" t="e">
        <f t="shared" si="11"/>
        <v>#N/A</v>
      </c>
      <c r="X33" s="1392"/>
      <c r="Y33" s="387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9"/>
      <c r="Q34" s="1385" t="str">
        <f t="shared" si="8"/>
        <v>建筑结构</v>
      </c>
      <c r="R34" s="1386" t="s">
        <v>5</v>
      </c>
      <c r="S34" s="1387">
        <f t="shared" si="9"/>
        <v>100</v>
      </c>
      <c r="T34" s="1386" t="s">
        <v>5</v>
      </c>
      <c r="U34" s="1387">
        <f t="shared" si="10"/>
        <v>100</v>
      </c>
      <c r="V34" s="1386" t="s">
        <v>5</v>
      </c>
      <c r="W34" s="1387">
        <f t="shared" si="11"/>
        <v>100</v>
      </c>
      <c r="X34" s="1380"/>
      <c r="Y34" s="3879"/>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9"/>
      <c r="Q35" s="1385" t="str">
        <f t="shared" si="8"/>
        <v>公共部分装修</v>
      </c>
      <c r="R35" s="1386" t="s">
        <v>5</v>
      </c>
      <c r="S35" s="1387">
        <f t="shared" si="9"/>
        <v>100</v>
      </c>
      <c r="T35" s="1386" t="s">
        <v>5</v>
      </c>
      <c r="U35" s="1387">
        <f t="shared" si="10"/>
        <v>100</v>
      </c>
      <c r="V35" s="1386" t="s">
        <v>5</v>
      </c>
      <c r="W35" s="1387">
        <f t="shared" si="11"/>
        <v>100</v>
      </c>
      <c r="X35" s="1380"/>
      <c r="Y35" s="3879"/>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9"/>
      <c r="Q36" s="1385" t="str">
        <f t="shared" si="8"/>
        <v>成新度</v>
      </c>
      <c r="R36" s="1386" t="s">
        <v>5</v>
      </c>
      <c r="S36" s="1387" t="e">
        <f t="shared" si="9"/>
        <v>#N/A</v>
      </c>
      <c r="T36" s="1386" t="s">
        <v>5</v>
      </c>
      <c r="U36" s="1387" t="e">
        <f t="shared" si="10"/>
        <v>#N/A</v>
      </c>
      <c r="V36" s="1386" t="s">
        <v>5</v>
      </c>
      <c r="W36" s="1387" t="e">
        <f t="shared" si="11"/>
        <v>#N/A</v>
      </c>
      <c r="X36" s="1380"/>
      <c r="Y36" s="3879"/>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9"/>
      <c r="Q37" s="1050" t="str">
        <f t="shared" si="8"/>
        <v>市政基础设施</v>
      </c>
      <c r="R37" s="1381" t="s">
        <v>5</v>
      </c>
      <c r="S37" s="1382">
        <f t="shared" si="9"/>
        <v>100</v>
      </c>
      <c r="T37" s="1381" t="s">
        <v>5</v>
      </c>
      <c r="U37" s="1382">
        <f t="shared" si="10"/>
        <v>100</v>
      </c>
      <c r="V37" s="1381" t="s">
        <v>5</v>
      </c>
      <c r="W37" s="1382">
        <f t="shared" si="11"/>
        <v>100</v>
      </c>
      <c r="X37" s="1383"/>
      <c r="Y37" s="3879"/>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9" t="s">
        <v>706</v>
      </c>
      <c r="Q38" s="1385" t="str">
        <f t="shared" si="8"/>
        <v>业态</v>
      </c>
      <c r="R38" s="1386" t="s">
        <v>5</v>
      </c>
      <c r="S38" s="1387">
        <f t="shared" si="9"/>
        <v>100</v>
      </c>
      <c r="T38" s="1386" t="s">
        <v>5</v>
      </c>
      <c r="U38" s="1387">
        <f t="shared" si="10"/>
        <v>100</v>
      </c>
      <c r="V38" s="1386" t="s">
        <v>5</v>
      </c>
      <c r="W38" s="1387">
        <f t="shared" si="11"/>
        <v>100</v>
      </c>
      <c r="X38" s="1380"/>
      <c r="Y38" s="3879"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9"/>
      <c r="Q39" s="1385" t="str">
        <f t="shared" si="8"/>
        <v>层高</v>
      </c>
      <c r="R39" s="1386" t="s">
        <v>5</v>
      </c>
      <c r="S39" s="1387">
        <f t="shared" si="9"/>
        <v>100</v>
      </c>
      <c r="T39" s="1386" t="s">
        <v>5</v>
      </c>
      <c r="U39" s="1387">
        <f t="shared" si="10"/>
        <v>100</v>
      </c>
      <c r="V39" s="1386" t="s">
        <v>5</v>
      </c>
      <c r="W39" s="1387">
        <f t="shared" si="11"/>
        <v>100</v>
      </c>
      <c r="X39" s="1380"/>
      <c r="Y39" s="3879"/>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9"/>
      <c r="Q40" s="1385" t="str">
        <f t="shared" si="8"/>
        <v>单套建筑面积</v>
      </c>
      <c r="R40" s="1386" t="s">
        <v>5</v>
      </c>
      <c r="S40" s="1387">
        <f t="shared" si="9"/>
        <v>100</v>
      </c>
      <c r="T40" s="1386" t="s">
        <v>5</v>
      </c>
      <c r="U40" s="1387">
        <f t="shared" si="10"/>
        <v>100</v>
      </c>
      <c r="V40" s="1386" t="s">
        <v>5</v>
      </c>
      <c r="W40" s="1387">
        <f t="shared" si="11"/>
        <v>100</v>
      </c>
      <c r="X40" s="1380"/>
      <c r="Y40" s="3879"/>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9"/>
      <c r="Q41" s="1414" t="str">
        <f t="shared" si="8"/>
        <v>进深比</v>
      </c>
      <c r="R41" s="1390" t="s">
        <v>5</v>
      </c>
      <c r="S41" s="1391">
        <f t="shared" si="9"/>
        <v>100</v>
      </c>
      <c r="T41" s="1390" t="s">
        <v>5</v>
      </c>
      <c r="U41" s="1391">
        <f t="shared" si="10"/>
        <v>100</v>
      </c>
      <c r="V41" s="1390" t="s">
        <v>5</v>
      </c>
      <c r="W41" s="1391">
        <f t="shared" si="11"/>
        <v>100</v>
      </c>
      <c r="X41" s="1392"/>
      <c r="Y41" s="3879"/>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9"/>
      <c r="Q42" s="1385" t="str">
        <f t="shared" si="8"/>
        <v>内部装修</v>
      </c>
      <c r="R42" s="1386" t="s">
        <v>5</v>
      </c>
      <c r="S42" s="1387">
        <f t="shared" si="9"/>
        <v>100</v>
      </c>
      <c r="T42" s="1386" t="s">
        <v>5</v>
      </c>
      <c r="U42" s="1387">
        <f t="shared" si="10"/>
        <v>100</v>
      </c>
      <c r="V42" s="1386" t="s">
        <v>5</v>
      </c>
      <c r="W42" s="1387">
        <f t="shared" si="11"/>
        <v>100</v>
      </c>
      <c r="X42" s="1380"/>
      <c r="Y42" s="3879"/>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9"/>
      <c r="Q43" s="1385" t="str">
        <f t="shared" si="8"/>
        <v>内部装修维护情况</v>
      </c>
      <c r="R43" s="1386" t="s">
        <v>5</v>
      </c>
      <c r="S43" s="1387">
        <f t="shared" si="9"/>
        <v>100</v>
      </c>
      <c r="T43" s="1386" t="s">
        <v>5</v>
      </c>
      <c r="U43" s="1387">
        <f t="shared" si="10"/>
        <v>100</v>
      </c>
      <c r="V43" s="1386" t="s">
        <v>5</v>
      </c>
      <c r="W43" s="1387">
        <f t="shared" si="11"/>
        <v>100</v>
      </c>
      <c r="X43" s="1380"/>
      <c r="Y43" s="387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9"/>
      <c r="Q44" s="1050">
        <f t="shared" si="8"/>
        <v>111</v>
      </c>
      <c r="R44" s="1381" t="s">
        <v>5</v>
      </c>
      <c r="S44" s="1382">
        <f t="shared" si="9"/>
        <v>100</v>
      </c>
      <c r="T44" s="1381" t="s">
        <v>5</v>
      </c>
      <c r="U44" s="1382">
        <f t="shared" si="10"/>
        <v>100</v>
      </c>
      <c r="V44" s="1381" t="s">
        <v>5</v>
      </c>
      <c r="W44" s="1382">
        <f t="shared" si="11"/>
        <v>100</v>
      </c>
      <c r="X44" s="1383"/>
      <c r="Y44" s="387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9"/>
      <c r="Q45" s="1385">
        <f t="shared" si="8"/>
        <v>111</v>
      </c>
      <c r="R45" s="1386" t="s">
        <v>5</v>
      </c>
      <c r="S45" s="1387">
        <f t="shared" si="9"/>
        <v>100</v>
      </c>
      <c r="T45" s="1386" t="s">
        <v>5</v>
      </c>
      <c r="U45" s="1387">
        <f t="shared" si="10"/>
        <v>100</v>
      </c>
      <c r="V45" s="1386" t="s">
        <v>5</v>
      </c>
      <c r="W45" s="1387">
        <f t="shared" si="11"/>
        <v>100</v>
      </c>
      <c r="X45" s="1380"/>
      <c r="Y45" s="3879"/>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7"/>
      <c r="Q46" s="1385">
        <f t="shared" si="8"/>
        <v>111</v>
      </c>
      <c r="R46" s="1386" t="s">
        <v>5</v>
      </c>
      <c r="S46" s="1387">
        <f t="shared" si="9"/>
        <v>100</v>
      </c>
      <c r="T46" s="1386" t="s">
        <v>5</v>
      </c>
      <c r="U46" s="1387">
        <f t="shared" si="10"/>
        <v>100</v>
      </c>
      <c r="V46" s="1386" t="s">
        <v>5</v>
      </c>
      <c r="W46" s="1387">
        <f t="shared" si="11"/>
        <v>100</v>
      </c>
      <c r="X46" s="1380"/>
      <c r="Y46" s="397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80" t="str">
        <f>A47</f>
        <v>成交单价（元/平方米）</v>
      </c>
      <c r="Q47" s="3880"/>
      <c r="R47" s="3976">
        <f>E47</f>
        <v>0</v>
      </c>
      <c r="S47" s="3976"/>
      <c r="T47" s="3976">
        <f>G47</f>
        <v>0</v>
      </c>
      <c r="U47" s="3976"/>
      <c r="V47" s="3976">
        <f>I47</f>
        <v>0</v>
      </c>
      <c r="W47" s="397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80" t="str">
        <f>A48</f>
        <v>比较价格（元/平方米）</v>
      </c>
      <c r="Q48" s="3880"/>
      <c r="R48" s="3976" t="e">
        <f>IF(F1="售价",ROUND(PRODUCT(R47,AA7:AA46),0),ROUND(PRODUCT(R47,AA7:AA46),1))</f>
        <v>#DIV/0!</v>
      </c>
      <c r="S48" s="3976"/>
      <c r="T48" s="3976" t="e">
        <f>IF(F1="售价",ROUND(PRODUCT(T47,AB7:AB46),0),ROUND(PRODUCT(T47,AB7:AB46),1))</f>
        <v>#DIV/0!</v>
      </c>
      <c r="U48" s="3976"/>
      <c r="V48" s="3976" t="e">
        <f>IF(F1="售价",ROUND(PRODUCT(V47,AC7:AC46),0),ROUND(PRODUCT(V47,AC7:AC46),1))</f>
        <v>#DIV/0!</v>
      </c>
      <c r="W48" s="397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85" t="str">
        <f>A49</f>
        <v>估价对象XX用房的比较价格（楼面单价，元/平方米）</v>
      </c>
      <c r="Q49" s="3886"/>
      <c r="R49" s="3975" t="e">
        <f>IF(F1="售价",ROUND(IF(D48="简单平均",AVERAGE(R48:V48),R48*F48+T48*H48+V48*J48),0),ROUND(IF(D48="简单平均",AVERAGE(R48:V48),R48*F48+T48*H48+V48*J48),1))</f>
        <v>#DIV/0!</v>
      </c>
      <c r="S49" s="3975"/>
      <c r="T49" s="3975"/>
      <c r="U49" s="3975"/>
      <c r="V49" s="3975"/>
      <c r="W49" s="397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1" t="s">
        <v>471</v>
      </c>
      <c r="D4" s="3862"/>
      <c r="E4" s="3863" t="s">
        <v>472</v>
      </c>
      <c r="F4" s="3864"/>
      <c r="G4" s="3861" t="s">
        <v>473</v>
      </c>
      <c r="H4" s="3862"/>
      <c r="I4" s="3861" t="s">
        <v>474</v>
      </c>
      <c r="J4" s="3862"/>
      <c r="K4" s="484" t="s">
        <v>475</v>
      </c>
      <c r="L4" s="1856"/>
      <c r="M4" s="1857"/>
      <c r="N4" s="1857"/>
      <c r="O4" s="1857"/>
      <c r="P4" s="3979" t="s">
        <v>476</v>
      </c>
      <c r="Q4" s="3866"/>
      <c r="R4" s="3847" t="s">
        <v>472</v>
      </c>
      <c r="S4" s="3848"/>
      <c r="T4" s="3847" t="s">
        <v>473</v>
      </c>
      <c r="U4" s="3848"/>
      <c r="V4" s="3873" t="s">
        <v>474</v>
      </c>
      <c r="W4" s="3873"/>
      <c r="X4" s="1380"/>
      <c r="Y4" s="3847" t="s">
        <v>476</v>
      </c>
      <c r="Z4" s="3848"/>
      <c r="AA4" s="3858" t="s">
        <v>472</v>
      </c>
      <c r="AB4" s="3858" t="s">
        <v>473</v>
      </c>
      <c r="AC4" s="3858" t="s">
        <v>474</v>
      </c>
    </row>
    <row r="5" spans="1:29" ht="15">
      <c r="A5" s="485"/>
      <c r="B5" s="486"/>
      <c r="C5" s="3851" t="s">
        <v>2192</v>
      </c>
      <c r="D5" s="3852"/>
      <c r="E5" s="3874" t="s">
        <v>2193</v>
      </c>
      <c r="F5" s="3875"/>
      <c r="G5" s="3851" t="s">
        <v>2194</v>
      </c>
      <c r="H5" s="3852"/>
      <c r="I5" s="3851" t="s">
        <v>2195</v>
      </c>
      <c r="J5" s="3852"/>
      <c r="K5" s="484"/>
      <c r="L5" s="1856"/>
      <c r="M5" s="1857"/>
      <c r="N5" s="1857"/>
      <c r="O5" s="1857"/>
      <c r="P5" s="3980"/>
      <c r="Q5" s="3868"/>
      <c r="R5" s="3849"/>
      <c r="S5" s="3850"/>
      <c r="T5" s="3849"/>
      <c r="U5" s="3850"/>
      <c r="V5" s="3873"/>
      <c r="W5" s="3873"/>
      <c r="X5" s="1380"/>
      <c r="Y5" s="3849"/>
      <c r="Z5" s="3850"/>
      <c r="AA5" s="3859"/>
      <c r="AB5" s="3859"/>
      <c r="AC5" s="3859"/>
    </row>
    <row r="6" spans="1:29" ht="15.75" thickBot="1">
      <c r="A6" s="487"/>
      <c r="B6" s="488"/>
      <c r="C6" s="3853" t="s">
        <v>2196</v>
      </c>
      <c r="D6" s="3854"/>
      <c r="E6" s="3856" t="s">
        <v>2196</v>
      </c>
      <c r="F6" s="3857"/>
      <c r="G6" s="3853" t="s">
        <v>2196</v>
      </c>
      <c r="H6" s="3854"/>
      <c r="I6" s="3853" t="s">
        <v>2196</v>
      </c>
      <c r="J6" s="3854"/>
      <c r="K6" s="484" t="s">
        <v>477</v>
      </c>
      <c r="L6" s="1856"/>
      <c r="M6" s="1857"/>
      <c r="N6" s="1857"/>
      <c r="O6" s="1857"/>
      <c r="P6" s="3981"/>
      <c r="Q6" s="3870"/>
      <c r="R6" s="3849"/>
      <c r="S6" s="3850"/>
      <c r="T6" s="3871"/>
      <c r="U6" s="3872"/>
      <c r="V6" s="3873"/>
      <c r="W6" s="3873"/>
      <c r="X6" s="1380"/>
      <c r="Y6" s="3871"/>
      <c r="Z6" s="3872"/>
      <c r="AA6" s="3860"/>
      <c r="AB6" s="3860"/>
      <c r="AC6" s="3860"/>
    </row>
    <row r="7" spans="1:29" s="1118" customFormat="1" ht="15.75" thickBot="1">
      <c r="A7" s="2392"/>
      <c r="B7" s="2399" t="s">
        <v>478</v>
      </c>
      <c r="C7" s="489">
        <f>'数据-取费表'!B2</f>
        <v>44965</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55" t="s">
        <v>479</v>
      </c>
      <c r="Q7" s="3855"/>
      <c r="R7" s="1381" t="s">
        <v>5</v>
      </c>
      <c r="S7" s="1382">
        <f t="shared" ref="S7:S15" si="0">F7</f>
        <v>0</v>
      </c>
      <c r="T7" s="1381" t="s">
        <v>5</v>
      </c>
      <c r="U7" s="1382">
        <f t="shared" ref="U7:U15" si="1">H7</f>
        <v>0</v>
      </c>
      <c r="V7" s="1381" t="s">
        <v>5</v>
      </c>
      <c r="W7" s="1382">
        <f t="shared" ref="W7:W15"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55" t="s">
        <v>482</v>
      </c>
      <c r="Q8" s="3846"/>
      <c r="R8" s="1381" t="s">
        <v>5</v>
      </c>
      <c r="S8" s="1382">
        <f t="shared" si="0"/>
        <v>0</v>
      </c>
      <c r="T8" s="1381" t="s">
        <v>5</v>
      </c>
      <c r="U8" s="1382">
        <f t="shared" si="1"/>
        <v>0</v>
      </c>
      <c r="V8" s="1381" t="s">
        <v>5</v>
      </c>
      <c r="W8" s="1382">
        <f t="shared" si="2"/>
        <v>0</v>
      </c>
      <c r="X8" s="1383"/>
      <c r="Y8" s="3845" t="s">
        <v>482</v>
      </c>
      <c r="Z8" s="3846"/>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80" t="s">
        <v>484</v>
      </c>
      <c r="Q9" s="1050" t="str">
        <f t="shared" ref="Q9:Q15" si="6">B9</f>
        <v>用途</v>
      </c>
      <c r="R9" s="1381" t="s">
        <v>5</v>
      </c>
      <c r="S9" s="1382">
        <f t="shared" si="0"/>
        <v>100</v>
      </c>
      <c r="T9" s="1381" t="s">
        <v>5</v>
      </c>
      <c r="U9" s="1382">
        <f t="shared" si="1"/>
        <v>100</v>
      </c>
      <c r="V9" s="1381" t="s">
        <v>5</v>
      </c>
      <c r="W9" s="1382">
        <f t="shared" si="2"/>
        <v>100</v>
      </c>
      <c r="X9" s="1383"/>
      <c r="Y9" s="379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80"/>
      <c r="Q10" s="1050" t="str">
        <f t="shared" si="6"/>
        <v>土地使用年限（年）</v>
      </c>
      <c r="R10" s="1381" t="s">
        <v>5</v>
      </c>
      <c r="S10" s="1382">
        <f t="shared" si="0"/>
        <v>100</v>
      </c>
      <c r="T10" s="1381" t="s">
        <v>5</v>
      </c>
      <c r="U10" s="1382">
        <f t="shared" si="1"/>
        <v>100</v>
      </c>
      <c r="V10" s="1381" t="s">
        <v>5</v>
      </c>
      <c r="W10" s="1382">
        <f t="shared" si="2"/>
        <v>100</v>
      </c>
      <c r="X10" s="1383"/>
      <c r="Y10" s="379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80"/>
      <c r="Q11" s="1050" t="str">
        <f t="shared" si="6"/>
        <v>容积率</v>
      </c>
      <c r="R11" s="1381" t="s">
        <v>5</v>
      </c>
      <c r="S11" s="1382" t="e">
        <f t="shared" si="0"/>
        <v>#N/A</v>
      </c>
      <c r="T11" s="1381" t="s">
        <v>5</v>
      </c>
      <c r="U11" s="1382" t="e">
        <f t="shared" si="1"/>
        <v>#N/A</v>
      </c>
      <c r="V11" s="1381" t="s">
        <v>5</v>
      </c>
      <c r="W11" s="1382" t="e">
        <f t="shared" si="2"/>
        <v>#N/A</v>
      </c>
      <c r="X11" s="1383"/>
      <c r="Y11" s="379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80"/>
      <c r="Q12" s="1050">
        <f t="shared" si="6"/>
        <v>111</v>
      </c>
      <c r="R12" s="1381" t="s">
        <v>5</v>
      </c>
      <c r="S12" s="1382">
        <f t="shared" si="0"/>
        <v>100</v>
      </c>
      <c r="T12" s="1381" t="s">
        <v>5</v>
      </c>
      <c r="U12" s="1382">
        <f t="shared" si="1"/>
        <v>100</v>
      </c>
      <c r="V12" s="1381" t="s">
        <v>5</v>
      </c>
      <c r="W12" s="1382">
        <f t="shared" si="2"/>
        <v>100</v>
      </c>
      <c r="X12" s="1383"/>
      <c r="Y12" s="379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80"/>
      <c r="Q13" s="1050">
        <f t="shared" si="6"/>
        <v>111</v>
      </c>
      <c r="R13" s="1381" t="s">
        <v>5</v>
      </c>
      <c r="S13" s="1382">
        <f t="shared" si="0"/>
        <v>100</v>
      </c>
      <c r="T13" s="1381" t="s">
        <v>5</v>
      </c>
      <c r="U13" s="1382">
        <f t="shared" si="1"/>
        <v>100</v>
      </c>
      <c r="V13" s="1381" t="s">
        <v>5</v>
      </c>
      <c r="W13" s="1382">
        <f t="shared" si="2"/>
        <v>100</v>
      </c>
      <c r="X13" s="1383"/>
      <c r="Y13" s="3794"/>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80"/>
      <c r="Q14" s="1050">
        <f t="shared" si="6"/>
        <v>111</v>
      </c>
      <c r="R14" s="1381" t="s">
        <v>5</v>
      </c>
      <c r="S14" s="1382">
        <f t="shared" si="0"/>
        <v>100</v>
      </c>
      <c r="T14" s="1381" t="s">
        <v>5</v>
      </c>
      <c r="U14" s="1382">
        <f t="shared" si="1"/>
        <v>100</v>
      </c>
      <c r="V14" s="1381" t="s">
        <v>5</v>
      </c>
      <c r="W14" s="1382">
        <f t="shared" si="2"/>
        <v>100</v>
      </c>
      <c r="X14" s="1383"/>
      <c r="Y14" s="3794"/>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6" t="s">
        <v>489</v>
      </c>
      <c r="Q15" s="1385" t="str">
        <f t="shared" si="6"/>
        <v>办公集聚程度</v>
      </c>
      <c r="R15" s="1386" t="s">
        <v>5</v>
      </c>
      <c r="S15" s="1387">
        <f t="shared" si="0"/>
        <v>100</v>
      </c>
      <c r="T15" s="1386" t="s">
        <v>5</v>
      </c>
      <c r="U15" s="1387">
        <f t="shared" si="1"/>
        <v>100</v>
      </c>
      <c r="V15" s="1386" t="s">
        <v>5</v>
      </c>
      <c r="W15" s="1387">
        <f t="shared" si="2"/>
        <v>100</v>
      </c>
      <c r="X15" s="1380"/>
      <c r="Y15" s="3876"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7"/>
      <c r="Q16" s="1385"/>
      <c r="R16" s="1386"/>
      <c r="S16" s="1387"/>
      <c r="T16" s="1386"/>
      <c r="U16" s="1387"/>
      <c r="V16" s="1386"/>
      <c r="W16" s="1387"/>
      <c r="X16" s="1380"/>
      <c r="Y16" s="3877"/>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7"/>
      <c r="Q17" s="1385" t="str">
        <f>B17</f>
        <v>交通便捷度</v>
      </c>
      <c r="R17" s="1386" t="s">
        <v>5</v>
      </c>
      <c r="S17" s="1387">
        <f>F17</f>
        <v>100</v>
      </c>
      <c r="T17" s="1386" t="s">
        <v>5</v>
      </c>
      <c r="U17" s="1387">
        <f>H17</f>
        <v>100</v>
      </c>
      <c r="V17" s="1386" t="s">
        <v>5</v>
      </c>
      <c r="W17" s="1387">
        <f>J17</f>
        <v>100</v>
      </c>
      <c r="X17" s="1380"/>
      <c r="Y17" s="3877"/>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7"/>
      <c r="Q18" s="1385"/>
      <c r="R18" s="1386"/>
      <c r="S18" s="1387"/>
      <c r="T18" s="1386"/>
      <c r="U18" s="1387"/>
      <c r="V18" s="1386"/>
      <c r="W18" s="1387"/>
      <c r="X18" s="1380"/>
      <c r="Y18" s="3877"/>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7"/>
      <c r="Q19" s="1385" t="str">
        <f>B19</f>
        <v>公共配套设施</v>
      </c>
      <c r="R19" s="1386" t="s">
        <v>5</v>
      </c>
      <c r="S19" s="1387">
        <f>F19</f>
        <v>100</v>
      </c>
      <c r="T19" s="1386" t="s">
        <v>5</v>
      </c>
      <c r="U19" s="1387">
        <f>H19</f>
        <v>100</v>
      </c>
      <c r="V19" s="1386" t="s">
        <v>5</v>
      </c>
      <c r="W19" s="1387">
        <f>J19</f>
        <v>100</v>
      </c>
      <c r="X19" s="1380"/>
      <c r="Y19" s="3877"/>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7"/>
      <c r="Q20" s="1385"/>
      <c r="R20" s="1386"/>
      <c r="S20" s="1387"/>
      <c r="T20" s="1386"/>
      <c r="U20" s="1387"/>
      <c r="V20" s="1386"/>
      <c r="W20" s="1387"/>
      <c r="X20" s="1380"/>
      <c r="Y20" s="3877"/>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7"/>
      <c r="Q21" s="2193" t="str">
        <f>B21</f>
        <v>基础设施水平</v>
      </c>
      <c r="R21" s="1386" t="s">
        <v>5</v>
      </c>
      <c r="S21" s="1387">
        <f>F21</f>
        <v>100</v>
      </c>
      <c r="T21" s="1386" t="s">
        <v>5</v>
      </c>
      <c r="U21" s="1387">
        <f>H21</f>
        <v>100</v>
      </c>
      <c r="V21" s="1386" t="s">
        <v>5</v>
      </c>
      <c r="W21" s="1387">
        <f>J21</f>
        <v>100</v>
      </c>
      <c r="X21" s="2195"/>
      <c r="Y21" s="3877"/>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7"/>
      <c r="Q22" s="2193"/>
      <c r="R22" s="1386"/>
      <c r="S22" s="1387"/>
      <c r="T22" s="1386"/>
      <c r="U22" s="1387"/>
      <c r="V22" s="1386"/>
      <c r="W22" s="1387"/>
      <c r="X22" s="2195"/>
      <c r="Y22" s="3877"/>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7"/>
      <c r="Q23" s="1385" t="str">
        <f>B23</f>
        <v>环境质量</v>
      </c>
      <c r="R23" s="1386" t="s">
        <v>5</v>
      </c>
      <c r="S23" s="1387">
        <f>F23</f>
        <v>100</v>
      </c>
      <c r="T23" s="1386" t="s">
        <v>5</v>
      </c>
      <c r="U23" s="1387">
        <f>H23</f>
        <v>100</v>
      </c>
      <c r="V23" s="1386" t="s">
        <v>5</v>
      </c>
      <c r="W23" s="1387">
        <f>J23</f>
        <v>100</v>
      </c>
      <c r="X23" s="1380"/>
      <c r="Y23" s="3877"/>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7"/>
      <c r="Q24" s="1385"/>
      <c r="R24" s="1386"/>
      <c r="S24" s="1387"/>
      <c r="T24" s="1386"/>
      <c r="U24" s="1387"/>
      <c r="V24" s="1386"/>
      <c r="W24" s="1387"/>
      <c r="X24" s="1380"/>
      <c r="Y24" s="3877"/>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7"/>
      <c r="Q25" s="1385" t="str">
        <f>B25</f>
        <v>毗邻道路的类型与等级</v>
      </c>
      <c r="R25" s="1386" t="s">
        <v>5</v>
      </c>
      <c r="S25" s="1387">
        <f>F25</f>
        <v>100</v>
      </c>
      <c r="T25" s="1386" t="s">
        <v>5</v>
      </c>
      <c r="U25" s="1387">
        <f>H25</f>
        <v>100</v>
      </c>
      <c r="V25" s="1386" t="s">
        <v>5</v>
      </c>
      <c r="W25" s="1387">
        <f>J25</f>
        <v>100</v>
      </c>
      <c r="X25" s="1380"/>
      <c r="Y25" s="3877"/>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7"/>
      <c r="Q26" s="1385"/>
      <c r="R26" s="1386"/>
      <c r="S26" s="1387"/>
      <c r="T26" s="1386"/>
      <c r="U26" s="1387"/>
      <c r="V26" s="1386"/>
      <c r="W26" s="1387"/>
      <c r="X26" s="1380"/>
      <c r="Y26" s="3877"/>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7"/>
      <c r="Q27" s="1385" t="str">
        <f t="shared" ref="Q27:Q47" si="8">B27</f>
        <v>楼层</v>
      </c>
      <c r="R27" s="1386" t="s">
        <v>5</v>
      </c>
      <c r="S27" s="1387">
        <f>F27</f>
        <v>100</v>
      </c>
      <c r="T27" s="1386" t="s">
        <v>5</v>
      </c>
      <c r="U27" s="1387">
        <f>H27</f>
        <v>100</v>
      </c>
      <c r="V27" s="1386" t="s">
        <v>5</v>
      </c>
      <c r="W27" s="1387">
        <f>J27</f>
        <v>100</v>
      </c>
      <c r="X27" s="1380"/>
      <c r="Y27" s="3877"/>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7"/>
      <c r="Q28" s="1050" t="str">
        <f t="shared" si="8"/>
        <v>朝向</v>
      </c>
      <c r="R28" s="1381" t="s">
        <v>5</v>
      </c>
      <c r="S28" s="1382">
        <f>F28</f>
        <v>100</v>
      </c>
      <c r="T28" s="1381" t="s">
        <v>5</v>
      </c>
      <c r="U28" s="1382">
        <f>H28</f>
        <v>100</v>
      </c>
      <c r="V28" s="1381" t="s">
        <v>5</v>
      </c>
      <c r="W28" s="1382">
        <f>J28</f>
        <v>100</v>
      </c>
      <c r="X28" s="1383"/>
      <c r="Y28" s="3877"/>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7"/>
      <c r="Q29" s="1385">
        <f t="shared" si="8"/>
        <v>111</v>
      </c>
      <c r="R29" s="1386" t="s">
        <v>5</v>
      </c>
      <c r="S29" s="1387">
        <f t="shared" ref="S29:S47" si="9">F29</f>
        <v>100</v>
      </c>
      <c r="T29" s="1386" t="s">
        <v>5</v>
      </c>
      <c r="U29" s="1387">
        <f t="shared" ref="U29:U47" si="10">H29</f>
        <v>100</v>
      </c>
      <c r="V29" s="1386" t="s">
        <v>5</v>
      </c>
      <c r="W29" s="1387">
        <f t="shared" ref="W29:W47" si="11">J29</f>
        <v>100</v>
      </c>
      <c r="X29" s="1380"/>
      <c r="Y29" s="3877"/>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7"/>
      <c r="Q30" s="1385">
        <f t="shared" si="8"/>
        <v>111</v>
      </c>
      <c r="R30" s="1386" t="s">
        <v>5</v>
      </c>
      <c r="S30" s="1387">
        <f t="shared" si="9"/>
        <v>100</v>
      </c>
      <c r="T30" s="1386" t="s">
        <v>5</v>
      </c>
      <c r="U30" s="1387">
        <f t="shared" si="10"/>
        <v>100</v>
      </c>
      <c r="V30" s="1386" t="s">
        <v>5</v>
      </c>
      <c r="W30" s="1387">
        <f t="shared" si="11"/>
        <v>100</v>
      </c>
      <c r="X30" s="1380"/>
      <c r="Y30" s="3877"/>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7"/>
      <c r="Q31" s="1385">
        <f t="shared" si="8"/>
        <v>111</v>
      </c>
      <c r="R31" s="1386" t="s">
        <v>5</v>
      </c>
      <c r="S31" s="1387">
        <f t="shared" si="9"/>
        <v>100</v>
      </c>
      <c r="T31" s="1386" t="s">
        <v>5</v>
      </c>
      <c r="U31" s="1387">
        <f t="shared" si="10"/>
        <v>100</v>
      </c>
      <c r="V31" s="1386" t="s">
        <v>5</v>
      </c>
      <c r="W31" s="1387">
        <f t="shared" si="11"/>
        <v>100</v>
      </c>
      <c r="X31" s="1380"/>
      <c r="Y31" s="3877"/>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7"/>
      <c r="Q32" s="1385">
        <f t="shared" si="8"/>
        <v>111</v>
      </c>
      <c r="R32" s="1386" t="s">
        <v>5</v>
      </c>
      <c r="S32" s="1387">
        <f t="shared" si="9"/>
        <v>100</v>
      </c>
      <c r="T32" s="1386" t="s">
        <v>5</v>
      </c>
      <c r="U32" s="1387">
        <f t="shared" si="10"/>
        <v>100</v>
      </c>
      <c r="V32" s="1386" t="s">
        <v>5</v>
      </c>
      <c r="W32" s="1387">
        <f t="shared" si="11"/>
        <v>100</v>
      </c>
      <c r="X32" s="1380"/>
      <c r="Y32" s="3877"/>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8" t="s">
        <v>499</v>
      </c>
      <c r="Q33" s="1385" t="str">
        <f t="shared" si="8"/>
        <v>建筑类型</v>
      </c>
      <c r="R33" s="1386" t="s">
        <v>5</v>
      </c>
      <c r="S33" s="1387">
        <f t="shared" si="9"/>
        <v>100</v>
      </c>
      <c r="T33" s="1386" t="s">
        <v>5</v>
      </c>
      <c r="U33" s="1387">
        <f t="shared" si="10"/>
        <v>100</v>
      </c>
      <c r="V33" s="1386" t="s">
        <v>5</v>
      </c>
      <c r="W33" s="1387">
        <f t="shared" si="11"/>
        <v>100</v>
      </c>
      <c r="X33" s="1380"/>
      <c r="Y33" s="3879"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9"/>
      <c r="Q34" s="1414" t="str">
        <f t="shared" si="8"/>
        <v>项目建筑规模</v>
      </c>
      <c r="R34" s="1390" t="s">
        <v>5</v>
      </c>
      <c r="S34" s="1391" t="e">
        <f t="shared" si="9"/>
        <v>#N/A</v>
      </c>
      <c r="T34" s="1390" t="s">
        <v>5</v>
      </c>
      <c r="U34" s="1391" t="e">
        <f t="shared" si="10"/>
        <v>#N/A</v>
      </c>
      <c r="V34" s="1390" t="s">
        <v>5</v>
      </c>
      <c r="W34" s="1391" t="e">
        <f t="shared" si="11"/>
        <v>#N/A</v>
      </c>
      <c r="X34" s="1392"/>
      <c r="Y34" s="3879"/>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9"/>
      <c r="Q35" s="1385" t="str">
        <f t="shared" si="8"/>
        <v>建筑结构</v>
      </c>
      <c r="R35" s="1386" t="s">
        <v>5</v>
      </c>
      <c r="S35" s="1387">
        <f t="shared" si="9"/>
        <v>100</v>
      </c>
      <c r="T35" s="1386" t="s">
        <v>5</v>
      </c>
      <c r="U35" s="1387">
        <f t="shared" si="10"/>
        <v>100</v>
      </c>
      <c r="V35" s="1386" t="s">
        <v>5</v>
      </c>
      <c r="W35" s="1387">
        <f t="shared" si="11"/>
        <v>100</v>
      </c>
      <c r="X35" s="1380"/>
      <c r="Y35" s="3879"/>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9"/>
      <c r="Q36" s="1385" t="str">
        <f t="shared" si="8"/>
        <v>公共部分装修</v>
      </c>
      <c r="R36" s="1386" t="s">
        <v>5</v>
      </c>
      <c r="S36" s="1387">
        <f t="shared" si="9"/>
        <v>100</v>
      </c>
      <c r="T36" s="1386" t="s">
        <v>5</v>
      </c>
      <c r="U36" s="1387">
        <f t="shared" si="10"/>
        <v>100</v>
      </c>
      <c r="V36" s="1386" t="s">
        <v>5</v>
      </c>
      <c r="W36" s="1387">
        <f t="shared" si="11"/>
        <v>100</v>
      </c>
      <c r="X36" s="1380"/>
      <c r="Y36" s="3879"/>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9"/>
      <c r="Q37" s="1385" t="str">
        <f t="shared" si="8"/>
        <v>成新度</v>
      </c>
      <c r="R37" s="1386" t="s">
        <v>5</v>
      </c>
      <c r="S37" s="1387" t="e">
        <f t="shared" si="9"/>
        <v>#N/A</v>
      </c>
      <c r="T37" s="1386" t="s">
        <v>5</v>
      </c>
      <c r="U37" s="1387" t="e">
        <f t="shared" si="10"/>
        <v>#N/A</v>
      </c>
      <c r="V37" s="1386" t="s">
        <v>5</v>
      </c>
      <c r="W37" s="1387" t="e">
        <f t="shared" si="11"/>
        <v>#N/A</v>
      </c>
      <c r="X37" s="1380"/>
      <c r="Y37" s="3879"/>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9"/>
      <c r="Q38" s="1050" t="str">
        <f t="shared" si="8"/>
        <v>写字楼等级</v>
      </c>
      <c r="R38" s="1381" t="s">
        <v>5</v>
      </c>
      <c r="S38" s="1382">
        <f t="shared" si="9"/>
        <v>100</v>
      </c>
      <c r="T38" s="1381" t="s">
        <v>5</v>
      </c>
      <c r="U38" s="1382">
        <f t="shared" si="10"/>
        <v>100</v>
      </c>
      <c r="V38" s="1381" t="s">
        <v>5</v>
      </c>
      <c r="W38" s="1382">
        <f t="shared" si="11"/>
        <v>100</v>
      </c>
      <c r="X38" s="1383"/>
      <c r="Y38" s="3879"/>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9" t="s">
        <v>499</v>
      </c>
      <c r="Q39" s="1385" t="str">
        <f t="shared" si="8"/>
        <v>物业管理</v>
      </c>
      <c r="R39" s="1386" t="s">
        <v>5</v>
      </c>
      <c r="S39" s="1387">
        <f t="shared" si="9"/>
        <v>100</v>
      </c>
      <c r="T39" s="1386" t="s">
        <v>5</v>
      </c>
      <c r="U39" s="1387">
        <f t="shared" si="10"/>
        <v>100</v>
      </c>
      <c r="V39" s="1386" t="s">
        <v>5</v>
      </c>
      <c r="W39" s="1387">
        <f t="shared" si="11"/>
        <v>100</v>
      </c>
      <c r="X39" s="1380"/>
      <c r="Y39" s="3879"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9"/>
      <c r="Q40" s="1385" t="str">
        <f t="shared" si="8"/>
        <v>市政基础设施</v>
      </c>
      <c r="R40" s="1386" t="s">
        <v>5</v>
      </c>
      <c r="S40" s="1387">
        <f t="shared" si="9"/>
        <v>100</v>
      </c>
      <c r="T40" s="1386" t="s">
        <v>5</v>
      </c>
      <c r="U40" s="1387">
        <f t="shared" si="10"/>
        <v>100</v>
      </c>
      <c r="V40" s="1386" t="s">
        <v>5</v>
      </c>
      <c r="W40" s="1387">
        <f t="shared" si="11"/>
        <v>100</v>
      </c>
      <c r="X40" s="1380"/>
      <c r="Y40" s="3879"/>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9"/>
      <c r="Q41" s="1385" t="str">
        <f t="shared" si="8"/>
        <v>层高</v>
      </c>
      <c r="R41" s="1386" t="s">
        <v>5</v>
      </c>
      <c r="S41" s="1387">
        <f t="shared" si="9"/>
        <v>100</v>
      </c>
      <c r="T41" s="1386" t="s">
        <v>5</v>
      </c>
      <c r="U41" s="1387">
        <f t="shared" si="10"/>
        <v>100</v>
      </c>
      <c r="V41" s="1386" t="s">
        <v>5</v>
      </c>
      <c r="W41" s="1387">
        <f t="shared" si="11"/>
        <v>100</v>
      </c>
      <c r="X41" s="1380"/>
      <c r="Y41" s="3879"/>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9"/>
      <c r="Q42" s="1414" t="str">
        <f t="shared" si="8"/>
        <v>单套建筑面积</v>
      </c>
      <c r="R42" s="1390" t="s">
        <v>5</v>
      </c>
      <c r="S42" s="1391">
        <f t="shared" si="9"/>
        <v>100</v>
      </c>
      <c r="T42" s="1390" t="s">
        <v>5</v>
      </c>
      <c r="U42" s="1391">
        <f t="shared" si="10"/>
        <v>100</v>
      </c>
      <c r="V42" s="1390" t="s">
        <v>5</v>
      </c>
      <c r="W42" s="1391">
        <f t="shared" si="11"/>
        <v>100</v>
      </c>
      <c r="X42" s="1392"/>
      <c r="Y42" s="3879"/>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9"/>
      <c r="Q43" s="1385" t="str">
        <f t="shared" si="8"/>
        <v>内部装修</v>
      </c>
      <c r="R43" s="1386" t="s">
        <v>5</v>
      </c>
      <c r="S43" s="1387">
        <f t="shared" si="9"/>
        <v>100</v>
      </c>
      <c r="T43" s="1386" t="s">
        <v>5</v>
      </c>
      <c r="U43" s="1387">
        <f t="shared" si="10"/>
        <v>100</v>
      </c>
      <c r="V43" s="1386" t="s">
        <v>5</v>
      </c>
      <c r="W43" s="1387">
        <f t="shared" si="11"/>
        <v>100</v>
      </c>
      <c r="X43" s="1380"/>
      <c r="Y43" s="3879"/>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9"/>
      <c r="Q44" s="1385" t="str">
        <f t="shared" si="8"/>
        <v>内部装修维护情况</v>
      </c>
      <c r="R44" s="1386" t="s">
        <v>5</v>
      </c>
      <c r="S44" s="1387">
        <f t="shared" si="9"/>
        <v>100</v>
      </c>
      <c r="T44" s="1386" t="s">
        <v>5</v>
      </c>
      <c r="U44" s="1387">
        <f t="shared" si="10"/>
        <v>100</v>
      </c>
      <c r="V44" s="1386" t="s">
        <v>5</v>
      </c>
      <c r="W44" s="1387">
        <f t="shared" si="11"/>
        <v>100</v>
      </c>
      <c r="X44" s="1380"/>
      <c r="Y44" s="3879"/>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9"/>
      <c r="Q45" s="1050">
        <f t="shared" si="8"/>
        <v>111</v>
      </c>
      <c r="R45" s="1381" t="s">
        <v>5</v>
      </c>
      <c r="S45" s="1382">
        <f t="shared" si="9"/>
        <v>100</v>
      </c>
      <c r="T45" s="1381" t="s">
        <v>5</v>
      </c>
      <c r="U45" s="1382">
        <f t="shared" si="10"/>
        <v>100</v>
      </c>
      <c r="V45" s="1381" t="s">
        <v>5</v>
      </c>
      <c r="W45" s="1382">
        <f t="shared" si="11"/>
        <v>100</v>
      </c>
      <c r="X45" s="1383"/>
      <c r="Y45" s="3879"/>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9"/>
      <c r="Q46" s="1385">
        <f t="shared" si="8"/>
        <v>111</v>
      </c>
      <c r="R46" s="1386" t="s">
        <v>5</v>
      </c>
      <c r="S46" s="1387">
        <f t="shared" si="9"/>
        <v>100</v>
      </c>
      <c r="T46" s="1386" t="s">
        <v>5</v>
      </c>
      <c r="U46" s="1387">
        <f t="shared" si="10"/>
        <v>100</v>
      </c>
      <c r="V46" s="1386" t="s">
        <v>5</v>
      </c>
      <c r="W46" s="1387">
        <f t="shared" si="11"/>
        <v>100</v>
      </c>
      <c r="X46" s="1380"/>
      <c r="Y46" s="3879"/>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7"/>
      <c r="Q47" s="1385">
        <f t="shared" si="8"/>
        <v>111</v>
      </c>
      <c r="R47" s="1386" t="s">
        <v>5</v>
      </c>
      <c r="S47" s="1387">
        <f t="shared" si="9"/>
        <v>100</v>
      </c>
      <c r="T47" s="1386" t="s">
        <v>5</v>
      </c>
      <c r="U47" s="1387">
        <f t="shared" si="10"/>
        <v>100</v>
      </c>
      <c r="V47" s="1386" t="s">
        <v>5</v>
      </c>
      <c r="W47" s="1387">
        <f t="shared" si="11"/>
        <v>100</v>
      </c>
      <c r="X47" s="1380"/>
      <c r="Y47" s="397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86" t="str">
        <f>A48</f>
        <v>成交单价（元/平方米）</v>
      </c>
      <c r="Q48" s="3880"/>
      <c r="R48" s="3976">
        <f>E48</f>
        <v>0</v>
      </c>
      <c r="S48" s="3976"/>
      <c r="T48" s="3976">
        <f>G48</f>
        <v>0</v>
      </c>
      <c r="U48" s="3976"/>
      <c r="V48" s="3976">
        <f>I48</f>
        <v>0</v>
      </c>
      <c r="W48" s="397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86" t="str">
        <f>A49</f>
        <v>比较价格（元/平方米）</v>
      </c>
      <c r="Q49" s="3880"/>
      <c r="R49" s="3976" t="e">
        <f>IF(F1="售价",ROUND(PRODUCT(R48,AA7:AA47),0),ROUND(PRODUCT(R48,AA7:AA47),1))</f>
        <v>#DIV/0!</v>
      </c>
      <c r="S49" s="3976"/>
      <c r="T49" s="3976" t="e">
        <f>IF(F1="售价",ROUND(PRODUCT(T48,AB7:AB47),0),ROUND(PRODUCT(T48,AB7:AB47),1))</f>
        <v>#DIV/0!</v>
      </c>
      <c r="U49" s="3976"/>
      <c r="V49" s="3976" t="e">
        <f>IF(F1="售价",ROUND(PRODUCT(V48,AC7:AC47),0),ROUND(PRODUCT(V48,AC7:AC47),1))</f>
        <v>#DIV/0!</v>
      </c>
      <c r="W49" s="397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78" t="str">
        <f>A50</f>
        <v>估价对象XX用房的比较价格（楼面单价，元/平方米）</v>
      </c>
      <c r="Q50" s="3886"/>
      <c r="R50" s="3975" t="e">
        <f>IF(F1="售价",ROUND(IF(D49="简单平均",AVERAGE(R49:V49),R49*F49+T49*H49+V49*J49),0),ROUND(IF(D49="简单平均",AVERAGE(R49:V49),R49*F49+T49*H49+V49*J49),1))</f>
        <v>#DIV/0!</v>
      </c>
      <c r="S50" s="3975"/>
      <c r="T50" s="3975"/>
      <c r="U50" s="3975"/>
      <c r="V50" s="3975"/>
      <c r="W50" s="397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2023-2</v>
      </c>
      <c r="D59" s="2284">
        <f>EDATE(C59,-1)</f>
        <v>44927</v>
      </c>
      <c r="E59" s="2284">
        <f t="shared" ref="E59:O59" si="13">EDATE(D59,-1)</f>
        <v>44896</v>
      </c>
      <c r="F59" s="2284">
        <f t="shared" si="13"/>
        <v>44866</v>
      </c>
      <c r="G59" s="2284">
        <f t="shared" si="13"/>
        <v>44835</v>
      </c>
      <c r="H59" s="2284">
        <f t="shared" si="13"/>
        <v>44805</v>
      </c>
      <c r="I59" s="2284">
        <f t="shared" si="13"/>
        <v>44774</v>
      </c>
      <c r="J59" s="2284">
        <f t="shared" si="13"/>
        <v>44743</v>
      </c>
      <c r="K59" s="2284">
        <f t="shared" si="13"/>
        <v>44713</v>
      </c>
      <c r="L59" s="2284">
        <f t="shared" si="13"/>
        <v>44682</v>
      </c>
      <c r="M59" s="2284">
        <f t="shared" si="13"/>
        <v>44652</v>
      </c>
      <c r="N59" s="2284">
        <f t="shared" si="13"/>
        <v>44621</v>
      </c>
      <c r="O59" s="2284">
        <f t="shared" si="13"/>
        <v>44593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97287.33平方米。根据《建设工程规划许可证》[]、《出让合同》[]，估价对象规划建筑面积为61600.22平方米。</v>
      </c>
    </row>
    <row r="7" spans="1:4" ht="93.75">
      <c r="A7" s="2353" t="s">
        <v>2030</v>
      </c>
    </row>
    <row r="8" spans="1:4" ht="18.75">
      <c r="A8" s="1582" t="s">
        <v>1430</v>
      </c>
    </row>
    <row r="9" spans="1:4" ht="75">
      <c r="A9" s="15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2023年2月8日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根据《国有土地使用证》[]，估价对象（分摊）出让国有建设用地使用权面积为97287.33平方米。根据《建设工程规划许可证》[]、《出让合同》[]，估价对象规划建筑面积为61600.22平方米。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8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E84" sqref="E8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1" t="s">
        <v>471</v>
      </c>
      <c r="D4" s="3862"/>
      <c r="E4" s="3863" t="s">
        <v>472</v>
      </c>
      <c r="F4" s="3864"/>
      <c r="G4" s="3861" t="s">
        <v>473</v>
      </c>
      <c r="H4" s="3862"/>
      <c r="I4" s="3861" t="s">
        <v>474</v>
      </c>
      <c r="J4" s="3862"/>
      <c r="K4" s="484" t="s">
        <v>475</v>
      </c>
      <c r="L4" s="1856"/>
      <c r="M4" s="1857"/>
      <c r="N4" s="1857"/>
      <c r="O4" s="1857"/>
      <c r="P4" s="3865" t="s">
        <v>476</v>
      </c>
      <c r="Q4" s="3866"/>
      <c r="R4" s="3847" t="s">
        <v>472</v>
      </c>
      <c r="S4" s="3848"/>
      <c r="T4" s="3847" t="s">
        <v>473</v>
      </c>
      <c r="U4" s="3848"/>
      <c r="V4" s="3873" t="s">
        <v>474</v>
      </c>
      <c r="W4" s="3873"/>
      <c r="X4" s="1380"/>
      <c r="Y4" s="3847" t="s">
        <v>476</v>
      </c>
      <c r="Z4" s="3848"/>
      <c r="AA4" s="3858" t="s">
        <v>472</v>
      </c>
      <c r="AB4" s="3859" t="s">
        <v>473</v>
      </c>
      <c r="AC4" s="3858" t="s">
        <v>474</v>
      </c>
    </row>
    <row r="5" spans="1:29" ht="15">
      <c r="A5" s="485"/>
      <c r="B5" s="486"/>
      <c r="C5" s="3851" t="s">
        <v>2192</v>
      </c>
      <c r="D5" s="3852"/>
      <c r="E5" s="3874" t="s">
        <v>2193</v>
      </c>
      <c r="F5" s="3875"/>
      <c r="G5" s="3851" t="s">
        <v>2194</v>
      </c>
      <c r="H5" s="3852"/>
      <c r="I5" s="3851" t="s">
        <v>2195</v>
      </c>
      <c r="J5" s="3852"/>
      <c r="K5" s="484"/>
      <c r="L5" s="1856"/>
      <c r="M5" s="1857"/>
      <c r="N5" s="1857"/>
      <c r="O5" s="1857"/>
      <c r="P5" s="3867"/>
      <c r="Q5" s="3868"/>
      <c r="R5" s="3849"/>
      <c r="S5" s="3850"/>
      <c r="T5" s="3849"/>
      <c r="U5" s="3850"/>
      <c r="V5" s="3873"/>
      <c r="W5" s="3873"/>
      <c r="X5" s="1380"/>
      <c r="Y5" s="3849"/>
      <c r="Z5" s="3850"/>
      <c r="AA5" s="3859"/>
      <c r="AB5" s="3859"/>
      <c r="AC5" s="3859"/>
    </row>
    <row r="6" spans="1:29" ht="15.75" thickBot="1">
      <c r="A6" s="487"/>
      <c r="B6" s="488"/>
      <c r="C6" s="3853" t="s">
        <v>2196</v>
      </c>
      <c r="D6" s="3854"/>
      <c r="E6" s="3856" t="s">
        <v>2196</v>
      </c>
      <c r="F6" s="3857"/>
      <c r="G6" s="3853" t="s">
        <v>2196</v>
      </c>
      <c r="H6" s="3854"/>
      <c r="I6" s="3853" t="s">
        <v>2196</v>
      </c>
      <c r="J6" s="3854"/>
      <c r="K6" s="484" t="s">
        <v>477</v>
      </c>
      <c r="L6" s="1856"/>
      <c r="M6" s="1857"/>
      <c r="N6" s="1857"/>
      <c r="O6" s="1857"/>
      <c r="P6" s="3869"/>
      <c r="Q6" s="3870"/>
      <c r="R6" s="3849"/>
      <c r="S6" s="3850"/>
      <c r="T6" s="3871"/>
      <c r="U6" s="3872"/>
      <c r="V6" s="3873"/>
      <c r="W6" s="3873"/>
      <c r="X6" s="1380"/>
      <c r="Y6" s="3871"/>
      <c r="Z6" s="3872"/>
      <c r="AA6" s="3860"/>
      <c r="AB6" s="3860"/>
      <c r="AC6" s="3860"/>
    </row>
    <row r="7" spans="1:29" s="1118" customFormat="1" ht="15.75" thickBot="1">
      <c r="A7" s="2392"/>
      <c r="B7" s="2399" t="s">
        <v>478</v>
      </c>
      <c r="C7" s="489">
        <f>'数据-取费表'!B2</f>
        <v>44965</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45" t="s">
        <v>479</v>
      </c>
      <c r="Q7" s="3855"/>
      <c r="R7" s="1381" t="s">
        <v>5</v>
      </c>
      <c r="S7" s="1382">
        <f t="shared" ref="S7:S15" si="0">F7</f>
        <v>0</v>
      </c>
      <c r="T7" s="1381" t="s">
        <v>5</v>
      </c>
      <c r="U7" s="1382">
        <f t="shared" ref="U7:U15" si="1">H7</f>
        <v>0</v>
      </c>
      <c r="V7" s="1381" t="s">
        <v>5</v>
      </c>
      <c r="W7" s="1382">
        <f t="shared" ref="W7:W15"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45" t="s">
        <v>482</v>
      </c>
      <c r="Q8" s="3846"/>
      <c r="R8" s="1381" t="s">
        <v>5</v>
      </c>
      <c r="S8" s="1382">
        <f t="shared" si="0"/>
        <v>0</v>
      </c>
      <c r="T8" s="1381" t="s">
        <v>5</v>
      </c>
      <c r="U8" s="1382">
        <f t="shared" si="1"/>
        <v>0</v>
      </c>
      <c r="V8" s="1381" t="s">
        <v>5</v>
      </c>
      <c r="W8" s="1382">
        <f t="shared" si="2"/>
        <v>0</v>
      </c>
      <c r="X8" s="1383"/>
      <c r="Y8" s="3845" t="s">
        <v>482</v>
      </c>
      <c r="Z8" s="3846"/>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80" t="s">
        <v>484</v>
      </c>
      <c r="Q9" s="1050" t="str">
        <f t="shared" ref="Q9:Q15" si="6">B9</f>
        <v>用途</v>
      </c>
      <c r="R9" s="1381" t="s">
        <v>5</v>
      </c>
      <c r="S9" s="1382">
        <f t="shared" si="0"/>
        <v>100</v>
      </c>
      <c r="T9" s="1381" t="s">
        <v>5</v>
      </c>
      <c r="U9" s="1382">
        <f t="shared" si="1"/>
        <v>100</v>
      </c>
      <c r="V9" s="1381" t="s">
        <v>5</v>
      </c>
      <c r="W9" s="1382">
        <f t="shared" si="2"/>
        <v>100</v>
      </c>
      <c r="X9" s="1383"/>
      <c r="Y9" s="379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79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80"/>
      <c r="Q11" s="1050" t="str">
        <f t="shared" si="6"/>
        <v>容积率</v>
      </c>
      <c r="R11" s="1381" t="s">
        <v>5</v>
      </c>
      <c r="S11" s="1382" t="e">
        <f t="shared" si="0"/>
        <v>#N/A</v>
      </c>
      <c r="T11" s="1381" t="s">
        <v>5</v>
      </c>
      <c r="U11" s="1382" t="e">
        <f t="shared" si="1"/>
        <v>#N/A</v>
      </c>
      <c r="V11" s="1381" t="s">
        <v>5</v>
      </c>
      <c r="W11" s="1382" t="e">
        <f t="shared" si="2"/>
        <v>#N/A</v>
      </c>
      <c r="X11" s="1383"/>
      <c r="Y11" s="379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80"/>
      <c r="Q12" s="1050">
        <f t="shared" si="6"/>
        <v>111</v>
      </c>
      <c r="R12" s="1381" t="s">
        <v>5</v>
      </c>
      <c r="S12" s="1382">
        <f t="shared" si="0"/>
        <v>100</v>
      </c>
      <c r="T12" s="1381" t="s">
        <v>5</v>
      </c>
      <c r="U12" s="1382">
        <f t="shared" si="1"/>
        <v>100</v>
      </c>
      <c r="V12" s="1381" t="s">
        <v>5</v>
      </c>
      <c r="W12" s="1382">
        <f t="shared" si="2"/>
        <v>100</v>
      </c>
      <c r="X12" s="1383"/>
      <c r="Y12" s="379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80"/>
      <c r="Q13" s="1050">
        <f t="shared" si="6"/>
        <v>111</v>
      </c>
      <c r="R13" s="1381" t="s">
        <v>5</v>
      </c>
      <c r="S13" s="1382">
        <f t="shared" si="0"/>
        <v>100</v>
      </c>
      <c r="T13" s="1381" t="s">
        <v>5</v>
      </c>
      <c r="U13" s="1382">
        <f t="shared" si="1"/>
        <v>100</v>
      </c>
      <c r="V13" s="1381" t="s">
        <v>5</v>
      </c>
      <c r="W13" s="1382">
        <f t="shared" si="2"/>
        <v>100</v>
      </c>
      <c r="X13" s="1383"/>
      <c r="Y13" s="3794"/>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80"/>
      <c r="Q14" s="1050">
        <f t="shared" si="6"/>
        <v>111</v>
      </c>
      <c r="R14" s="1381" t="s">
        <v>5</v>
      </c>
      <c r="S14" s="1382">
        <f t="shared" si="0"/>
        <v>100</v>
      </c>
      <c r="T14" s="1381" t="s">
        <v>5</v>
      </c>
      <c r="U14" s="1382">
        <f t="shared" si="1"/>
        <v>100</v>
      </c>
      <c r="V14" s="1381" t="s">
        <v>5</v>
      </c>
      <c r="W14" s="1382">
        <f t="shared" si="2"/>
        <v>100</v>
      </c>
      <c r="X14" s="1383"/>
      <c r="Y14" s="3794"/>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6" t="s">
        <v>489</v>
      </c>
      <c r="Q15" s="1385" t="str">
        <f t="shared" si="6"/>
        <v>产业集聚程度</v>
      </c>
      <c r="R15" s="1386" t="s">
        <v>5</v>
      </c>
      <c r="S15" s="1387">
        <f t="shared" si="0"/>
        <v>100</v>
      </c>
      <c r="T15" s="1386" t="s">
        <v>5</v>
      </c>
      <c r="U15" s="1387">
        <f t="shared" si="1"/>
        <v>100</v>
      </c>
      <c r="V15" s="1386" t="s">
        <v>5</v>
      </c>
      <c r="W15" s="1387">
        <f t="shared" si="2"/>
        <v>100</v>
      </c>
      <c r="X15" s="1380"/>
      <c r="Y15" s="3876"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7"/>
      <c r="Q16" s="1385"/>
      <c r="R16" s="1386"/>
      <c r="S16" s="1387"/>
      <c r="T16" s="1386"/>
      <c r="U16" s="1387"/>
      <c r="V16" s="1386"/>
      <c r="W16" s="1387"/>
      <c r="X16" s="1380"/>
      <c r="Y16" s="3877"/>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7"/>
      <c r="Q17" s="1385" t="str">
        <f>B17</f>
        <v>交通便捷度</v>
      </c>
      <c r="R17" s="1386" t="s">
        <v>5</v>
      </c>
      <c r="S17" s="1387">
        <f>F17</f>
        <v>100</v>
      </c>
      <c r="T17" s="1386" t="s">
        <v>5</v>
      </c>
      <c r="U17" s="1387">
        <f>H17</f>
        <v>100</v>
      </c>
      <c r="V17" s="1386" t="s">
        <v>5</v>
      </c>
      <c r="W17" s="1387">
        <f>J17</f>
        <v>100</v>
      </c>
      <c r="X17" s="1380"/>
      <c r="Y17" s="387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7"/>
      <c r="Q18" s="1385"/>
      <c r="R18" s="1386"/>
      <c r="S18" s="1387"/>
      <c r="T18" s="1386"/>
      <c r="U18" s="1387"/>
      <c r="V18" s="1386"/>
      <c r="W18" s="1387"/>
      <c r="X18" s="1380"/>
      <c r="Y18" s="3877"/>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7"/>
      <c r="Q19" s="1385" t="str">
        <f>B19</f>
        <v>公共配套设施</v>
      </c>
      <c r="R19" s="1386" t="s">
        <v>5</v>
      </c>
      <c r="S19" s="1387">
        <f>F19</f>
        <v>100</v>
      </c>
      <c r="T19" s="1386" t="s">
        <v>5</v>
      </c>
      <c r="U19" s="1387">
        <f>H19</f>
        <v>100</v>
      </c>
      <c r="V19" s="1386" t="s">
        <v>5</v>
      </c>
      <c r="W19" s="1387">
        <f>J19</f>
        <v>100</v>
      </c>
      <c r="X19" s="1380"/>
      <c r="Y19" s="3877"/>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7"/>
      <c r="Q20" s="1385"/>
      <c r="R20" s="1386"/>
      <c r="S20" s="1387"/>
      <c r="T20" s="1386"/>
      <c r="U20" s="1387"/>
      <c r="V20" s="1386"/>
      <c r="W20" s="1387"/>
      <c r="X20" s="1380"/>
      <c r="Y20" s="3877"/>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7"/>
      <c r="Q21" s="2193" t="str">
        <f>B21</f>
        <v>基础设施水平</v>
      </c>
      <c r="R21" s="1386" t="s">
        <v>5</v>
      </c>
      <c r="S21" s="1387">
        <f>F21</f>
        <v>100</v>
      </c>
      <c r="T21" s="1386" t="s">
        <v>5</v>
      </c>
      <c r="U21" s="1387">
        <f>H21</f>
        <v>100</v>
      </c>
      <c r="V21" s="1386" t="s">
        <v>5</v>
      </c>
      <c r="W21" s="1387">
        <f>J21</f>
        <v>100</v>
      </c>
      <c r="X21" s="2195"/>
      <c r="Y21" s="3877"/>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7"/>
      <c r="Q22" s="2193"/>
      <c r="R22" s="1386"/>
      <c r="S22" s="1387"/>
      <c r="T22" s="1386"/>
      <c r="U22" s="1387"/>
      <c r="V22" s="1386"/>
      <c r="W22" s="1387"/>
      <c r="X22" s="2195"/>
      <c r="Y22" s="3877"/>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7"/>
      <c r="Q23" s="1385" t="str">
        <f>B23</f>
        <v>环境质量</v>
      </c>
      <c r="R23" s="1386" t="s">
        <v>5</v>
      </c>
      <c r="S23" s="1387">
        <f>F23</f>
        <v>100</v>
      </c>
      <c r="T23" s="1386" t="s">
        <v>5</v>
      </c>
      <c r="U23" s="1387">
        <f>H23</f>
        <v>100</v>
      </c>
      <c r="V23" s="1386" t="s">
        <v>5</v>
      </c>
      <c r="W23" s="1387">
        <f>J23</f>
        <v>100</v>
      </c>
      <c r="X23" s="1380"/>
      <c r="Y23" s="3877"/>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7"/>
      <c r="Q24" s="1385"/>
      <c r="R24" s="1386"/>
      <c r="S24" s="1387"/>
      <c r="T24" s="1386"/>
      <c r="U24" s="1387"/>
      <c r="V24" s="1386"/>
      <c r="W24" s="1387"/>
      <c r="X24" s="1380"/>
      <c r="Y24" s="3877"/>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7"/>
      <c r="Q25" s="1385">
        <f>B25</f>
        <v>111</v>
      </c>
      <c r="R25" s="1386" t="s">
        <v>5</v>
      </c>
      <c r="S25" s="1387">
        <f>F25</f>
        <v>100</v>
      </c>
      <c r="T25" s="1386" t="s">
        <v>5</v>
      </c>
      <c r="U25" s="1387">
        <f>H25</f>
        <v>100</v>
      </c>
      <c r="V25" s="1386" t="s">
        <v>5</v>
      </c>
      <c r="W25" s="1387">
        <f>J25</f>
        <v>100</v>
      </c>
      <c r="X25" s="1380"/>
      <c r="Y25" s="3877"/>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7"/>
      <c r="Q26" s="1385">
        <f t="shared" ref="Q26:Q40" si="8">B26</f>
        <v>111</v>
      </c>
      <c r="R26" s="1386" t="s">
        <v>5</v>
      </c>
      <c r="S26" s="1387">
        <f>F26</f>
        <v>100</v>
      </c>
      <c r="T26" s="1386" t="s">
        <v>5</v>
      </c>
      <c r="U26" s="1387">
        <f>H26</f>
        <v>100</v>
      </c>
      <c r="V26" s="1386" t="s">
        <v>5</v>
      </c>
      <c r="W26" s="1387">
        <f>J26</f>
        <v>100</v>
      </c>
      <c r="X26" s="1380"/>
      <c r="Y26" s="3877"/>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7"/>
      <c r="Q27" s="1050">
        <f t="shared" si="8"/>
        <v>111</v>
      </c>
      <c r="R27" s="1381" t="s">
        <v>5</v>
      </c>
      <c r="S27" s="1382">
        <f>F27</f>
        <v>100</v>
      </c>
      <c r="T27" s="1381" t="s">
        <v>5</v>
      </c>
      <c r="U27" s="1382">
        <f>H27</f>
        <v>100</v>
      </c>
      <c r="V27" s="1381" t="s">
        <v>5</v>
      </c>
      <c r="W27" s="1382">
        <f>J27</f>
        <v>100</v>
      </c>
      <c r="X27" s="1383"/>
      <c r="Y27" s="3877"/>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7"/>
      <c r="Q28" s="1385">
        <f t="shared" si="8"/>
        <v>111</v>
      </c>
      <c r="R28" s="1386" t="s">
        <v>5</v>
      </c>
      <c r="S28" s="1387">
        <f t="shared" ref="S28:S40" si="9">F28</f>
        <v>100</v>
      </c>
      <c r="T28" s="1386" t="s">
        <v>5</v>
      </c>
      <c r="U28" s="1387">
        <f t="shared" ref="U28:U40" si="10">H28</f>
        <v>100</v>
      </c>
      <c r="V28" s="1386" t="s">
        <v>5</v>
      </c>
      <c r="W28" s="1387">
        <f t="shared" ref="W28:W40" si="11">J28</f>
        <v>100</v>
      </c>
      <c r="X28" s="1380"/>
      <c r="Y28" s="3877"/>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8" t="s">
        <v>499</v>
      </c>
      <c r="Q29" s="1385" t="str">
        <f t="shared" si="8"/>
        <v>建筑类型</v>
      </c>
      <c r="R29" s="1386" t="s">
        <v>5</v>
      </c>
      <c r="S29" s="1387">
        <f t="shared" si="9"/>
        <v>100</v>
      </c>
      <c r="T29" s="1386" t="s">
        <v>5</v>
      </c>
      <c r="U29" s="1387">
        <f t="shared" si="10"/>
        <v>100</v>
      </c>
      <c r="V29" s="1386" t="s">
        <v>5</v>
      </c>
      <c r="W29" s="1387">
        <f t="shared" si="11"/>
        <v>100</v>
      </c>
      <c r="X29" s="1380"/>
      <c r="Y29" s="3879"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9"/>
      <c r="Q30" s="1414" t="str">
        <f t="shared" si="8"/>
        <v>项目建筑规模</v>
      </c>
      <c r="R30" s="1390" t="s">
        <v>5</v>
      </c>
      <c r="S30" s="1391" t="e">
        <f t="shared" si="9"/>
        <v>#N/A</v>
      </c>
      <c r="T30" s="1390" t="s">
        <v>5</v>
      </c>
      <c r="U30" s="1391" t="e">
        <f t="shared" si="10"/>
        <v>#N/A</v>
      </c>
      <c r="V30" s="1390" t="s">
        <v>5</v>
      </c>
      <c r="W30" s="1391" t="e">
        <f t="shared" si="11"/>
        <v>#N/A</v>
      </c>
      <c r="X30" s="1392"/>
      <c r="Y30" s="3879"/>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9"/>
      <c r="Q31" s="1385" t="str">
        <f t="shared" si="8"/>
        <v>建筑结构</v>
      </c>
      <c r="R31" s="1386" t="s">
        <v>5</v>
      </c>
      <c r="S31" s="1387">
        <f t="shared" si="9"/>
        <v>100</v>
      </c>
      <c r="T31" s="1386" t="s">
        <v>5</v>
      </c>
      <c r="U31" s="1387">
        <f t="shared" si="10"/>
        <v>100</v>
      </c>
      <c r="V31" s="1386" t="s">
        <v>5</v>
      </c>
      <c r="W31" s="1387">
        <f t="shared" si="11"/>
        <v>100</v>
      </c>
      <c r="X31" s="1380"/>
      <c r="Y31" s="3879"/>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9"/>
      <c r="Q32" s="1385" t="str">
        <f t="shared" si="8"/>
        <v>公共部分装修</v>
      </c>
      <c r="R32" s="1386" t="s">
        <v>5</v>
      </c>
      <c r="S32" s="1387">
        <f t="shared" si="9"/>
        <v>100</v>
      </c>
      <c r="T32" s="1386" t="s">
        <v>5</v>
      </c>
      <c r="U32" s="1387">
        <f t="shared" si="10"/>
        <v>100</v>
      </c>
      <c r="V32" s="1386" t="s">
        <v>5</v>
      </c>
      <c r="W32" s="1387">
        <f t="shared" si="11"/>
        <v>100</v>
      </c>
      <c r="X32" s="1380"/>
      <c r="Y32" s="3879"/>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9"/>
      <c r="Q33" s="1385" t="str">
        <f t="shared" si="8"/>
        <v>成新度</v>
      </c>
      <c r="R33" s="1386" t="s">
        <v>5</v>
      </c>
      <c r="S33" s="1387" t="e">
        <f t="shared" si="9"/>
        <v>#N/A</v>
      </c>
      <c r="T33" s="1386" t="s">
        <v>5</v>
      </c>
      <c r="U33" s="1387" t="e">
        <f t="shared" si="10"/>
        <v>#N/A</v>
      </c>
      <c r="V33" s="1386" t="s">
        <v>5</v>
      </c>
      <c r="W33" s="1387" t="e">
        <f t="shared" si="11"/>
        <v>#N/A</v>
      </c>
      <c r="X33" s="1380"/>
      <c r="Y33" s="3879"/>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9"/>
      <c r="Q34" s="1050" t="str">
        <f t="shared" si="8"/>
        <v>物业管理</v>
      </c>
      <c r="R34" s="1381" t="s">
        <v>5</v>
      </c>
      <c r="S34" s="1382">
        <f t="shared" si="9"/>
        <v>100</v>
      </c>
      <c r="T34" s="1381" t="s">
        <v>5</v>
      </c>
      <c r="U34" s="1382">
        <f t="shared" si="10"/>
        <v>100</v>
      </c>
      <c r="V34" s="1381" t="s">
        <v>5</v>
      </c>
      <c r="W34" s="1382">
        <f t="shared" si="11"/>
        <v>100</v>
      </c>
      <c r="X34" s="1383"/>
      <c r="Y34" s="3879"/>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9" t="s">
        <v>499</v>
      </c>
      <c r="Q35" s="1385" t="str">
        <f t="shared" si="8"/>
        <v>市政基础设施</v>
      </c>
      <c r="R35" s="1386" t="s">
        <v>5</v>
      </c>
      <c r="S35" s="1387">
        <f t="shared" si="9"/>
        <v>100</v>
      </c>
      <c r="T35" s="1386" t="s">
        <v>5</v>
      </c>
      <c r="U35" s="1387">
        <f t="shared" si="10"/>
        <v>100</v>
      </c>
      <c r="V35" s="1386" t="s">
        <v>5</v>
      </c>
      <c r="W35" s="1387">
        <f t="shared" si="11"/>
        <v>100</v>
      </c>
      <c r="X35" s="1380"/>
      <c r="Y35" s="3879"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9"/>
      <c r="Q36" s="1385" t="str">
        <f t="shared" si="8"/>
        <v>内部装修</v>
      </c>
      <c r="R36" s="1386" t="s">
        <v>5</v>
      </c>
      <c r="S36" s="1387">
        <f t="shared" si="9"/>
        <v>100</v>
      </c>
      <c r="T36" s="1386" t="s">
        <v>5</v>
      </c>
      <c r="U36" s="1387">
        <f t="shared" si="10"/>
        <v>100</v>
      </c>
      <c r="V36" s="1386" t="s">
        <v>5</v>
      </c>
      <c r="W36" s="1387">
        <f t="shared" si="11"/>
        <v>100</v>
      </c>
      <c r="X36" s="1380"/>
      <c r="Y36" s="3879"/>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9"/>
      <c r="Q37" s="1385" t="str">
        <f t="shared" si="8"/>
        <v>内部装修状况</v>
      </c>
      <c r="R37" s="1386" t="s">
        <v>5</v>
      </c>
      <c r="S37" s="1387">
        <f t="shared" si="9"/>
        <v>100</v>
      </c>
      <c r="T37" s="1386" t="s">
        <v>5</v>
      </c>
      <c r="U37" s="1387">
        <f t="shared" si="10"/>
        <v>100</v>
      </c>
      <c r="V37" s="1386" t="s">
        <v>5</v>
      </c>
      <c r="W37" s="1387">
        <f t="shared" si="11"/>
        <v>100</v>
      </c>
      <c r="X37" s="1380"/>
      <c r="Y37" s="3879"/>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9"/>
      <c r="Q38" s="1414">
        <f t="shared" si="8"/>
        <v>111</v>
      </c>
      <c r="R38" s="1390" t="s">
        <v>5</v>
      </c>
      <c r="S38" s="1391">
        <f t="shared" si="9"/>
        <v>100</v>
      </c>
      <c r="T38" s="1390" t="s">
        <v>5</v>
      </c>
      <c r="U38" s="1391">
        <f t="shared" si="10"/>
        <v>100</v>
      </c>
      <c r="V38" s="1390" t="s">
        <v>5</v>
      </c>
      <c r="W38" s="1391">
        <f t="shared" si="11"/>
        <v>100</v>
      </c>
      <c r="X38" s="1392"/>
      <c r="Y38" s="3879"/>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9"/>
      <c r="Q39" s="1385">
        <f t="shared" si="8"/>
        <v>111</v>
      </c>
      <c r="R39" s="1386" t="s">
        <v>5</v>
      </c>
      <c r="S39" s="1387">
        <f t="shared" si="9"/>
        <v>100</v>
      </c>
      <c r="T39" s="1386" t="s">
        <v>5</v>
      </c>
      <c r="U39" s="1387">
        <f t="shared" si="10"/>
        <v>100</v>
      </c>
      <c r="V39" s="1386" t="s">
        <v>5</v>
      </c>
      <c r="W39" s="1387">
        <f t="shared" si="11"/>
        <v>100</v>
      </c>
      <c r="X39" s="1380"/>
      <c r="Y39" s="3879"/>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7"/>
      <c r="Q40" s="1385">
        <f t="shared" si="8"/>
        <v>111</v>
      </c>
      <c r="R40" s="1386" t="s">
        <v>5</v>
      </c>
      <c r="S40" s="1387">
        <f t="shared" si="9"/>
        <v>100</v>
      </c>
      <c r="T40" s="1386" t="s">
        <v>5</v>
      </c>
      <c r="U40" s="1387">
        <f t="shared" si="10"/>
        <v>100</v>
      </c>
      <c r="V40" s="1386" t="s">
        <v>5</v>
      </c>
      <c r="W40" s="1387">
        <f t="shared" si="11"/>
        <v>100</v>
      </c>
      <c r="X40" s="1380"/>
      <c r="Y40" s="397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80" t="str">
        <f>A41</f>
        <v>成交单价（元/平方米）</v>
      </c>
      <c r="Q41" s="3880"/>
      <c r="R41" s="3976">
        <f>E41</f>
        <v>0</v>
      </c>
      <c r="S41" s="3976"/>
      <c r="T41" s="3976">
        <f>G41</f>
        <v>0</v>
      </c>
      <c r="U41" s="3976"/>
      <c r="V41" s="3976">
        <f>I41</f>
        <v>0</v>
      </c>
      <c r="W41" s="397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80" t="str">
        <f>A42</f>
        <v>比较价格（元/平方米）</v>
      </c>
      <c r="Q42" s="3880"/>
      <c r="R42" s="3976" t="e">
        <f>IF(F1="售价",ROUND(PRODUCT(R41,AA7:AA40),0),ROUND(PRODUCT(R41,AA7:AA40),1))</f>
        <v>#DIV/0!</v>
      </c>
      <c r="S42" s="3976"/>
      <c r="T42" s="3976" t="e">
        <f>IF(F1="售价",ROUND(PRODUCT(T41,AB7:AB40),0),ROUND(PRODUCT(T41,AB7:AB40),1))</f>
        <v>#DIV/0!</v>
      </c>
      <c r="U42" s="3976"/>
      <c r="V42" s="3976" t="e">
        <f>IF(F1="售价",ROUND(PRODUCT(V41,AC7:AC40),0),ROUND(PRODUCT(V41,AC7:AC40),1))</f>
        <v>#DIV/0!</v>
      </c>
      <c r="W42" s="397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85" t="str">
        <f>A43</f>
        <v>估价对象XX用房的比较价格（楼面单价，元/平方米）</v>
      </c>
      <c r="Q43" s="3886"/>
      <c r="R43" s="3975" t="e">
        <f>IF(F1="售价",ROUND(IF(D42="简单平均",AVERAGE(R42:V42),R42*F42+T42*H42+V42*J42),0),ROUND(IF(D42="简单平均",AVERAGE(R42:V42),R42*F42+T42*H42+V42*J42),1))</f>
        <v>#DIV/0!</v>
      </c>
      <c r="S43" s="3975"/>
      <c r="T43" s="3975"/>
      <c r="U43" s="3975"/>
      <c r="V43" s="3975"/>
      <c r="W43" s="397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2023-2</v>
      </c>
      <c r="D52" s="2284">
        <f>EDATE(C52,-1)</f>
        <v>44927</v>
      </c>
      <c r="E52" s="2284">
        <f t="shared" ref="E52:O52" si="13">EDATE(D52,-1)</f>
        <v>44896</v>
      </c>
      <c r="F52" s="2284">
        <f t="shared" si="13"/>
        <v>44866</v>
      </c>
      <c r="G52" s="2284">
        <f t="shared" si="13"/>
        <v>44835</v>
      </c>
      <c r="H52" s="2284">
        <f t="shared" si="13"/>
        <v>44805</v>
      </c>
      <c r="I52" s="2284">
        <f t="shared" si="13"/>
        <v>44774</v>
      </c>
      <c r="J52" s="2284">
        <f t="shared" si="13"/>
        <v>44743</v>
      </c>
      <c r="K52" s="2284">
        <f t="shared" si="13"/>
        <v>44713</v>
      </c>
      <c r="L52" s="2284">
        <f t="shared" si="13"/>
        <v>44682</v>
      </c>
      <c r="M52" s="2284">
        <f t="shared" si="13"/>
        <v>44652</v>
      </c>
      <c r="N52" s="2284">
        <f t="shared" si="13"/>
        <v>44621</v>
      </c>
      <c r="O52" s="2284">
        <f t="shared" si="13"/>
        <v>44593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1" t="s">
        <v>738</v>
      </c>
      <c r="D4" s="3862"/>
      <c r="E4" s="3861" t="s">
        <v>739</v>
      </c>
      <c r="F4" s="3862"/>
      <c r="G4" s="3861" t="s">
        <v>740</v>
      </c>
      <c r="H4" s="3862"/>
      <c r="I4" s="3861" t="s">
        <v>741</v>
      </c>
      <c r="J4" s="3862"/>
      <c r="K4" s="484" t="s">
        <v>742</v>
      </c>
      <c r="L4" s="1856"/>
      <c r="M4" s="1857"/>
      <c r="N4" s="1857"/>
      <c r="O4" s="1857"/>
      <c r="P4" s="3865" t="s">
        <v>743</v>
      </c>
      <c r="Q4" s="3866"/>
      <c r="R4" s="3847" t="s">
        <v>739</v>
      </c>
      <c r="S4" s="3848"/>
      <c r="T4" s="3847" t="s">
        <v>740</v>
      </c>
      <c r="U4" s="3848"/>
      <c r="V4" s="3873" t="s">
        <v>741</v>
      </c>
      <c r="W4" s="3873"/>
      <c r="X4" s="1380"/>
      <c r="Y4" s="3847" t="s">
        <v>743</v>
      </c>
      <c r="Z4" s="3848"/>
      <c r="AA4" s="3858" t="s">
        <v>739</v>
      </c>
      <c r="AB4" s="3859" t="s">
        <v>740</v>
      </c>
      <c r="AC4" s="3858" t="s">
        <v>741</v>
      </c>
    </row>
    <row r="5" spans="1:29" ht="15">
      <c r="A5" s="485"/>
      <c r="B5" s="486"/>
      <c r="C5" s="3851" t="s">
        <v>2192</v>
      </c>
      <c r="D5" s="3852"/>
      <c r="E5" s="3851" t="s">
        <v>2193</v>
      </c>
      <c r="F5" s="3852"/>
      <c r="G5" s="3851" t="s">
        <v>2194</v>
      </c>
      <c r="H5" s="3852"/>
      <c r="I5" s="3851" t="s">
        <v>2195</v>
      </c>
      <c r="J5" s="3852"/>
      <c r="K5" s="484"/>
      <c r="L5" s="1856"/>
      <c r="M5" s="1857"/>
      <c r="N5" s="1857"/>
      <c r="O5" s="1857"/>
      <c r="P5" s="3867"/>
      <c r="Q5" s="3868"/>
      <c r="R5" s="3849"/>
      <c r="S5" s="3850"/>
      <c r="T5" s="3849"/>
      <c r="U5" s="3850"/>
      <c r="V5" s="3873"/>
      <c r="W5" s="3873"/>
      <c r="X5" s="1380"/>
      <c r="Y5" s="3849"/>
      <c r="Z5" s="3850"/>
      <c r="AA5" s="3859"/>
      <c r="AB5" s="3859"/>
      <c r="AC5" s="3859"/>
    </row>
    <row r="6" spans="1:29" ht="15.75" thickBot="1">
      <c r="A6" s="487"/>
      <c r="B6" s="488"/>
      <c r="C6" s="3853" t="s">
        <v>2196</v>
      </c>
      <c r="D6" s="3854"/>
      <c r="E6" s="3894" t="s">
        <v>2196</v>
      </c>
      <c r="F6" s="3895"/>
      <c r="G6" s="3853" t="s">
        <v>2196</v>
      </c>
      <c r="H6" s="3854"/>
      <c r="I6" s="3853" t="s">
        <v>2196</v>
      </c>
      <c r="J6" s="3854"/>
      <c r="K6" s="484" t="s">
        <v>477</v>
      </c>
      <c r="L6" s="1856"/>
      <c r="M6" s="1857"/>
      <c r="N6" s="1857"/>
      <c r="O6" s="1857"/>
      <c r="P6" s="3869"/>
      <c r="Q6" s="3870"/>
      <c r="R6" s="3849"/>
      <c r="S6" s="3850"/>
      <c r="T6" s="3871"/>
      <c r="U6" s="3872"/>
      <c r="V6" s="3873"/>
      <c r="W6" s="3873"/>
      <c r="X6" s="1380"/>
      <c r="Y6" s="3871"/>
      <c r="Z6" s="3872"/>
      <c r="AA6" s="3860"/>
      <c r="AB6" s="3860"/>
      <c r="AC6" s="3860"/>
    </row>
    <row r="7" spans="1:29" s="1118" customFormat="1" ht="15.75" thickBot="1">
      <c r="A7" s="2392"/>
      <c r="B7" s="2399" t="s">
        <v>478</v>
      </c>
      <c r="C7" s="489">
        <f>'数据-取费表'!B2</f>
        <v>44965</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45" t="s">
        <v>479</v>
      </c>
      <c r="Q7" s="3855"/>
      <c r="R7" s="1381" t="s">
        <v>5</v>
      </c>
      <c r="S7" s="1382">
        <f t="shared" ref="S7:S14" si="0">F7</f>
        <v>0</v>
      </c>
      <c r="T7" s="1381" t="s">
        <v>5</v>
      </c>
      <c r="U7" s="1382">
        <f t="shared" ref="U7:U14" si="1">H7</f>
        <v>0</v>
      </c>
      <c r="V7" s="1381" t="s">
        <v>5</v>
      </c>
      <c r="W7" s="1382">
        <f t="shared" ref="W7:W14"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45" t="s">
        <v>482</v>
      </c>
      <c r="Q8" s="3846"/>
      <c r="R8" s="1381" t="s">
        <v>5</v>
      </c>
      <c r="S8" s="1382">
        <f t="shared" si="0"/>
        <v>0</v>
      </c>
      <c r="T8" s="1381" t="s">
        <v>5</v>
      </c>
      <c r="U8" s="1382">
        <f t="shared" si="1"/>
        <v>0</v>
      </c>
      <c r="V8" s="1381" t="s">
        <v>5</v>
      </c>
      <c r="W8" s="1382">
        <f t="shared" si="2"/>
        <v>0</v>
      </c>
      <c r="X8" s="1383"/>
      <c r="Y8" s="3845" t="s">
        <v>482</v>
      </c>
      <c r="Z8" s="3846"/>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80" t="s">
        <v>484</v>
      </c>
      <c r="Q9" s="1050" t="str">
        <f t="shared" ref="Q9:Q14" si="6">B9</f>
        <v>用途</v>
      </c>
      <c r="R9" s="1381" t="s">
        <v>5</v>
      </c>
      <c r="S9" s="1382">
        <f t="shared" si="0"/>
        <v>100</v>
      </c>
      <c r="T9" s="1381" t="s">
        <v>5</v>
      </c>
      <c r="U9" s="1382">
        <f t="shared" si="1"/>
        <v>100</v>
      </c>
      <c r="V9" s="1381" t="s">
        <v>5</v>
      </c>
      <c r="W9" s="1382">
        <f t="shared" si="2"/>
        <v>100</v>
      </c>
      <c r="X9" s="1383"/>
      <c r="Y9" s="379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79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80"/>
      <c r="Q11" s="1050">
        <f t="shared" si="6"/>
        <v>111</v>
      </c>
      <c r="R11" s="1381" t="s">
        <v>5</v>
      </c>
      <c r="S11" s="1382">
        <f t="shared" si="0"/>
        <v>100</v>
      </c>
      <c r="T11" s="1381" t="s">
        <v>5</v>
      </c>
      <c r="U11" s="1382">
        <f t="shared" si="1"/>
        <v>100</v>
      </c>
      <c r="V11" s="1381" t="s">
        <v>5</v>
      </c>
      <c r="W11" s="1382">
        <f t="shared" si="2"/>
        <v>100</v>
      </c>
      <c r="X11" s="1383"/>
      <c r="Y11" s="379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80"/>
      <c r="Q12" s="1050">
        <f t="shared" si="6"/>
        <v>111</v>
      </c>
      <c r="R12" s="1381" t="s">
        <v>5</v>
      </c>
      <c r="S12" s="1382">
        <f t="shared" si="0"/>
        <v>100</v>
      </c>
      <c r="T12" s="1381" t="s">
        <v>5</v>
      </c>
      <c r="U12" s="1382">
        <f t="shared" si="1"/>
        <v>100</v>
      </c>
      <c r="V12" s="1381" t="s">
        <v>5</v>
      </c>
      <c r="W12" s="1382">
        <f t="shared" si="2"/>
        <v>100</v>
      </c>
      <c r="X12" s="1383"/>
      <c r="Y12" s="3794"/>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80"/>
      <c r="Q13" s="1050">
        <f t="shared" si="6"/>
        <v>111</v>
      </c>
      <c r="R13" s="1381" t="s">
        <v>5</v>
      </c>
      <c r="S13" s="1382">
        <f t="shared" si="0"/>
        <v>100</v>
      </c>
      <c r="T13" s="1381" t="s">
        <v>5</v>
      </c>
      <c r="U13" s="1382">
        <f t="shared" si="1"/>
        <v>100</v>
      </c>
      <c r="V13" s="1381" t="s">
        <v>5</v>
      </c>
      <c r="W13" s="1382">
        <f t="shared" si="2"/>
        <v>100</v>
      </c>
      <c r="X13" s="1383"/>
      <c r="Y13" s="3794"/>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6" t="s">
        <v>489</v>
      </c>
      <c r="Q14" s="1385" t="str">
        <f t="shared" si="6"/>
        <v>交通便捷度</v>
      </c>
      <c r="R14" s="1386" t="s">
        <v>5</v>
      </c>
      <c r="S14" s="1387">
        <f t="shared" si="0"/>
        <v>100</v>
      </c>
      <c r="T14" s="1386" t="s">
        <v>5</v>
      </c>
      <c r="U14" s="1387">
        <f t="shared" si="1"/>
        <v>100</v>
      </c>
      <c r="V14" s="1386" t="s">
        <v>5</v>
      </c>
      <c r="W14" s="1387">
        <f t="shared" si="2"/>
        <v>100</v>
      </c>
      <c r="X14" s="1380"/>
      <c r="Y14" s="3876"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7"/>
      <c r="Q15" s="1385"/>
      <c r="R15" s="1386"/>
      <c r="S15" s="1387"/>
      <c r="T15" s="1386"/>
      <c r="U15" s="1387"/>
      <c r="V15" s="1386"/>
      <c r="W15" s="1387"/>
      <c r="X15" s="1380"/>
      <c r="Y15" s="3877"/>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7"/>
      <c r="Q16" s="1385" t="str">
        <f>B16</f>
        <v>公共配套设施</v>
      </c>
      <c r="R16" s="1386" t="s">
        <v>5</v>
      </c>
      <c r="S16" s="1387">
        <f>F16</f>
        <v>100</v>
      </c>
      <c r="T16" s="1386" t="s">
        <v>5</v>
      </c>
      <c r="U16" s="1387">
        <f>H16</f>
        <v>100</v>
      </c>
      <c r="V16" s="1386" t="s">
        <v>5</v>
      </c>
      <c r="W16" s="1387">
        <f>J16</f>
        <v>100</v>
      </c>
      <c r="X16" s="1380"/>
      <c r="Y16" s="3877"/>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7"/>
      <c r="Q17" s="1385"/>
      <c r="R17" s="1386"/>
      <c r="S17" s="1387"/>
      <c r="T17" s="1386"/>
      <c r="U17" s="1387"/>
      <c r="V17" s="1386"/>
      <c r="W17" s="1387"/>
      <c r="X17" s="1380"/>
      <c r="Y17" s="3877"/>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7"/>
      <c r="Q18" s="2193" t="str">
        <f>B18</f>
        <v>基础设施水平</v>
      </c>
      <c r="R18" s="1386" t="s">
        <v>5</v>
      </c>
      <c r="S18" s="1387">
        <f>F18</f>
        <v>100</v>
      </c>
      <c r="T18" s="1386" t="s">
        <v>5</v>
      </c>
      <c r="U18" s="1387">
        <f>H18</f>
        <v>100</v>
      </c>
      <c r="V18" s="1386" t="s">
        <v>5</v>
      </c>
      <c r="W18" s="1387">
        <f>J18</f>
        <v>100</v>
      </c>
      <c r="X18" s="2195"/>
      <c r="Y18" s="3877"/>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7"/>
      <c r="Q19" s="2193"/>
      <c r="R19" s="1386"/>
      <c r="S19" s="1387"/>
      <c r="T19" s="1386"/>
      <c r="U19" s="1387"/>
      <c r="V19" s="1386"/>
      <c r="W19" s="1387"/>
      <c r="X19" s="2195"/>
      <c r="Y19" s="3877"/>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7"/>
      <c r="Q20" s="1385" t="str">
        <f>B20</f>
        <v>自然及人文环境</v>
      </c>
      <c r="R20" s="1386" t="s">
        <v>5</v>
      </c>
      <c r="S20" s="1387">
        <f>F20</f>
        <v>100</v>
      </c>
      <c r="T20" s="1386" t="s">
        <v>5</v>
      </c>
      <c r="U20" s="1387">
        <f>H20</f>
        <v>100</v>
      </c>
      <c r="V20" s="1386" t="s">
        <v>5</v>
      </c>
      <c r="W20" s="1387">
        <f>J20</f>
        <v>100</v>
      </c>
      <c r="X20" s="1380"/>
      <c r="Y20" s="3877"/>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7"/>
      <c r="Q21" s="1385"/>
      <c r="R21" s="1386"/>
      <c r="S21" s="1387"/>
      <c r="T21" s="1386"/>
      <c r="U21" s="1387"/>
      <c r="V21" s="1386"/>
      <c r="W21" s="1387"/>
      <c r="X21" s="1380"/>
      <c r="Y21" s="3877"/>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7"/>
      <c r="Q22" s="1385" t="str">
        <f>B22</f>
        <v>楼层</v>
      </c>
      <c r="R22" s="1386" t="s">
        <v>5</v>
      </c>
      <c r="S22" s="1387">
        <f>F22</f>
        <v>100</v>
      </c>
      <c r="T22" s="1386" t="s">
        <v>5</v>
      </c>
      <c r="U22" s="1387">
        <f>H22</f>
        <v>100</v>
      </c>
      <c r="V22" s="1386" t="s">
        <v>5</v>
      </c>
      <c r="W22" s="1387">
        <f>J22</f>
        <v>100</v>
      </c>
      <c r="X22" s="1380"/>
      <c r="Y22" s="3877"/>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7"/>
      <c r="Q23" s="1385">
        <f>B23</f>
        <v>111</v>
      </c>
      <c r="R23" s="1386" t="s">
        <v>5</v>
      </c>
      <c r="S23" s="1387">
        <f>F23</f>
        <v>100</v>
      </c>
      <c r="T23" s="1386" t="s">
        <v>5</v>
      </c>
      <c r="U23" s="1387">
        <f>H23</f>
        <v>100</v>
      </c>
      <c r="V23" s="1386" t="s">
        <v>5</v>
      </c>
      <c r="W23" s="1387">
        <f>J23</f>
        <v>100</v>
      </c>
      <c r="X23" s="1380"/>
      <c r="Y23" s="3877"/>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7"/>
      <c r="Q24" s="1385">
        <f t="shared" ref="Q24:Q36" si="8">B24</f>
        <v>111</v>
      </c>
      <c r="R24" s="1386" t="s">
        <v>5</v>
      </c>
      <c r="S24" s="1387">
        <f>F24</f>
        <v>100</v>
      </c>
      <c r="T24" s="1386" t="s">
        <v>5</v>
      </c>
      <c r="U24" s="1387">
        <f>H24</f>
        <v>100</v>
      </c>
      <c r="V24" s="1386" t="s">
        <v>5</v>
      </c>
      <c r="W24" s="1387">
        <f>J24</f>
        <v>100</v>
      </c>
      <c r="X24" s="1380"/>
      <c r="Y24" s="3877"/>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7"/>
      <c r="Q25" s="1050">
        <f t="shared" si="8"/>
        <v>111</v>
      </c>
      <c r="R25" s="1381" t="s">
        <v>5</v>
      </c>
      <c r="S25" s="1382">
        <f>F25</f>
        <v>100</v>
      </c>
      <c r="T25" s="1381" t="s">
        <v>5</v>
      </c>
      <c r="U25" s="1382">
        <f>H25</f>
        <v>100</v>
      </c>
      <c r="V25" s="1381" t="s">
        <v>5</v>
      </c>
      <c r="W25" s="1382">
        <f>J25</f>
        <v>100</v>
      </c>
      <c r="X25" s="1383"/>
      <c r="Y25" s="3877"/>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8"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9"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9"/>
      <c r="Q27" s="1414" t="str">
        <f t="shared" si="8"/>
        <v>项目停车位配比</v>
      </c>
      <c r="R27" s="1390" t="s">
        <v>5</v>
      </c>
      <c r="S27" s="1391">
        <f t="shared" si="9"/>
        <v>100</v>
      </c>
      <c r="T27" s="1390" t="s">
        <v>5</v>
      </c>
      <c r="U27" s="1391">
        <f t="shared" si="10"/>
        <v>100</v>
      </c>
      <c r="V27" s="1390" t="s">
        <v>5</v>
      </c>
      <c r="W27" s="1391">
        <f t="shared" si="11"/>
        <v>100</v>
      </c>
      <c r="X27" s="1392"/>
      <c r="Y27" s="3879"/>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9"/>
      <c r="Q28" s="1385" t="str">
        <f t="shared" si="8"/>
        <v>公共部分装修</v>
      </c>
      <c r="R28" s="1386" t="s">
        <v>5</v>
      </c>
      <c r="S28" s="1387">
        <f t="shared" si="9"/>
        <v>100</v>
      </c>
      <c r="T28" s="1386" t="s">
        <v>5</v>
      </c>
      <c r="U28" s="1387">
        <f t="shared" si="10"/>
        <v>100</v>
      </c>
      <c r="V28" s="1386" t="s">
        <v>5</v>
      </c>
      <c r="W28" s="1387">
        <f t="shared" si="11"/>
        <v>100</v>
      </c>
      <c r="X28" s="1380"/>
      <c r="Y28" s="3879"/>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9"/>
      <c r="Q29" s="1385" t="str">
        <f t="shared" si="8"/>
        <v>成新率</v>
      </c>
      <c r="R29" s="1386" t="s">
        <v>5</v>
      </c>
      <c r="S29" s="1387" t="e">
        <f t="shared" si="9"/>
        <v>#N/A</v>
      </c>
      <c r="T29" s="1386" t="s">
        <v>5</v>
      </c>
      <c r="U29" s="1387" t="e">
        <f t="shared" si="10"/>
        <v>#N/A</v>
      </c>
      <c r="V29" s="1386" t="s">
        <v>5</v>
      </c>
      <c r="W29" s="1387" t="e">
        <f t="shared" si="11"/>
        <v>#N/A</v>
      </c>
      <c r="X29" s="1380"/>
      <c r="Y29" s="3879"/>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9"/>
      <c r="Q30" s="1385" t="str">
        <f t="shared" si="8"/>
        <v>物业等级</v>
      </c>
      <c r="R30" s="1386" t="s">
        <v>5</v>
      </c>
      <c r="S30" s="1387">
        <f t="shared" si="9"/>
        <v>100</v>
      </c>
      <c r="T30" s="1386" t="s">
        <v>5</v>
      </c>
      <c r="U30" s="1387">
        <f t="shared" si="10"/>
        <v>100</v>
      </c>
      <c r="V30" s="1386" t="s">
        <v>5</v>
      </c>
      <c r="W30" s="1387">
        <f t="shared" si="11"/>
        <v>100</v>
      </c>
      <c r="X30" s="1380"/>
      <c r="Y30" s="3879"/>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9"/>
      <c r="Q31" s="1050" t="str">
        <f t="shared" si="8"/>
        <v>停车位面积</v>
      </c>
      <c r="R31" s="1381" t="s">
        <v>5</v>
      </c>
      <c r="S31" s="1382" t="e">
        <f t="shared" si="9"/>
        <v>#N/A</v>
      </c>
      <c r="T31" s="1381" t="s">
        <v>5</v>
      </c>
      <c r="U31" s="1382" t="e">
        <f t="shared" si="10"/>
        <v>#N/A</v>
      </c>
      <c r="V31" s="1381" t="s">
        <v>5</v>
      </c>
      <c r="W31" s="1382" t="e">
        <f t="shared" si="11"/>
        <v>#N/A</v>
      </c>
      <c r="X31" s="1383"/>
      <c r="Y31" s="3879"/>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9" t="s">
        <v>499</v>
      </c>
      <c r="Q32" s="1385" t="str">
        <f t="shared" si="8"/>
        <v>车位类型</v>
      </c>
      <c r="R32" s="1386" t="s">
        <v>5</v>
      </c>
      <c r="S32" s="1387">
        <f t="shared" si="9"/>
        <v>100</v>
      </c>
      <c r="T32" s="1386" t="s">
        <v>5</v>
      </c>
      <c r="U32" s="1387">
        <f t="shared" si="10"/>
        <v>100</v>
      </c>
      <c r="V32" s="1386" t="s">
        <v>5</v>
      </c>
      <c r="W32" s="1387">
        <f t="shared" si="11"/>
        <v>100</v>
      </c>
      <c r="X32" s="1380"/>
      <c r="Y32" s="3879"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9"/>
      <c r="Q33" s="1385" t="str">
        <f t="shared" si="8"/>
        <v>是否直接入户</v>
      </c>
      <c r="R33" s="1386" t="s">
        <v>5</v>
      </c>
      <c r="S33" s="1387">
        <f t="shared" si="9"/>
        <v>100</v>
      </c>
      <c r="T33" s="1386" t="s">
        <v>5</v>
      </c>
      <c r="U33" s="1387">
        <f t="shared" si="10"/>
        <v>100</v>
      </c>
      <c r="V33" s="1386" t="s">
        <v>5</v>
      </c>
      <c r="W33" s="1387">
        <f t="shared" si="11"/>
        <v>100</v>
      </c>
      <c r="X33" s="1380"/>
      <c r="Y33" s="3879"/>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9"/>
      <c r="Q34" s="1385">
        <f t="shared" si="8"/>
        <v>111</v>
      </c>
      <c r="R34" s="1386" t="s">
        <v>5</v>
      </c>
      <c r="S34" s="1387">
        <f t="shared" si="9"/>
        <v>100</v>
      </c>
      <c r="T34" s="1386" t="s">
        <v>5</v>
      </c>
      <c r="U34" s="1387">
        <f t="shared" si="10"/>
        <v>100</v>
      </c>
      <c r="V34" s="1386" t="s">
        <v>5</v>
      </c>
      <c r="W34" s="1387">
        <f t="shared" si="11"/>
        <v>100</v>
      </c>
      <c r="X34" s="1380"/>
      <c r="Y34" s="3879"/>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9"/>
      <c r="Q35" s="1414">
        <f t="shared" si="8"/>
        <v>111</v>
      </c>
      <c r="R35" s="1390" t="s">
        <v>5</v>
      </c>
      <c r="S35" s="1391">
        <f t="shared" si="9"/>
        <v>100</v>
      </c>
      <c r="T35" s="1390" t="s">
        <v>5</v>
      </c>
      <c r="U35" s="1391">
        <f t="shared" si="10"/>
        <v>100</v>
      </c>
      <c r="V35" s="1390" t="s">
        <v>5</v>
      </c>
      <c r="W35" s="1391">
        <f t="shared" si="11"/>
        <v>100</v>
      </c>
      <c r="X35" s="1392"/>
      <c r="Y35" s="3879"/>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9"/>
      <c r="Q36" s="1385">
        <f t="shared" si="8"/>
        <v>111</v>
      </c>
      <c r="R36" s="1386" t="s">
        <v>5</v>
      </c>
      <c r="S36" s="1387">
        <f t="shared" si="9"/>
        <v>100</v>
      </c>
      <c r="T36" s="1386" t="s">
        <v>5</v>
      </c>
      <c r="U36" s="1387">
        <f t="shared" si="10"/>
        <v>100</v>
      </c>
      <c r="V36" s="1386" t="s">
        <v>5</v>
      </c>
      <c r="W36" s="1387">
        <f t="shared" si="11"/>
        <v>100</v>
      </c>
      <c r="X36" s="1380"/>
      <c r="Y36" s="3879"/>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80" t="str">
        <f>A37</f>
        <v>成交单价</v>
      </c>
      <c r="Q37" s="3880"/>
      <c r="R37" s="3976">
        <f>E37</f>
        <v>0</v>
      </c>
      <c r="S37" s="3976"/>
      <c r="T37" s="3976">
        <f>G37</f>
        <v>0</v>
      </c>
      <c r="U37" s="3976"/>
      <c r="V37" s="3976">
        <f>I37</f>
        <v>0</v>
      </c>
      <c r="W37" s="397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80" t="str">
        <f>A38</f>
        <v>比较价格（元/平方米）</v>
      </c>
      <c r="Q38" s="3880"/>
      <c r="R38" s="3976" t="e">
        <f>IF(F1="售价",ROUND(PRODUCT(R37,AA7:AA36),0),ROUND(PRODUCT(R37,AA7:AA36),1))</f>
        <v>#DIV/0!</v>
      </c>
      <c r="S38" s="3976"/>
      <c r="T38" s="3976" t="e">
        <f>IF(F1="售价",ROUND(PRODUCT(T37,AB7:AB36),0),ROUND(PRODUCT(T37,AB7:AB36),1))</f>
        <v>#DIV/0!</v>
      </c>
      <c r="U38" s="3976"/>
      <c r="V38" s="3976" t="e">
        <f>IF(F1="售价",ROUND(PRODUCT(V37,AC7:AC36),0),ROUND(PRODUCT(V37,AC7:AC36),1))</f>
        <v>#DIV/0!</v>
      </c>
      <c r="W38" s="397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85" t="str">
        <f>A39</f>
        <v>估价对象XX用房的比较价格（楼面单价，元/平方米）</v>
      </c>
      <c r="Q39" s="3886"/>
      <c r="R39" s="3975" t="e">
        <f>IF(F1="售价",ROUND(IF(D38="简单平均",AVERAGE(R38:W38),R38*F38+T38*H38+V38*J38),0),ROUND(IF(D38="简单平均",AVERAGE(R38:V38),R38*F38+T38*H38+V38*J38),1))</f>
        <v>#DIV/0!</v>
      </c>
      <c r="S39" s="3975"/>
      <c r="T39" s="3975"/>
      <c r="U39" s="3975"/>
      <c r="V39" s="3975"/>
      <c r="W39" s="397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2023-2</v>
      </c>
      <c r="D48" s="2284">
        <f>EDATE(C48,-1)</f>
        <v>44927</v>
      </c>
      <c r="E48" s="2284">
        <f t="shared" ref="E48:O48" si="13">EDATE(D48,-1)</f>
        <v>44896</v>
      </c>
      <c r="F48" s="2284">
        <f t="shared" si="13"/>
        <v>44866</v>
      </c>
      <c r="G48" s="2284">
        <f t="shared" si="13"/>
        <v>44835</v>
      </c>
      <c r="H48" s="2284">
        <f t="shared" si="13"/>
        <v>44805</v>
      </c>
      <c r="I48" s="2284">
        <f t="shared" si="13"/>
        <v>44774</v>
      </c>
      <c r="J48" s="2284">
        <f t="shared" si="13"/>
        <v>44743</v>
      </c>
      <c r="K48" s="2284">
        <f t="shared" si="13"/>
        <v>44713</v>
      </c>
      <c r="L48" s="2284">
        <f t="shared" si="13"/>
        <v>44682</v>
      </c>
      <c r="M48" s="2284">
        <f t="shared" si="13"/>
        <v>44652</v>
      </c>
      <c r="N48" s="2284">
        <f t="shared" si="13"/>
        <v>44621</v>
      </c>
      <c r="O48" s="2284">
        <f t="shared" si="13"/>
        <v>44593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1" t="s">
        <v>738</v>
      </c>
      <c r="D4" s="3862"/>
      <c r="E4" s="3863" t="s">
        <v>739</v>
      </c>
      <c r="F4" s="3864"/>
      <c r="G4" s="3861" t="s">
        <v>740</v>
      </c>
      <c r="H4" s="3862"/>
      <c r="I4" s="3861" t="s">
        <v>741</v>
      </c>
      <c r="J4" s="3862"/>
      <c r="K4" s="484" t="s">
        <v>742</v>
      </c>
      <c r="L4" s="1856"/>
      <c r="M4" s="1857"/>
      <c r="N4" s="1857"/>
      <c r="O4" s="1857"/>
      <c r="P4" s="3865" t="s">
        <v>743</v>
      </c>
      <c r="Q4" s="3866"/>
      <c r="R4" s="3847" t="s">
        <v>739</v>
      </c>
      <c r="S4" s="3848"/>
      <c r="T4" s="3847" t="s">
        <v>740</v>
      </c>
      <c r="U4" s="3848"/>
      <c r="V4" s="3873" t="s">
        <v>741</v>
      </c>
      <c r="W4" s="3873"/>
      <c r="X4" s="1380"/>
      <c r="Y4" s="3847" t="s">
        <v>743</v>
      </c>
      <c r="Z4" s="3848"/>
      <c r="AA4" s="3858" t="s">
        <v>739</v>
      </c>
      <c r="AB4" s="3859" t="s">
        <v>740</v>
      </c>
      <c r="AC4" s="3858" t="s">
        <v>741</v>
      </c>
    </row>
    <row r="5" spans="1:29" ht="15">
      <c r="A5" s="485"/>
      <c r="B5" s="486"/>
      <c r="C5" s="3851" t="s">
        <v>2192</v>
      </c>
      <c r="D5" s="3852"/>
      <c r="E5" s="3874" t="s">
        <v>2193</v>
      </c>
      <c r="F5" s="3875"/>
      <c r="G5" s="3851" t="s">
        <v>2194</v>
      </c>
      <c r="H5" s="3852"/>
      <c r="I5" s="3851" t="s">
        <v>2195</v>
      </c>
      <c r="J5" s="3852"/>
      <c r="K5" s="484"/>
      <c r="L5" s="1856"/>
      <c r="M5" s="1857"/>
      <c r="N5" s="1857"/>
      <c r="O5" s="1857"/>
      <c r="P5" s="3867"/>
      <c r="Q5" s="3868"/>
      <c r="R5" s="3849"/>
      <c r="S5" s="3850"/>
      <c r="T5" s="3849"/>
      <c r="U5" s="3850"/>
      <c r="V5" s="3873"/>
      <c r="W5" s="3873"/>
      <c r="X5" s="1380"/>
      <c r="Y5" s="3849"/>
      <c r="Z5" s="3850"/>
      <c r="AA5" s="3859"/>
      <c r="AB5" s="3859"/>
      <c r="AC5" s="3859"/>
    </row>
    <row r="6" spans="1:29" ht="15.75" thickBot="1">
      <c r="A6" s="487"/>
      <c r="B6" s="488"/>
      <c r="C6" s="3853" t="s">
        <v>2196</v>
      </c>
      <c r="D6" s="3854"/>
      <c r="E6" s="3856" t="s">
        <v>2196</v>
      </c>
      <c r="F6" s="3857"/>
      <c r="G6" s="3853" t="s">
        <v>2196</v>
      </c>
      <c r="H6" s="3854"/>
      <c r="I6" s="3853" t="s">
        <v>2196</v>
      </c>
      <c r="J6" s="3854"/>
      <c r="K6" s="484" t="s">
        <v>477</v>
      </c>
      <c r="L6" s="1856"/>
      <c r="M6" s="1857"/>
      <c r="N6" s="1857"/>
      <c r="O6" s="1857"/>
      <c r="P6" s="3869"/>
      <c r="Q6" s="3870"/>
      <c r="R6" s="3849"/>
      <c r="S6" s="3850"/>
      <c r="T6" s="3871"/>
      <c r="U6" s="3872"/>
      <c r="V6" s="3873"/>
      <c r="W6" s="3873"/>
      <c r="X6" s="1380"/>
      <c r="Y6" s="3871"/>
      <c r="Z6" s="3872"/>
      <c r="AA6" s="3860"/>
      <c r="AB6" s="3860"/>
      <c r="AC6" s="3860"/>
    </row>
    <row r="7" spans="1:29" s="1118" customFormat="1" ht="15.75" thickBot="1">
      <c r="A7" s="2392"/>
      <c r="B7" s="2399" t="s">
        <v>478</v>
      </c>
      <c r="C7" s="489">
        <f>'数据-取费表'!B2</f>
        <v>44965</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45" t="s">
        <v>479</v>
      </c>
      <c r="Q7" s="3855"/>
      <c r="R7" s="1381" t="s">
        <v>5</v>
      </c>
      <c r="S7" s="1382">
        <f t="shared" ref="S7:S14" si="0">F7</f>
        <v>0</v>
      </c>
      <c r="T7" s="1381" t="s">
        <v>5</v>
      </c>
      <c r="U7" s="1382">
        <f t="shared" ref="U7:U14" si="1">H7</f>
        <v>0</v>
      </c>
      <c r="V7" s="1381" t="s">
        <v>5</v>
      </c>
      <c r="W7" s="1382">
        <f t="shared" ref="W7:W14" si="2">J7</f>
        <v>0</v>
      </c>
      <c r="X7" s="1383"/>
      <c r="Y7" s="3845" t="s">
        <v>479</v>
      </c>
      <c r="Z7" s="3846"/>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45" t="s">
        <v>482</v>
      </c>
      <c r="Q8" s="3846"/>
      <c r="R8" s="1381" t="s">
        <v>5</v>
      </c>
      <c r="S8" s="1382">
        <f t="shared" si="0"/>
        <v>0</v>
      </c>
      <c r="T8" s="1381" t="s">
        <v>5</v>
      </c>
      <c r="U8" s="1382">
        <f t="shared" si="1"/>
        <v>0</v>
      </c>
      <c r="V8" s="1381" t="s">
        <v>5</v>
      </c>
      <c r="W8" s="1382">
        <f t="shared" si="2"/>
        <v>0</v>
      </c>
      <c r="X8" s="1383"/>
      <c r="Y8" s="3845" t="s">
        <v>482</v>
      </c>
      <c r="Z8" s="3846"/>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80" t="s">
        <v>484</v>
      </c>
      <c r="Q9" s="1050" t="str">
        <f t="shared" ref="Q9:Q14" si="6">B9</f>
        <v>用途</v>
      </c>
      <c r="R9" s="1381" t="s">
        <v>5</v>
      </c>
      <c r="S9" s="1382">
        <f t="shared" si="0"/>
        <v>100</v>
      </c>
      <c r="T9" s="1381" t="s">
        <v>5</v>
      </c>
      <c r="U9" s="1382">
        <f t="shared" si="1"/>
        <v>100</v>
      </c>
      <c r="V9" s="1381" t="s">
        <v>5</v>
      </c>
      <c r="W9" s="1382">
        <f t="shared" si="2"/>
        <v>100</v>
      </c>
      <c r="X9" s="1383"/>
      <c r="Y9" s="379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80"/>
      <c r="Q10" s="1050" t="str">
        <f t="shared" si="6"/>
        <v>土地使用年限（年）</v>
      </c>
      <c r="R10" s="1381" t="s">
        <v>5</v>
      </c>
      <c r="S10" s="1382">
        <f t="shared" si="0"/>
        <v>100</v>
      </c>
      <c r="T10" s="1381" t="s">
        <v>5</v>
      </c>
      <c r="U10" s="1382">
        <f t="shared" si="1"/>
        <v>100</v>
      </c>
      <c r="V10" s="1381" t="s">
        <v>5</v>
      </c>
      <c r="W10" s="1382">
        <f t="shared" si="2"/>
        <v>100</v>
      </c>
      <c r="X10" s="1383"/>
      <c r="Y10" s="379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80"/>
      <c r="Q11" s="1050">
        <f t="shared" si="6"/>
        <v>111</v>
      </c>
      <c r="R11" s="1381" t="s">
        <v>5</v>
      </c>
      <c r="S11" s="1382">
        <f t="shared" si="0"/>
        <v>100</v>
      </c>
      <c r="T11" s="1381" t="s">
        <v>5</v>
      </c>
      <c r="U11" s="1382">
        <f t="shared" si="1"/>
        <v>100</v>
      </c>
      <c r="V11" s="1381" t="s">
        <v>5</v>
      </c>
      <c r="W11" s="1382">
        <f t="shared" si="2"/>
        <v>100</v>
      </c>
      <c r="X11" s="1383"/>
      <c r="Y11" s="379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80"/>
      <c r="Q12" s="1050">
        <f t="shared" si="6"/>
        <v>111</v>
      </c>
      <c r="R12" s="1381" t="s">
        <v>5</v>
      </c>
      <c r="S12" s="1382">
        <f t="shared" si="0"/>
        <v>100</v>
      </c>
      <c r="T12" s="1381" t="s">
        <v>5</v>
      </c>
      <c r="U12" s="1382">
        <f t="shared" si="1"/>
        <v>100</v>
      </c>
      <c r="V12" s="1381" t="s">
        <v>5</v>
      </c>
      <c r="W12" s="1382">
        <f t="shared" si="2"/>
        <v>100</v>
      </c>
      <c r="X12" s="1383"/>
      <c r="Y12" s="3794"/>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80"/>
      <c r="Q13" s="1050">
        <f t="shared" si="6"/>
        <v>111</v>
      </c>
      <c r="R13" s="1381" t="s">
        <v>5</v>
      </c>
      <c r="S13" s="1382">
        <f t="shared" si="0"/>
        <v>100</v>
      </c>
      <c r="T13" s="1381" t="s">
        <v>5</v>
      </c>
      <c r="U13" s="1382">
        <f t="shared" si="1"/>
        <v>100</v>
      </c>
      <c r="V13" s="1381" t="s">
        <v>5</v>
      </c>
      <c r="W13" s="1382">
        <f t="shared" si="2"/>
        <v>100</v>
      </c>
      <c r="X13" s="1383"/>
      <c r="Y13" s="3794"/>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6" t="s">
        <v>489</v>
      </c>
      <c r="Q14" s="1385" t="str">
        <f t="shared" si="6"/>
        <v>交通便捷度</v>
      </c>
      <c r="R14" s="1386" t="s">
        <v>5</v>
      </c>
      <c r="S14" s="1387">
        <f t="shared" si="0"/>
        <v>100</v>
      </c>
      <c r="T14" s="1386" t="s">
        <v>5</v>
      </c>
      <c r="U14" s="1387">
        <f t="shared" si="1"/>
        <v>100</v>
      </c>
      <c r="V14" s="1386" t="s">
        <v>5</v>
      </c>
      <c r="W14" s="1387">
        <f t="shared" si="2"/>
        <v>100</v>
      </c>
      <c r="X14" s="1380"/>
      <c r="Y14" s="3876"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7"/>
      <c r="Q15" s="1385"/>
      <c r="R15" s="1386"/>
      <c r="S15" s="1387"/>
      <c r="T15" s="1386"/>
      <c r="U15" s="1387"/>
      <c r="V15" s="1386"/>
      <c r="W15" s="1387"/>
      <c r="X15" s="1380"/>
      <c r="Y15" s="3877"/>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7"/>
      <c r="Q16" s="1385" t="str">
        <f>B16</f>
        <v>公共配套设施</v>
      </c>
      <c r="R16" s="1386" t="s">
        <v>5</v>
      </c>
      <c r="S16" s="1387">
        <f>F16</f>
        <v>100</v>
      </c>
      <c r="T16" s="1386" t="s">
        <v>5</v>
      </c>
      <c r="U16" s="1387">
        <f>H16</f>
        <v>100</v>
      </c>
      <c r="V16" s="1386" t="s">
        <v>5</v>
      </c>
      <c r="W16" s="1387">
        <f>J16</f>
        <v>100</v>
      </c>
      <c r="X16" s="1380"/>
      <c r="Y16" s="3877"/>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7"/>
      <c r="Q17" s="1385"/>
      <c r="R17" s="1386"/>
      <c r="S17" s="1387"/>
      <c r="T17" s="1386"/>
      <c r="U17" s="1387"/>
      <c r="V17" s="1386"/>
      <c r="W17" s="1387"/>
      <c r="X17" s="1380"/>
      <c r="Y17" s="3877"/>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7"/>
      <c r="Q18" s="2193" t="str">
        <f>B18</f>
        <v>基础设施水平</v>
      </c>
      <c r="R18" s="1386" t="s">
        <v>5</v>
      </c>
      <c r="S18" s="1387">
        <f>F18</f>
        <v>100</v>
      </c>
      <c r="T18" s="1386" t="s">
        <v>5</v>
      </c>
      <c r="U18" s="1387">
        <f>H18</f>
        <v>100</v>
      </c>
      <c r="V18" s="1386" t="s">
        <v>5</v>
      </c>
      <c r="W18" s="1387">
        <f>J18</f>
        <v>100</v>
      </c>
      <c r="X18" s="2195"/>
      <c r="Y18" s="3877"/>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7"/>
      <c r="Q19" s="2193"/>
      <c r="R19" s="1386"/>
      <c r="S19" s="1387"/>
      <c r="T19" s="1386"/>
      <c r="U19" s="1387"/>
      <c r="V19" s="1386"/>
      <c r="W19" s="1387"/>
      <c r="X19" s="2195"/>
      <c r="Y19" s="3877"/>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7"/>
      <c r="Q20" s="1385" t="str">
        <f>B20</f>
        <v>自然及人文环境</v>
      </c>
      <c r="R20" s="1386" t="s">
        <v>5</v>
      </c>
      <c r="S20" s="1387">
        <f>F20</f>
        <v>100</v>
      </c>
      <c r="T20" s="1386" t="s">
        <v>5</v>
      </c>
      <c r="U20" s="1387">
        <f>H20</f>
        <v>100</v>
      </c>
      <c r="V20" s="1386" t="s">
        <v>5</v>
      </c>
      <c r="W20" s="1387">
        <f>J20</f>
        <v>100</v>
      </c>
      <c r="X20" s="1380"/>
      <c r="Y20" s="3877"/>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7"/>
      <c r="Q21" s="1385"/>
      <c r="R21" s="1386"/>
      <c r="S21" s="1387"/>
      <c r="T21" s="1386"/>
      <c r="U21" s="1387"/>
      <c r="V21" s="1386"/>
      <c r="W21" s="1387"/>
      <c r="X21" s="1380"/>
      <c r="Y21" s="3877"/>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7"/>
      <c r="Q22" s="1385" t="str">
        <f>B22</f>
        <v>楼层</v>
      </c>
      <c r="R22" s="1386" t="s">
        <v>5</v>
      </c>
      <c r="S22" s="1387">
        <f>F22</f>
        <v>100</v>
      </c>
      <c r="T22" s="1386" t="s">
        <v>5</v>
      </c>
      <c r="U22" s="1387">
        <f>H22</f>
        <v>100</v>
      </c>
      <c r="V22" s="1386" t="s">
        <v>5</v>
      </c>
      <c r="W22" s="1387">
        <f>J22</f>
        <v>100</v>
      </c>
      <c r="X22" s="1380"/>
      <c r="Y22" s="3877"/>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7"/>
      <c r="Q23" s="1385">
        <f>B23</f>
        <v>111</v>
      </c>
      <c r="R23" s="1386" t="s">
        <v>5</v>
      </c>
      <c r="S23" s="1387">
        <f>F23</f>
        <v>100</v>
      </c>
      <c r="T23" s="1386" t="s">
        <v>5</v>
      </c>
      <c r="U23" s="1387">
        <f>H23</f>
        <v>100</v>
      </c>
      <c r="V23" s="1386" t="s">
        <v>5</v>
      </c>
      <c r="W23" s="1387">
        <f>J23</f>
        <v>100</v>
      </c>
      <c r="X23" s="1380"/>
      <c r="Y23" s="3877"/>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7"/>
      <c r="Q24" s="1385">
        <f t="shared" ref="Q24:Q34" si="8">B24</f>
        <v>111</v>
      </c>
      <c r="R24" s="1386" t="s">
        <v>5</v>
      </c>
      <c r="S24" s="1387">
        <f>F24</f>
        <v>100</v>
      </c>
      <c r="T24" s="1386" t="s">
        <v>5</v>
      </c>
      <c r="U24" s="1387">
        <f>H24</f>
        <v>100</v>
      </c>
      <c r="V24" s="1386" t="s">
        <v>5</v>
      </c>
      <c r="W24" s="1387">
        <f>J24</f>
        <v>100</v>
      </c>
      <c r="X24" s="1380"/>
      <c r="Y24" s="3877"/>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7"/>
      <c r="Q25" s="1050">
        <f t="shared" si="8"/>
        <v>111</v>
      </c>
      <c r="R25" s="1381" t="s">
        <v>5</v>
      </c>
      <c r="S25" s="1382">
        <f>F25</f>
        <v>100</v>
      </c>
      <c r="T25" s="1381" t="s">
        <v>5</v>
      </c>
      <c r="U25" s="1382">
        <f>H25</f>
        <v>100</v>
      </c>
      <c r="V25" s="1381" t="s">
        <v>5</v>
      </c>
      <c r="W25" s="1382">
        <f>J25</f>
        <v>100</v>
      </c>
      <c r="X25" s="1383"/>
      <c r="Y25" s="3877"/>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8"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9"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9"/>
      <c r="Q27" s="1414" t="str">
        <f t="shared" si="8"/>
        <v>成新率</v>
      </c>
      <c r="R27" s="1390" t="s">
        <v>5</v>
      </c>
      <c r="S27" s="1391" t="e">
        <f t="shared" si="9"/>
        <v>#N/A</v>
      </c>
      <c r="T27" s="1390" t="s">
        <v>5</v>
      </c>
      <c r="U27" s="1391" t="e">
        <f t="shared" si="10"/>
        <v>#N/A</v>
      </c>
      <c r="V27" s="1390" t="s">
        <v>5</v>
      </c>
      <c r="W27" s="1391" t="e">
        <f t="shared" si="11"/>
        <v>#N/A</v>
      </c>
      <c r="X27" s="1392"/>
      <c r="Y27" s="3879"/>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9"/>
      <c r="Q28" s="1385" t="str">
        <f t="shared" si="8"/>
        <v>物业等级</v>
      </c>
      <c r="R28" s="1386" t="s">
        <v>5</v>
      </c>
      <c r="S28" s="1387">
        <f t="shared" si="9"/>
        <v>100</v>
      </c>
      <c r="T28" s="1386" t="s">
        <v>5</v>
      </c>
      <c r="U28" s="1387">
        <f t="shared" si="10"/>
        <v>100</v>
      </c>
      <c r="V28" s="1386" t="s">
        <v>5</v>
      </c>
      <c r="W28" s="1387">
        <f t="shared" si="11"/>
        <v>100</v>
      </c>
      <c r="X28" s="1380"/>
      <c r="Y28" s="3879"/>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9"/>
      <c r="Q29" s="1385" t="str">
        <f t="shared" si="8"/>
        <v>有无电梯</v>
      </c>
      <c r="R29" s="1386" t="s">
        <v>5</v>
      </c>
      <c r="S29" s="1387">
        <f t="shared" si="9"/>
        <v>100</v>
      </c>
      <c r="T29" s="1386" t="s">
        <v>5</v>
      </c>
      <c r="U29" s="1387">
        <f t="shared" si="10"/>
        <v>100</v>
      </c>
      <c r="V29" s="1386" t="s">
        <v>5</v>
      </c>
      <c r="W29" s="1387">
        <f t="shared" si="11"/>
        <v>100</v>
      </c>
      <c r="X29" s="1380"/>
      <c r="Y29" s="3879"/>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9"/>
      <c r="Q30" s="1385" t="str">
        <f t="shared" si="8"/>
        <v>建筑面积</v>
      </c>
      <c r="R30" s="1386" t="s">
        <v>5</v>
      </c>
      <c r="S30" s="1387" t="e">
        <f t="shared" si="9"/>
        <v>#N/A</v>
      </c>
      <c r="T30" s="1386" t="s">
        <v>5</v>
      </c>
      <c r="U30" s="1387" t="e">
        <f t="shared" si="10"/>
        <v>#N/A</v>
      </c>
      <c r="V30" s="1386" t="s">
        <v>5</v>
      </c>
      <c r="W30" s="1387" t="e">
        <f t="shared" si="11"/>
        <v>#N/A</v>
      </c>
      <c r="X30" s="1380"/>
      <c r="Y30" s="3879"/>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9"/>
      <c r="Q31" s="1050" t="str">
        <f t="shared" si="8"/>
        <v>是否封闭</v>
      </c>
      <c r="R31" s="1381" t="s">
        <v>5</v>
      </c>
      <c r="S31" s="1382">
        <f t="shared" si="9"/>
        <v>100</v>
      </c>
      <c r="T31" s="1381" t="s">
        <v>5</v>
      </c>
      <c r="U31" s="1382">
        <f t="shared" si="10"/>
        <v>100</v>
      </c>
      <c r="V31" s="1381" t="s">
        <v>5</v>
      </c>
      <c r="W31" s="1382">
        <f t="shared" si="11"/>
        <v>100</v>
      </c>
      <c r="X31" s="1383"/>
      <c r="Y31" s="3879"/>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9" t="s">
        <v>499</v>
      </c>
      <c r="Q32" s="1385">
        <f t="shared" si="8"/>
        <v>111</v>
      </c>
      <c r="R32" s="1386" t="s">
        <v>5</v>
      </c>
      <c r="S32" s="1387">
        <f t="shared" si="9"/>
        <v>100</v>
      </c>
      <c r="T32" s="1386" t="s">
        <v>5</v>
      </c>
      <c r="U32" s="1387">
        <f t="shared" si="10"/>
        <v>100</v>
      </c>
      <c r="V32" s="1386" t="s">
        <v>5</v>
      </c>
      <c r="W32" s="1387">
        <f t="shared" si="11"/>
        <v>100</v>
      </c>
      <c r="X32" s="1380"/>
      <c r="Y32" s="3879"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9"/>
      <c r="Q33" s="1385">
        <f t="shared" si="8"/>
        <v>111</v>
      </c>
      <c r="R33" s="1386" t="s">
        <v>5</v>
      </c>
      <c r="S33" s="1387">
        <f t="shared" si="9"/>
        <v>100</v>
      </c>
      <c r="T33" s="1386" t="s">
        <v>5</v>
      </c>
      <c r="U33" s="1387">
        <f t="shared" si="10"/>
        <v>100</v>
      </c>
      <c r="V33" s="1386" t="s">
        <v>5</v>
      </c>
      <c r="W33" s="1387">
        <f t="shared" si="11"/>
        <v>100</v>
      </c>
      <c r="X33" s="1380"/>
      <c r="Y33" s="3879"/>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9"/>
      <c r="Q34" s="1385">
        <f t="shared" si="8"/>
        <v>111</v>
      </c>
      <c r="R34" s="1386" t="s">
        <v>5</v>
      </c>
      <c r="S34" s="1387">
        <f t="shared" si="9"/>
        <v>100</v>
      </c>
      <c r="T34" s="1386" t="s">
        <v>5</v>
      </c>
      <c r="U34" s="1387">
        <f t="shared" si="10"/>
        <v>100</v>
      </c>
      <c r="V34" s="1386" t="s">
        <v>5</v>
      </c>
      <c r="W34" s="1387">
        <f t="shared" si="11"/>
        <v>100</v>
      </c>
      <c r="X34" s="1380"/>
      <c r="Y34" s="3879"/>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80" t="str">
        <f>A35</f>
        <v>成交单价（元/平方米）</v>
      </c>
      <c r="Q35" s="3880"/>
      <c r="R35" s="3976">
        <f>E35</f>
        <v>0</v>
      </c>
      <c r="S35" s="3976"/>
      <c r="T35" s="3976">
        <f>G35</f>
        <v>0</v>
      </c>
      <c r="U35" s="3976"/>
      <c r="V35" s="3976">
        <f>I35</f>
        <v>0</v>
      </c>
      <c r="W35" s="397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80" t="str">
        <f>A36</f>
        <v>比较价格（元/平方米）</v>
      </c>
      <c r="Q36" s="3880"/>
      <c r="R36" s="3976" t="e">
        <f>IF(F1="售价",ROUND(PRODUCT(R35,AA7:AA34),0),ROUND(PRODUCT(R35,AA7:AA34),1))</f>
        <v>#DIV/0!</v>
      </c>
      <c r="S36" s="3976"/>
      <c r="T36" s="3976" t="e">
        <f>IF(F1="售价",ROUND(PRODUCT(T35,AB7:AB34),0),ROUND(PRODUCT(T35,AB7:AB34),1))</f>
        <v>#DIV/0!</v>
      </c>
      <c r="U36" s="3976"/>
      <c r="V36" s="3976" t="e">
        <f>IF(F1="售价",ROUND(PRODUCT(V35,AC7:AC34),0),ROUND(PRODUCT(V35,AC7:AC34),1))</f>
        <v>#DIV/0!</v>
      </c>
      <c r="W36" s="397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85" t="str">
        <f>A37</f>
        <v>估价对象XX用房的比较价格（楼面单价，元/平方米）</v>
      </c>
      <c r="Q37" s="3886"/>
      <c r="R37" s="3975" t="e">
        <f>IF(F1="售价",ROUND(IF(D36="简单平均",AVERAGE(R36:W36),R36*F36+T36*H36+V36*J36),0),ROUND(IF(D36="简单平均",AVERAGE(R36:V36),R36*F36+T36*H36+V36*J36),1))</f>
        <v>#DIV/0!</v>
      </c>
      <c r="S37" s="3975"/>
      <c r="T37" s="3975"/>
      <c r="U37" s="3975"/>
      <c r="V37" s="3975"/>
      <c r="W37" s="397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2023-2</v>
      </c>
      <c r="D46" s="2284">
        <f>EDATE(C46,-1)</f>
        <v>44927</v>
      </c>
      <c r="E46" s="2284">
        <f t="shared" ref="E46:O46" si="13">EDATE(D46,-1)</f>
        <v>44896</v>
      </c>
      <c r="F46" s="2284">
        <f t="shared" si="13"/>
        <v>44866</v>
      </c>
      <c r="G46" s="2284">
        <f t="shared" si="13"/>
        <v>44835</v>
      </c>
      <c r="H46" s="2284">
        <f t="shared" si="13"/>
        <v>44805</v>
      </c>
      <c r="I46" s="2284">
        <f t="shared" si="13"/>
        <v>44774</v>
      </c>
      <c r="J46" s="2284">
        <f t="shared" si="13"/>
        <v>44743</v>
      </c>
      <c r="K46" s="2284">
        <f t="shared" si="13"/>
        <v>44713</v>
      </c>
      <c r="L46" s="2284">
        <f t="shared" si="13"/>
        <v>44682</v>
      </c>
      <c r="M46" s="2284">
        <f t="shared" si="13"/>
        <v>44652</v>
      </c>
      <c r="N46" s="2284">
        <f t="shared" si="13"/>
        <v>44621</v>
      </c>
      <c r="O46" s="2284">
        <f t="shared" si="13"/>
        <v>44593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85" t="s">
        <v>1661</v>
      </c>
      <c r="D1" s="3986"/>
      <c r="E1" s="3986"/>
      <c r="F1" s="3986"/>
      <c r="G1" s="3986"/>
      <c r="H1" s="3986"/>
      <c r="I1" s="3986"/>
      <c r="J1" s="3986"/>
      <c r="K1" s="3986"/>
      <c r="L1" s="3986"/>
      <c r="M1" s="3986"/>
      <c r="N1" s="3986"/>
      <c r="O1" s="3986"/>
      <c r="P1" s="3986"/>
      <c r="Q1" s="3986"/>
      <c r="R1" s="3986"/>
      <c r="S1" s="398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82" t="s">
        <v>14</v>
      </c>
      <c r="D22" s="3983"/>
      <c r="E22" s="3983"/>
      <c r="F22" s="3983"/>
      <c r="G22" s="3983"/>
      <c r="H22" s="3983"/>
      <c r="I22" s="3983"/>
      <c r="J22" s="3983"/>
      <c r="K22" s="3983"/>
      <c r="L22" s="3983"/>
      <c r="M22" s="3983"/>
      <c r="N22" s="3983"/>
      <c r="O22" s="3983"/>
      <c r="P22" s="3983"/>
      <c r="Q22" s="398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44965</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1" t="s">
        <v>1556</v>
      </c>
      <c r="B1" s="3671"/>
      <c r="C1" s="3671"/>
      <c r="D1" s="3671"/>
      <c r="E1" s="3671"/>
      <c r="F1" s="3671"/>
      <c r="G1" s="3671"/>
      <c r="H1" s="3671"/>
      <c r="I1" s="3671"/>
      <c r="J1" s="3671"/>
      <c r="K1" s="3671"/>
      <c r="L1" s="3671"/>
      <c r="M1" s="3671"/>
      <c r="N1" s="3671"/>
      <c r="O1" s="3671"/>
      <c r="P1" s="3671"/>
      <c r="Q1" s="3671"/>
      <c r="R1" s="3671"/>
    </row>
    <row r="2" spans="1:18">
      <c r="A2" s="1595" t="s">
        <v>1558</v>
      </c>
      <c r="B2" s="1595"/>
      <c r="C2" s="1595"/>
      <c r="D2" s="1595"/>
      <c r="E2" s="1595"/>
      <c r="F2" s="1595"/>
      <c r="G2" s="1595"/>
      <c r="H2" s="1595"/>
      <c r="I2" s="1596"/>
      <c r="J2" s="1596"/>
      <c r="K2" s="1597" t="str">
        <f>"估价期日："&amp;TEXT(项目基本情况!D3,"yyyy年m月d日;;")</f>
        <v>估价期日：2023年2月8日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2" t="s">
        <v>1547</v>
      </c>
      <c r="B3" s="3672" t="s">
        <v>2013</v>
      </c>
      <c r="C3" s="3673" t="s">
        <v>1548</v>
      </c>
      <c r="D3" s="3672" t="s">
        <v>2017</v>
      </c>
      <c r="E3" s="3675" t="s">
        <v>1549</v>
      </c>
      <c r="F3" s="3675"/>
      <c r="G3" s="3675"/>
      <c r="H3" s="3675" t="s">
        <v>1550</v>
      </c>
      <c r="I3" s="3675"/>
      <c r="J3" s="3675"/>
      <c r="K3" s="3673" t="s">
        <v>1551</v>
      </c>
      <c r="L3" s="3673" t="s">
        <v>1552</v>
      </c>
      <c r="M3" s="3672" t="s">
        <v>2014</v>
      </c>
      <c r="N3" s="3674" t="str">
        <f>"（分摊）"&amp;项目基本情况!A17&amp;"国有建设用地使用权面积/㎡"</f>
        <v>（分摊）出让国有建设用地使用权面积/㎡</v>
      </c>
      <c r="O3" s="3672" t="s">
        <v>1581</v>
      </c>
      <c r="P3" s="3673" t="s">
        <v>1561</v>
      </c>
      <c r="Q3" s="3673" t="s">
        <v>1582</v>
      </c>
      <c r="R3" s="3673" t="s">
        <v>1553</v>
      </c>
    </row>
    <row r="4" spans="1:18" ht="36.75" customHeight="1">
      <c r="A4" s="3672"/>
      <c r="B4" s="3672"/>
      <c r="C4" s="3673"/>
      <c r="D4" s="3672"/>
      <c r="E4" s="2254" t="s">
        <v>1560</v>
      </c>
      <c r="F4" s="2254" t="s">
        <v>2026</v>
      </c>
      <c r="G4" s="2254" t="s">
        <v>1554</v>
      </c>
      <c r="H4" s="2254" t="s">
        <v>1555</v>
      </c>
      <c r="I4" s="2254" t="s">
        <v>2027</v>
      </c>
      <c r="J4" s="2254" t="s">
        <v>1554</v>
      </c>
      <c r="K4" s="3673"/>
      <c r="L4" s="3673"/>
      <c r="M4" s="3672"/>
      <c r="N4" s="3674"/>
      <c r="O4" s="3672"/>
      <c r="P4" s="3673"/>
      <c r="Q4" s="3673"/>
      <c r="R4" s="3673"/>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97287.33</v>
      </c>
      <c r="O5" s="1598">
        <f>项目基本情况!C21</f>
        <v>61600.22</v>
      </c>
      <c r="P5" s="1598">
        <f ca="1">结果表!E42</f>
        <v>330</v>
      </c>
      <c r="Q5" s="1598">
        <f ca="1">结果表!D42</f>
        <v>521</v>
      </c>
      <c r="R5" s="1599">
        <f ca="1">结果表!C42</f>
        <v>3210</v>
      </c>
    </row>
    <row r="6" spans="1:18">
      <c r="A6" s="3676" t="str">
        <f>IF(项目基本情况!B9="市场价格","——","抵押价格")</f>
        <v>抵押价格</v>
      </c>
      <c r="B6" s="3677"/>
      <c r="C6" s="3677"/>
      <c r="D6" s="3677"/>
      <c r="E6" s="3677"/>
      <c r="F6" s="3677"/>
      <c r="G6" s="3677"/>
      <c r="H6" s="3677"/>
      <c r="I6" s="3677"/>
      <c r="J6" s="3677"/>
      <c r="K6" s="3677"/>
      <c r="L6" s="3677"/>
      <c r="M6" s="3677"/>
      <c r="N6" s="3677"/>
      <c r="O6" s="3677"/>
      <c r="P6" s="3677"/>
      <c r="Q6" s="3678"/>
      <c r="R6" s="1600" t="str">
        <f>结果表!O39</f>
        <v>——</v>
      </c>
    </row>
    <row r="7" spans="1:18">
      <c r="A7" s="3676" t="str">
        <f>IF(项目基本情况!B9="市场价格","——",IF(项目基本情况!E8="已注销及未注销","抵押担保权已注销时的抵押价格","——"))</f>
        <v>——</v>
      </c>
      <c r="B7" s="3677"/>
      <c r="C7" s="3677"/>
      <c r="D7" s="3677"/>
      <c r="E7" s="3677"/>
      <c r="F7" s="3677"/>
      <c r="G7" s="3677"/>
      <c r="H7" s="3677"/>
      <c r="I7" s="3677"/>
      <c r="J7" s="3677"/>
      <c r="K7" s="3677"/>
      <c r="L7" s="3677"/>
      <c r="M7" s="3677"/>
      <c r="N7" s="3677"/>
      <c r="O7" s="3677"/>
      <c r="P7" s="3677"/>
      <c r="Q7" s="3678"/>
      <c r="R7" s="1600" t="str">
        <f>结果表!O40</f>
        <v>——</v>
      </c>
    </row>
    <row r="8" spans="1:18">
      <c r="A8" s="3676">
        <f>IF(项目基本情况!B9="市场价格","——",项目基本情况!E9)</f>
        <v>0</v>
      </c>
      <c r="B8" s="3677"/>
      <c r="C8" s="3677"/>
      <c r="D8" s="3677"/>
      <c r="E8" s="3677"/>
      <c r="F8" s="3677"/>
      <c r="G8" s="3677"/>
      <c r="H8" s="3677"/>
      <c r="I8" s="3677"/>
      <c r="J8" s="3677"/>
      <c r="K8" s="3677"/>
      <c r="L8" s="3677"/>
      <c r="M8" s="3677"/>
      <c r="N8" s="3677"/>
      <c r="O8" s="3677"/>
      <c r="P8" s="3677"/>
      <c r="Q8" s="367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80" t="s">
        <v>1583</v>
      </c>
      <c r="B1" s="3680"/>
      <c r="C1" s="3680"/>
      <c r="D1" s="3680"/>
    </row>
    <row r="2" spans="1:4" ht="47.25" customHeight="1">
      <c r="A2" s="3681" t="str">
        <f>"1.权利限制："&amp;项目基本情况!L24&amp;"未设定租赁等其他他项权利。"</f>
        <v>1.权利限制：根据估价对象《不动产权证书》原件、《国有土地使用权》复印件，截至估价期日，估价对象抵押权未见登记。未设定租赁等其他他项权利。</v>
      </c>
      <c r="B2" s="3681"/>
      <c r="C2" s="3681"/>
      <c r="D2" s="3681"/>
    </row>
    <row r="3" spans="1:4" ht="48" customHeight="1">
      <c r="A3" s="36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0"/>
      <c r="C3" s="3680"/>
      <c r="D3" s="3680"/>
    </row>
    <row r="4" spans="1:4" ht="36.75" customHeight="1">
      <c r="A4" s="3680" t="str">
        <f>"3.估价规划限制条件：详见"&amp;项目基本情况!E21&amp;"。"</f>
        <v>3.估价规划限制条件：详见《建设工程规划许可证》[]、《出让合同》[]。</v>
      </c>
      <c r="B4" s="3680"/>
      <c r="C4" s="3680"/>
      <c r="D4" s="3680"/>
    </row>
    <row r="5" spans="1:4">
      <c r="A5" s="3679" t="s">
        <v>1584</v>
      </c>
      <c r="B5" s="3679"/>
      <c r="C5" s="3679"/>
      <c r="D5" s="3679"/>
    </row>
    <row r="6" spans="1:4">
      <c r="A6" s="3680" t="s">
        <v>1562</v>
      </c>
      <c r="B6" s="3680"/>
      <c r="C6" s="3680"/>
      <c r="D6" s="3680"/>
    </row>
    <row r="7" spans="1:4" ht="33" customHeight="1">
      <c r="A7" s="3680" t="s">
        <v>1857</v>
      </c>
      <c r="B7" s="3680"/>
      <c r="C7" s="3680"/>
      <c r="D7" s="3680"/>
    </row>
    <row r="8" spans="1:4" ht="32.25" customHeight="1">
      <c r="A8" s="36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0"/>
      <c r="C8" s="3680"/>
      <c r="D8" s="3680"/>
    </row>
    <row r="9" spans="1:4" ht="33.75" customHeight="1">
      <c r="A9" s="36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0"/>
      <c r="C9" s="3680"/>
      <c r="D9" s="3680"/>
    </row>
    <row r="10" spans="1:4">
      <c r="A10" s="3680" t="str">
        <f>IF(项目基本情况!B8="抵押","4.估价师所知悉的法定优先受偿款情况为：","——")</f>
        <v>4.估价师所知悉的法定优先受偿款情况为：</v>
      </c>
      <c r="B10" s="3680"/>
      <c r="C10" s="3680"/>
      <c r="D10" s="3680"/>
    </row>
    <row r="11" spans="1:4" ht="37.5" customHeight="1">
      <c r="A11" s="36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2"/>
      <c r="C11" s="3682"/>
      <c r="D11" s="3682"/>
    </row>
    <row r="12" spans="1:4" ht="168" customHeight="1">
      <c r="A12" s="3679" t="s">
        <v>1586</v>
      </c>
      <c r="B12" s="3679"/>
      <c r="C12" s="3679"/>
      <c r="D12" s="3679"/>
    </row>
    <row r="13" spans="1:4">
      <c r="A13" s="3683" t="s">
        <v>2028</v>
      </c>
      <c r="B13" s="3683"/>
      <c r="C13" s="3683"/>
      <c r="D13" s="3683"/>
    </row>
    <row r="14" spans="1:4">
      <c r="A14" s="3682" t="str">
        <f>IF(项目基本情况!B8="抵押","综上，"&amp;结果表!K47,"——")</f>
        <v>综上，本次评估不存在估价师知悉的法定优先受偿款</v>
      </c>
      <c r="B14" s="3682"/>
      <c r="C14" s="3682"/>
      <c r="D14" s="3682"/>
    </row>
    <row r="15" spans="1:4" ht="58.5" customHeight="1">
      <c r="A15" s="36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0"/>
      <c r="C15" s="3680"/>
      <c r="D15" s="3680"/>
    </row>
    <row r="16" spans="1:4" ht="70.5" customHeight="1">
      <c r="A16" s="36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0"/>
      <c r="C16" s="3680"/>
      <c r="D16" s="3680"/>
    </row>
    <row r="17" spans="1:4">
      <c r="A17" s="3680" t="s">
        <v>1984</v>
      </c>
      <c r="B17" s="3680"/>
      <c r="C17" s="3680"/>
      <c r="D17" s="3680"/>
    </row>
    <row r="18" spans="1:4">
      <c r="A18" s="3680" t="s">
        <v>1976</v>
      </c>
      <c r="B18" s="3680"/>
      <c r="C18" s="3680"/>
      <c r="D18" s="3680"/>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80" t="s">
        <v>1981</v>
      </c>
      <c r="B23" s="3680"/>
      <c r="C23" s="3680"/>
      <c r="D23" s="3680"/>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1" t="s">
        <v>27</v>
      </c>
      <c r="B15" s="3692" t="s">
        <v>784</v>
      </c>
      <c r="C15" s="3688"/>
    </row>
    <row r="16" spans="1:7" ht="14.25">
      <c r="A16" s="3691"/>
      <c r="B16" s="3689" t="s">
        <v>28</v>
      </c>
      <c r="C16" s="1070" t="s">
        <v>27</v>
      </c>
    </row>
    <row r="17" spans="1:3" ht="14.25">
      <c r="A17" s="3691"/>
      <c r="B17" s="3689"/>
      <c r="C17" s="1070" t="s">
        <v>29</v>
      </c>
    </row>
    <row r="18" spans="1:3" ht="14.25">
      <c r="A18" s="3691"/>
      <c r="B18" s="3689"/>
      <c r="C18" s="1070" t="s">
        <v>30</v>
      </c>
    </row>
    <row r="19" spans="1:3" ht="14.25">
      <c r="A19" s="3691"/>
      <c r="B19" s="3687" t="s">
        <v>31</v>
      </c>
      <c r="C19" s="3688"/>
    </row>
    <row r="20" spans="1:3" ht="14.25">
      <c r="A20" s="1071" t="s">
        <v>32</v>
      </c>
      <c r="B20" s="1072"/>
      <c r="C20" s="1073"/>
    </row>
    <row r="21" spans="1:3" ht="14.25">
      <c r="A21" s="3690" t="s">
        <v>33</v>
      </c>
      <c r="B21" s="3687" t="s">
        <v>34</v>
      </c>
      <c r="C21" s="3688"/>
    </row>
    <row r="22" spans="1:3" ht="14.25">
      <c r="A22" s="3690"/>
      <c r="B22" s="3687" t="s">
        <v>35</v>
      </c>
      <c r="C22" s="3688"/>
    </row>
    <row r="23" spans="1:3" ht="14.25">
      <c r="A23" s="3690"/>
      <c r="B23" s="3687" t="s">
        <v>36</v>
      </c>
      <c r="C23" s="3688"/>
    </row>
    <row r="24" spans="1:3" ht="14.25">
      <c r="A24" s="3690"/>
      <c r="B24" s="3693" t="s">
        <v>37</v>
      </c>
      <c r="C24" s="1074" t="s">
        <v>775</v>
      </c>
    </row>
    <row r="25" spans="1:3" ht="14.25">
      <c r="A25" s="3690"/>
      <c r="B25" s="3694"/>
      <c r="C25" s="1074" t="s">
        <v>776</v>
      </c>
    </row>
    <row r="26" spans="1:3" ht="14.25">
      <c r="A26" s="3690"/>
      <c r="B26" s="3694"/>
      <c r="C26" s="1074" t="s">
        <v>777</v>
      </c>
    </row>
    <row r="27" spans="1:3" ht="14.25">
      <c r="A27" s="3690"/>
      <c r="B27" s="3694"/>
      <c r="C27" s="1074" t="s">
        <v>778</v>
      </c>
    </row>
    <row r="28" spans="1:3" ht="14.25">
      <c r="A28" s="3690"/>
      <c r="B28" s="3694"/>
      <c r="C28" s="1074" t="s">
        <v>779</v>
      </c>
    </row>
    <row r="29" spans="1:3" ht="14.25">
      <c r="A29" s="3690"/>
      <c r="B29" s="3694"/>
      <c r="C29" s="1074" t="s">
        <v>780</v>
      </c>
    </row>
    <row r="30" spans="1:3" ht="14.25">
      <c r="A30" s="3690"/>
      <c r="B30" s="3694"/>
      <c r="C30" s="1074" t="s">
        <v>781</v>
      </c>
    </row>
    <row r="31" spans="1:3" ht="14.25">
      <c r="A31" s="3690"/>
      <c r="B31" s="3694"/>
      <c r="C31" s="1074" t="s">
        <v>782</v>
      </c>
    </row>
    <row r="32" spans="1:3" ht="14.25">
      <c r="A32" s="3690"/>
      <c r="B32" s="3694"/>
      <c r="C32" s="1074" t="s">
        <v>1181</v>
      </c>
    </row>
    <row r="33" spans="1:3" ht="14.25">
      <c r="A33" s="3690"/>
      <c r="B33" s="3684" t="s">
        <v>1187</v>
      </c>
      <c r="C33" s="1074" t="s">
        <v>1182</v>
      </c>
    </row>
    <row r="34" spans="1:3" ht="14.25">
      <c r="A34" s="3690"/>
      <c r="B34" s="3685"/>
      <c r="C34" s="1079" t="s">
        <v>1183</v>
      </c>
    </row>
    <row r="35" spans="1:3" ht="14.25">
      <c r="A35" s="3690"/>
      <c r="B35" s="3685"/>
      <c r="C35" s="1080" t="s">
        <v>1184</v>
      </c>
    </row>
    <row r="36" spans="1:3" ht="14.25">
      <c r="A36" s="3690"/>
      <c r="B36" s="3685"/>
      <c r="C36" s="1080" t="s">
        <v>1185</v>
      </c>
    </row>
    <row r="37" spans="1:3" ht="14.25">
      <c r="A37" s="3690"/>
      <c r="B37" s="368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44965</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f ca="1">IF(C15&lt;B2,"已过期",1119980106)</f>
        <v>1119980106</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8" t="s">
        <v>1448</v>
      </c>
      <c r="B18" s="3699"/>
      <c r="C18" s="3699"/>
      <c r="D18" s="3699"/>
      <c r="E18" s="3699"/>
      <c r="F18" s="3699"/>
      <c r="G18" s="2777"/>
    </row>
    <row r="19" spans="1:7" ht="20.25" customHeight="1">
      <c r="A19" s="3695" t="s">
        <v>1449</v>
      </c>
      <c r="B19" s="3695"/>
      <c r="C19" s="3696"/>
      <c r="D19" s="3697" t="s">
        <v>1450</v>
      </c>
      <c r="E19" s="3695"/>
      <c r="F19" s="3695"/>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8日，在规划利用条件下、设定土地开发程度为红线外“七通”、宗地内场地，设定用途为，剩余土地使用年限为的出让国有建设用地使用权价格。</v>
      </c>
      <c r="D53" s="1558"/>
      <c r="E53" s="1558"/>
    </row>
    <row r="54" spans="1:5">
      <c r="A54" s="370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比较法-工业</vt:lpstr>
      <vt:lpstr>Sheet1</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2023-02-08T06:47:06Z</dcterms:modified>
</cp:coreProperties>
</file>