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6" i="33" l="1"/>
  <c r="G36" i="33"/>
  <c r="E36" i="33"/>
  <c r="I51" i="33"/>
  <c r="G51" i="33"/>
  <c r="E51" i="33"/>
  <c r="I47" i="33"/>
  <c r="G47" i="33"/>
  <c r="E47" i="33"/>
  <c r="I33" i="33"/>
  <c r="G33" i="33"/>
  <c r="E33" i="33"/>
  <c r="I5" i="33"/>
  <c r="G5" i="33"/>
  <c r="E5" i="33"/>
  <c r="C33" i="33"/>
  <c r="F7" i="64"/>
  <c r="I7" i="33"/>
  <c r="G7" i="33"/>
  <c r="E7" i="33"/>
  <c r="H20" i="1"/>
  <c r="B18" i="1"/>
  <c r="B17" i="1"/>
  <c r="J53" i="15"/>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D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C44"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D43" i="59"/>
  <c r="C48" i="59"/>
  <c r="D48" i="59"/>
  <c r="D47" i="59"/>
  <c r="C52" i="59"/>
  <c r="C53" i="59" s="1"/>
  <c r="P29" i="59"/>
  <c r="AA27" i="59" s="1"/>
  <c r="E60" i="59"/>
  <c r="E61" i="59" s="1"/>
  <c r="U61" i="59" s="1"/>
  <c r="Q66" i="59"/>
  <c r="P67" i="59"/>
  <c r="U73" i="59"/>
  <c r="E72" i="59"/>
  <c r="E71" i="59"/>
  <c r="Q29" i="59"/>
  <c r="C56" i="59"/>
  <c r="D56" i="59" s="1"/>
  <c r="D55" i="59"/>
  <c r="C64" i="59"/>
  <c r="D64" i="59" s="1"/>
  <c r="D63"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57" i="59"/>
  <c r="D57" i="59" s="1"/>
  <c r="N66" i="59"/>
  <c r="N67" i="59"/>
  <c r="D28" i="59"/>
  <c r="F28" i="59"/>
  <c r="F27" i="59" s="1"/>
  <c r="V29" i="59"/>
  <c r="T57"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B111" i="39"/>
  <c r="J30" i="36"/>
  <c r="H30" i="36"/>
  <c r="F30" i="36"/>
  <c r="AA30" i="36"/>
  <c r="C79" i="35"/>
  <c r="J31" i="35"/>
  <c r="AC31" i="35" s="1"/>
  <c r="H31" i="35"/>
  <c r="AB31" i="35"/>
  <c r="F31" i="35"/>
  <c r="D87" i="35"/>
  <c r="E87" i="35" s="1"/>
  <c r="F87" i="35"/>
  <c r="G87" i="35" s="1"/>
  <c r="H87" i="35" s="1"/>
  <c r="I87" i="35" s="1"/>
  <c r="J87" i="35"/>
  <c r="K87" i="35" s="1"/>
  <c r="L87" i="35" s="1"/>
  <c r="M87" i="35" s="1"/>
  <c r="H29" i="35"/>
  <c r="AB29" i="35" s="1"/>
  <c r="H34" i="37"/>
  <c r="AB34" i="37" s="1"/>
  <c r="D101" i="37"/>
  <c r="E101" i="37" s="1"/>
  <c r="F34" i="37"/>
  <c r="AA34" i="37"/>
  <c r="D99" i="37"/>
  <c r="E99" i="37"/>
  <c r="F99" i="37" s="1"/>
  <c r="G99" i="37" s="1"/>
  <c r="H42" i="34"/>
  <c r="J42" i="34"/>
  <c r="F42" i="34"/>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c r="D111" i="33"/>
  <c r="E111" i="33" s="1"/>
  <c r="S518" i="31"/>
  <c r="S519" i="31"/>
  <c r="S520" i="31"/>
  <c r="S521" i="31"/>
  <c r="S522" i="31"/>
  <c r="S523" i="31"/>
  <c r="S524" i="31"/>
  <c r="S525" i="31"/>
  <c r="S526" i="31"/>
  <c r="S527" i="31"/>
  <c r="F41" i="2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C7" i="40"/>
  <c r="C62"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c r="L107" i="37" s="1"/>
  <c r="M107" i="37" s="1"/>
  <c r="D105" i="37"/>
  <c r="E105" i="37"/>
  <c r="F105" i="37" s="1"/>
  <c r="G105" i="37"/>
  <c r="D103" i="37"/>
  <c r="J35" i="37"/>
  <c r="AC35" i="37" s="1"/>
  <c r="G97" i="37"/>
  <c r="F97" i="37"/>
  <c r="E97" i="37"/>
  <c r="D97" i="37"/>
  <c r="C97" i="37"/>
  <c r="D96" i="37"/>
  <c r="E96" i="37" s="1"/>
  <c r="F96" i="37" s="1"/>
  <c r="G96" i="37" s="1"/>
  <c r="H96" i="37"/>
  <c r="I96" i="37" s="1"/>
  <c r="J96" i="37" s="1"/>
  <c r="K96" i="37" s="1"/>
  <c r="L96" i="37" s="1"/>
  <c r="M96" i="37" s="1"/>
  <c r="D94" i="37"/>
  <c r="E94" i="37" s="1"/>
  <c r="F94" i="37"/>
  <c r="G94" i="37" s="1"/>
  <c r="H94" i="37" s="1"/>
  <c r="I94" i="37" s="1"/>
  <c r="J94" i="37"/>
  <c r="K94" i="37" s="1"/>
  <c r="L94" i="37" s="1"/>
  <c r="M94" i="37" s="1"/>
  <c r="M90" i="37"/>
  <c r="L90" i="37"/>
  <c r="K90" i="37"/>
  <c r="J90" i="37"/>
  <c r="I90" i="37"/>
  <c r="H90" i="37"/>
  <c r="G90" i="37"/>
  <c r="F90" i="37"/>
  <c r="E90" i="37"/>
  <c r="D90" i="37"/>
  <c r="C90" i="37"/>
  <c r="D89" i="37"/>
  <c r="E89" i="37"/>
  <c r="F89" i="37" s="1"/>
  <c r="G89" i="37" s="1"/>
  <c r="H89" i="37" s="1"/>
  <c r="I89" i="37"/>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s="1"/>
  <c r="H81" i="36" s="1"/>
  <c r="I81" i="36"/>
  <c r="J81" i="36" s="1"/>
  <c r="K81" i="36" s="1"/>
  <c r="L81" i="36" s="1"/>
  <c r="M81" i="36" s="1"/>
  <c r="G79" i="36"/>
  <c r="F79" i="36"/>
  <c r="E79" i="36"/>
  <c r="D79" i="36"/>
  <c r="C79" i="36"/>
  <c r="B93" i="36"/>
  <c r="B91" i="36"/>
  <c r="F32" i="36"/>
  <c r="B95" i="36"/>
  <c r="H34" i="36"/>
  <c r="U34" i="36" s="1"/>
  <c r="D83" i="36"/>
  <c r="E83" i="36" s="1"/>
  <c r="F83" i="36" s="1"/>
  <c r="D78" i="36"/>
  <c r="E78" i="36" s="1"/>
  <c r="F78" i="36"/>
  <c r="G78" i="36" s="1"/>
  <c r="H78" i="36" s="1"/>
  <c r="I78" i="36" s="1"/>
  <c r="J78" i="36" s="1"/>
  <c r="K78" i="36" s="1"/>
  <c r="L78" i="36" s="1"/>
  <c r="M78" i="36" s="1"/>
  <c r="B75" i="36"/>
  <c r="J25" i="36" s="1"/>
  <c r="B73" i="36"/>
  <c r="B71" i="36"/>
  <c r="D70" i="36"/>
  <c r="H22" i="36"/>
  <c r="AB22" i="36" s="1"/>
  <c r="D68" i="36"/>
  <c r="E68" i="36" s="1"/>
  <c r="F68" i="36"/>
  <c r="G68" i="36" s="1"/>
  <c r="D64" i="36"/>
  <c r="E64" i="36" s="1"/>
  <c r="F64" i="36"/>
  <c r="G64" i="36" s="1"/>
  <c r="J16" i="36"/>
  <c r="W16" i="36" s="1"/>
  <c r="D62" i="36"/>
  <c r="E62" i="36" s="1"/>
  <c r="F62" i="36" s="1"/>
  <c r="G62" i="36" s="1"/>
  <c r="H14" i="36"/>
  <c r="B59" i="36"/>
  <c r="B57" i="36"/>
  <c r="B55" i="36"/>
  <c r="F54" i="36"/>
  <c r="G54" i="36"/>
  <c r="H54" i="36" s="1"/>
  <c r="I54" i="36"/>
  <c r="C51" i="36"/>
  <c r="H9"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H32" i="34" s="1"/>
  <c r="U32" i="34" s="1"/>
  <c r="B97" i="34"/>
  <c r="B95" i="34"/>
  <c r="B93" i="34"/>
  <c r="B75" i="34"/>
  <c r="H14" i="34" s="1"/>
  <c r="B73" i="34"/>
  <c r="B71" i="34"/>
  <c r="B130" i="33"/>
  <c r="B128" i="33"/>
  <c r="B126" i="33"/>
  <c r="B98" i="33"/>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B89" i="34"/>
  <c r="J27" i="34" s="1"/>
  <c r="D88" i="34"/>
  <c r="E88" i="34" s="1"/>
  <c r="F88" i="34" s="1"/>
  <c r="G88" i="34" s="1"/>
  <c r="H88" i="34"/>
  <c r="I88" i="34" s="1"/>
  <c r="J88" i="34" s="1"/>
  <c r="K88" i="34" s="1"/>
  <c r="L88" i="34" s="1"/>
  <c r="M88" i="34" s="1"/>
  <c r="D86" i="34"/>
  <c r="E86" i="34" s="1"/>
  <c r="F86" i="34"/>
  <c r="G86" i="34" s="1"/>
  <c r="F23" i="34"/>
  <c r="AA23" i="34" s="1"/>
  <c r="D82" i="34"/>
  <c r="E82" i="34" s="1"/>
  <c r="F82" i="34" s="1"/>
  <c r="G82" i="34" s="1"/>
  <c r="F19" i="34"/>
  <c r="AA19" i="34" s="1"/>
  <c r="D80" i="34"/>
  <c r="E80" i="34"/>
  <c r="D78" i="34"/>
  <c r="E78" i="34"/>
  <c r="F78" i="34" s="1"/>
  <c r="G78" i="34" s="1"/>
  <c r="F15" i="34"/>
  <c r="AA15" i="34"/>
  <c r="D70" i="34"/>
  <c r="E70" i="34"/>
  <c r="F70" i="34" s="1"/>
  <c r="G70" i="34"/>
  <c r="H70" i="34" s="1"/>
  <c r="I70" i="34" s="1"/>
  <c r="J70" i="34" s="1"/>
  <c r="K70" i="34"/>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E91" i="33" s="1"/>
  <c r="B88" i="33"/>
  <c r="J26" i="33"/>
  <c r="AC26" i="33" s="1"/>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H27" i="33" s="1"/>
  <c r="U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AA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AC45" i="21" s="1"/>
  <c r="B126" i="21"/>
  <c r="B98" i="21"/>
  <c r="B96" i="21"/>
  <c r="B94" i="21"/>
  <c r="B92" i="21"/>
  <c r="B90" i="21"/>
  <c r="B74" i="21"/>
  <c r="B72" i="21"/>
  <c r="F13" i="21" s="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H9" i="21"/>
  <c r="AB9" i="21" s="1"/>
  <c r="H10" i="21"/>
  <c r="H36" i="21"/>
  <c r="U36" i="21" s="1"/>
  <c r="F35" i="21"/>
  <c r="AA35" i="21" s="1"/>
  <c r="J33" i="21"/>
  <c r="H33" i="21"/>
  <c r="F33" i="21"/>
  <c r="J10" i="21"/>
  <c r="AC10" i="21" s="1"/>
  <c r="H26" i="21"/>
  <c r="F19" i="21"/>
  <c r="AA19" i="21" s="1"/>
  <c r="H19" i="21"/>
  <c r="J19" i="21"/>
  <c r="W19" i="21" s="1"/>
  <c r="J12" i="21"/>
  <c r="AC12" i="21" s="1"/>
  <c r="H12" i="21"/>
  <c r="J26" i="21"/>
  <c r="W26" i="21" s="1"/>
  <c r="F26" i="21"/>
  <c r="S26" i="21" s="1"/>
  <c r="AB41" i="21"/>
  <c r="S41" i="21"/>
  <c r="AA41" i="21"/>
  <c r="W41" i="21"/>
  <c r="F45" i="39"/>
  <c r="J45" i="39"/>
  <c r="W45" i="39" s="1"/>
  <c r="J44" i="39"/>
  <c r="W44" i="39" s="1"/>
  <c r="F36" i="39"/>
  <c r="S36" i="39" s="1"/>
  <c r="H36" i="39"/>
  <c r="J36" i="39"/>
  <c r="AC36" i="39" s="1"/>
  <c r="S8" i="39"/>
  <c r="H32" i="37"/>
  <c r="AB32" i="37" s="1"/>
  <c r="F39" i="37"/>
  <c r="U14" i="37"/>
  <c r="W30" i="37"/>
  <c r="F29" i="36"/>
  <c r="F16" i="36"/>
  <c r="W22" i="36"/>
  <c r="AA31" i="36"/>
  <c r="W31" i="36"/>
  <c r="U31" i="36"/>
  <c r="J33" i="36"/>
  <c r="W33" i="36" s="1"/>
  <c r="AB34" i="36"/>
  <c r="H22" i="35"/>
  <c r="AB22" i="35"/>
  <c r="U31" i="35"/>
  <c r="S32" i="35"/>
  <c r="S31" i="35"/>
  <c r="W31" i="35"/>
  <c r="U32" i="35"/>
  <c r="F36" i="34"/>
  <c r="AA36" i="34"/>
  <c r="U39" i="34"/>
  <c r="H39" i="33"/>
  <c r="AB39" i="33" s="1"/>
  <c r="F26" i="33"/>
  <c r="AA26" i="33" s="1"/>
  <c r="S40" i="33"/>
  <c r="AC38" i="21"/>
  <c r="H39" i="37"/>
  <c r="AB39" i="37"/>
  <c r="F11" i="40"/>
  <c r="S8" i="40"/>
  <c r="H11" i="40"/>
  <c r="U9" i="40"/>
  <c r="U34"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H19" i="39"/>
  <c r="AB19" i="39"/>
  <c r="F19" i="39"/>
  <c r="S19" i="39"/>
  <c r="H17" i="39"/>
  <c r="U17" i="39"/>
  <c r="F17" i="39"/>
  <c r="AA17" i="39" s="1"/>
  <c r="J23" i="40"/>
  <c r="AC23" i="40" s="1"/>
  <c r="H42" i="39"/>
  <c r="AB42" i="39" s="1"/>
  <c r="J34" i="39"/>
  <c r="J31" i="39"/>
  <c r="W31" i="39"/>
  <c r="H29" i="39"/>
  <c r="J19" i="39"/>
  <c r="AC19" i="39" s="1"/>
  <c r="J17" i="39"/>
  <c r="J29" i="39"/>
  <c r="AC29" i="39" s="1"/>
  <c r="F29" i="39"/>
  <c r="AA29" i="39" s="1"/>
  <c r="F11" i="21"/>
  <c r="S11" i="21"/>
  <c r="C25" i="39"/>
  <c r="C21" i="39"/>
  <c r="H11" i="39"/>
  <c r="AB11" i="39" s="1"/>
  <c r="AB39" i="39"/>
  <c r="H11" i="21"/>
  <c r="U11" i="21"/>
  <c r="J11" i="21"/>
  <c r="AC11" i="21"/>
  <c r="H36" i="40"/>
  <c r="U36" i="40" s="1"/>
  <c r="F35" i="40"/>
  <c r="J30" i="40"/>
  <c r="F30" i="40"/>
  <c r="H27" i="40"/>
  <c r="H23" i="40"/>
  <c r="AB23" i="40" s="1"/>
  <c r="J11" i="40"/>
  <c r="AB12" i="33"/>
  <c r="AA12" i="33"/>
  <c r="J34" i="36"/>
  <c r="U30" i="36"/>
  <c r="F22" i="35"/>
  <c r="AA22" i="35"/>
  <c r="H10" i="35"/>
  <c r="U10" i="35"/>
  <c r="AB29" i="36"/>
  <c r="F85" i="36"/>
  <c r="G85" i="36" s="1"/>
  <c r="H85" i="36"/>
  <c r="I85" i="36" s="1"/>
  <c r="J85" i="36" s="1"/>
  <c r="K85" i="36" s="1"/>
  <c r="L85" i="36" s="1"/>
  <c r="M85" i="36" s="1"/>
  <c r="J29" i="36"/>
  <c r="F12" i="36"/>
  <c r="AA12" i="36" s="1"/>
  <c r="F34" i="36"/>
  <c r="H20" i="36"/>
  <c r="U20" i="36" s="1"/>
  <c r="J20" i="36"/>
  <c r="W20" i="36"/>
  <c r="AB8" i="36"/>
  <c r="F14" i="35"/>
  <c r="F23" i="35"/>
  <c r="AA23" i="35" s="1"/>
  <c r="J32" i="35"/>
  <c r="AC32" i="35" s="1"/>
  <c r="J16" i="35"/>
  <c r="H14" i="35"/>
  <c r="H33" i="35"/>
  <c r="S8" i="35"/>
  <c r="W8" i="35"/>
  <c r="J20" i="35"/>
  <c r="W20" i="35"/>
  <c r="H20" i="35"/>
  <c r="U20" i="35"/>
  <c r="F20" i="35"/>
  <c r="AA20" i="35"/>
  <c r="F101" i="37"/>
  <c r="G101" i="37" s="1"/>
  <c r="H101" i="37" s="1"/>
  <c r="I101" i="37" s="1"/>
  <c r="J101" i="37" s="1"/>
  <c r="K101" i="37" s="1"/>
  <c r="L101" i="37" s="1"/>
  <c r="M101" i="37" s="1"/>
  <c r="J34" i="37"/>
  <c r="W34" i="37" s="1"/>
  <c r="J43" i="34"/>
  <c r="AC43" i="34" s="1"/>
  <c r="H43" i="34"/>
  <c r="U42" i="34"/>
  <c r="H40" i="34"/>
  <c r="F38" i="34"/>
  <c r="AA38" i="34"/>
  <c r="F28" i="34"/>
  <c r="AA28" i="34"/>
  <c r="J19" i="34"/>
  <c r="W19" i="34"/>
  <c r="J15" i="34"/>
  <c r="AC15" i="34"/>
  <c r="H15" i="34"/>
  <c r="AB15" i="34"/>
  <c r="J10" i="34"/>
  <c r="W10" i="34"/>
  <c r="H10" i="34"/>
  <c r="AB10" i="34"/>
  <c r="F41" i="33"/>
  <c r="S41" i="33"/>
  <c r="E113" i="33"/>
  <c r="J34" i="33"/>
  <c r="W34" i="33" s="1"/>
  <c r="F25" i="33"/>
  <c r="AA25" i="33"/>
  <c r="J25" i="33"/>
  <c r="AC25" i="33"/>
  <c r="H25" i="33"/>
  <c r="AB25" i="33"/>
  <c r="J23" i="33"/>
  <c r="AC23" i="33"/>
  <c r="F23" i="33"/>
  <c r="AA23" i="33"/>
  <c r="H23" i="33"/>
  <c r="F19" i="33"/>
  <c r="S19" i="33" s="1"/>
  <c r="J19" i="33"/>
  <c r="W19" i="33" s="1"/>
  <c r="J17" i="33"/>
  <c r="AC17" i="33" s="1"/>
  <c r="H17" i="33"/>
  <c r="F11" i="33"/>
  <c r="AA11" i="33" s="1"/>
  <c r="W10" i="33"/>
  <c r="H10" i="33"/>
  <c r="U10" i="33" s="1"/>
  <c r="S26" i="33"/>
  <c r="S8" i="33"/>
  <c r="F37" i="40"/>
  <c r="AA37" i="40" s="1"/>
  <c r="F36" i="40"/>
  <c r="AA36" i="40" s="1"/>
  <c r="J27" i="40"/>
  <c r="W27" i="40" s="1"/>
  <c r="F27" i="40"/>
  <c r="S27" i="40" s="1"/>
  <c r="F23" i="40"/>
  <c r="AB30" i="36"/>
  <c r="W32" i="35"/>
  <c r="F29" i="35"/>
  <c r="S29" i="35"/>
  <c r="U34" i="37"/>
  <c r="AB42" i="34"/>
  <c r="H38" i="34"/>
  <c r="U15" i="34"/>
  <c r="F113" i="33"/>
  <c r="G113" i="33"/>
  <c r="H113" i="33" s="1"/>
  <c r="I113" i="33"/>
  <c r="J113" i="33" s="1"/>
  <c r="K113" i="33" s="1"/>
  <c r="L113" i="33" s="1"/>
  <c r="M113" i="33" s="1"/>
  <c r="H37" i="33"/>
  <c r="AB37" i="33"/>
  <c r="AA37" i="33"/>
  <c r="S25" i="33"/>
  <c r="F17" i="33"/>
  <c r="AA17" i="33"/>
  <c r="AC42" i="34"/>
  <c r="W42" i="34"/>
  <c r="AA42" i="34"/>
  <c r="S42" i="34"/>
  <c r="W38" i="34"/>
  <c r="J37" i="33"/>
  <c r="AC37" i="33"/>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F28" i="33"/>
  <c r="S28" i="33" s="1"/>
  <c r="J28" i="33"/>
  <c r="AC28" i="33" s="1"/>
  <c r="F33" i="35"/>
  <c r="J33" i="35"/>
  <c r="AC33" i="35" s="1"/>
  <c r="F30" i="35"/>
  <c r="S30" i="35" s="1"/>
  <c r="E89" i="35"/>
  <c r="F89" i="35" s="1"/>
  <c r="G89" i="35"/>
  <c r="H89" i="35" s="1"/>
  <c r="I89" i="35" s="1"/>
  <c r="J89" i="35" s="1"/>
  <c r="K89" i="35" s="1"/>
  <c r="L89" i="35" s="1"/>
  <c r="M89" i="35" s="1"/>
  <c r="H10" i="36"/>
  <c r="AB10" i="36"/>
  <c r="G83" i="36"/>
  <c r="H83" i="36" s="1"/>
  <c r="I83" i="36" s="1"/>
  <c r="J83" i="36" s="1"/>
  <c r="K83" i="36" s="1"/>
  <c r="L83" i="36" s="1"/>
  <c r="M83" i="36" s="1"/>
  <c r="F28" i="36"/>
  <c r="AA28" i="36"/>
  <c r="H29" i="33"/>
  <c r="U29" i="33" s="1"/>
  <c r="F29" i="33"/>
  <c r="J31" i="33"/>
  <c r="H31" i="33"/>
  <c r="AB31" i="33" s="1"/>
  <c r="F31" i="33"/>
  <c r="AA31" i="33" s="1"/>
  <c r="H45" i="33"/>
  <c r="J45" i="33"/>
  <c r="W45" i="33" s="1"/>
  <c r="F45" i="33"/>
  <c r="S45" i="33" s="1"/>
  <c r="J14" i="34"/>
  <c r="F14" i="34"/>
  <c r="S14" i="34" s="1"/>
  <c r="U14" i="34"/>
  <c r="F32" i="34"/>
  <c r="J32" i="34"/>
  <c r="W32" i="34" s="1"/>
  <c r="H46" i="34"/>
  <c r="U46" i="34" s="1"/>
  <c r="F46" i="34"/>
  <c r="J46" i="34"/>
  <c r="W46" i="34" s="1"/>
  <c r="H11" i="35"/>
  <c r="U11" i="35" s="1"/>
  <c r="J11" i="35"/>
  <c r="AC11" i="35" s="1"/>
  <c r="F11" i="35"/>
  <c r="S11" i="35" s="1"/>
  <c r="J26" i="36"/>
  <c r="W26" i="36" s="1"/>
  <c r="H28" i="36"/>
  <c r="U28" i="36" s="1"/>
  <c r="H32" i="36"/>
  <c r="AB32" i="36" s="1"/>
  <c r="J32" i="36"/>
  <c r="J11" i="36"/>
  <c r="H11" i="36"/>
  <c r="F11" i="36"/>
  <c r="H13" i="36"/>
  <c r="J13" i="36"/>
  <c r="W13" i="36" s="1"/>
  <c r="F13" i="36"/>
  <c r="S13" i="36" s="1"/>
  <c r="H36" i="37"/>
  <c r="H37" i="37"/>
  <c r="AC12" i="40"/>
  <c r="W12" i="40"/>
  <c r="H14" i="33"/>
  <c r="U14" i="33" s="1"/>
  <c r="F14" i="33"/>
  <c r="J14" i="33"/>
  <c r="H30" i="33"/>
  <c r="AB30" i="33" s="1"/>
  <c r="F30" i="33"/>
  <c r="S30" i="33" s="1"/>
  <c r="J30" i="33"/>
  <c r="AC30" i="33" s="1"/>
  <c r="H44" i="33"/>
  <c r="AB44" i="33" s="1"/>
  <c r="J44" i="33"/>
  <c r="AC44" i="33" s="1"/>
  <c r="F44" i="33"/>
  <c r="J46" i="33"/>
  <c r="F46" i="33"/>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F25" i="36"/>
  <c r="H13" i="37"/>
  <c r="F13" i="37"/>
  <c r="S13" i="37" s="1"/>
  <c r="J13" i="37"/>
  <c r="W13" i="37" s="1"/>
  <c r="F28" i="37"/>
  <c r="AA28" i="37" s="1"/>
  <c r="J28" i="37"/>
  <c r="AC28" i="37" s="1"/>
  <c r="H28" i="37"/>
  <c r="H38" i="37"/>
  <c r="J38" i="37"/>
  <c r="F38" i="37"/>
  <c r="S38" i="37" s="1"/>
  <c r="F43" i="39"/>
  <c r="H43" i="39"/>
  <c r="U43" i="39" s="1"/>
  <c r="J14" i="39"/>
  <c r="H14" i="39"/>
  <c r="AB14" i="39" s="1"/>
  <c r="F12" i="40"/>
  <c r="AA12" i="40" s="1"/>
  <c r="H12" i="40"/>
  <c r="AB12" i="40" s="1"/>
  <c r="H30" i="40"/>
  <c r="AB30" i="40" s="1"/>
  <c r="F33" i="40"/>
  <c r="J35" i="40"/>
  <c r="H13" i="40"/>
  <c r="J13" i="40"/>
  <c r="W13" i="40" s="1"/>
  <c r="F13" i="40"/>
  <c r="AA13" i="40" s="1"/>
  <c r="F14" i="37"/>
  <c r="F13" i="39"/>
  <c r="AA13" i="39" s="1"/>
  <c r="J13" i="39"/>
  <c r="H13" i="39"/>
  <c r="U13" i="39" s="1"/>
  <c r="H14" i="40"/>
  <c r="J14" i="40"/>
  <c r="F14" i="40"/>
  <c r="J14" i="37"/>
  <c r="AC14" i="37" s="1"/>
  <c r="W13" i="35"/>
  <c r="AB14" i="33"/>
  <c r="W28" i="37"/>
  <c r="AC32" i="34"/>
  <c r="J10" i="36"/>
  <c r="AC10" i="36" s="1"/>
  <c r="AB46" i="21"/>
  <c r="U14" i="21"/>
  <c r="AC14" i="21"/>
  <c r="AC13" i="36"/>
  <c r="U32" i="36"/>
  <c r="W29" i="33"/>
  <c r="U42"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s="1"/>
  <c r="S30" i="31"/>
  <c r="AC33" i="36"/>
  <c r="AB20" i="35"/>
  <c r="S28" i="37"/>
  <c r="U39" i="37"/>
  <c r="AB8" i="34"/>
  <c r="AA30" i="33"/>
  <c r="AB10" i="33"/>
  <c r="AB38" i="21"/>
  <c r="AA23" i="37"/>
  <c r="W10" i="36"/>
  <c r="H37" i="21"/>
  <c r="U37" i="21" s="1"/>
  <c r="J37" i="21"/>
  <c r="W37" i="21" s="1"/>
  <c r="H19" i="34"/>
  <c r="F36" i="35"/>
  <c r="J9" i="37"/>
  <c r="H9" i="37"/>
  <c r="F9" i="37"/>
  <c r="AA9" i="37" s="1"/>
  <c r="F11" i="37"/>
  <c r="S11" i="37" s="1"/>
  <c r="J42" i="39"/>
  <c r="AC42" i="39" s="1"/>
  <c r="S37" i="2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H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21" i="39"/>
  <c r="J11" i="39"/>
  <c r="W11" i="39" s="1"/>
  <c r="J32" i="39"/>
  <c r="AC32" i="39" s="1"/>
  <c r="E65" i="39"/>
  <c r="E60" i="40"/>
  <c r="F34" i="43"/>
  <c r="C21" i="11"/>
  <c r="C29" i="11" s="1"/>
  <c r="D27" i="11" s="1"/>
  <c r="H55" i="39"/>
  <c r="H16" i="44"/>
  <c r="D17" i="43"/>
  <c r="I17" i="43"/>
  <c r="D108" i="9"/>
  <c r="F22" i="43"/>
  <c r="G22" i="43"/>
  <c r="H14" i="44"/>
  <c r="AC20" i="35"/>
  <c r="AC10" i="34"/>
  <c r="AB12" i="34"/>
  <c r="H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J17" i="21"/>
  <c r="H17" i="21"/>
  <c r="J15" i="21"/>
  <c r="W15" i="21" s="1"/>
  <c r="AC35" i="21"/>
  <c r="H103" i="57"/>
  <c r="A131" i="9"/>
  <c r="A135" i="57"/>
  <c r="A14" i="52" s="1"/>
  <c r="B61" i="60" s="1"/>
  <c r="B103" i="57"/>
  <c r="B107" i="57" s="1"/>
  <c r="C112" i="57"/>
  <c r="H107" i="57" s="1"/>
  <c r="D128" i="57"/>
  <c r="C110" i="57"/>
  <c r="H104" i="57" s="1"/>
  <c r="T27" i="31"/>
  <c r="S27" i="31"/>
  <c r="B113" i="43"/>
  <c r="M101" i="43"/>
  <c r="M109" i="43" s="1"/>
  <c r="K101" i="43"/>
  <c r="I101" i="43"/>
  <c r="I102" i="43" s="1"/>
  <c r="G101" i="43"/>
  <c r="E101" i="43"/>
  <c r="E109" i="43" s="1"/>
  <c r="C101" i="43"/>
  <c r="C105" i="43" s="1"/>
  <c r="N101" i="43"/>
  <c r="N107" i="43" s="1"/>
  <c r="L101" i="43"/>
  <c r="L109" i="43" s="1"/>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J37" i="37"/>
  <c r="W37" i="37"/>
  <c r="AB40" i="37"/>
  <c r="U40" i="37"/>
  <c r="AA16" i="35"/>
  <c r="S14" i="39"/>
  <c r="U29" i="35"/>
  <c r="AB21" i="39"/>
  <c r="W44" i="33"/>
  <c r="AB46" i="34"/>
  <c r="AA14" i="34"/>
  <c r="W44" i="21"/>
  <c r="AB38" i="34"/>
  <c r="U38" i="34"/>
  <c r="F40" i="34"/>
  <c r="G118" i="34"/>
  <c r="AB20" i="36"/>
  <c r="H13" i="21"/>
  <c r="AA13" i="21"/>
  <c r="S42" i="21"/>
  <c r="C23" i="40"/>
  <c r="W8" i="34"/>
  <c r="J9" i="34"/>
  <c r="AC9" i="34"/>
  <c r="F9" i="34"/>
  <c r="S9" i="34"/>
  <c r="S19" i="34"/>
  <c r="S9" i="36"/>
  <c r="J12" i="36"/>
  <c r="W12" i="36"/>
  <c r="H12" i="36"/>
  <c r="AB12" i="36"/>
  <c r="AA9" i="39"/>
  <c r="S9" i="39"/>
  <c r="U12" i="39"/>
  <c r="J12" i="39"/>
  <c r="F12" i="39"/>
  <c r="R29" i="31"/>
  <c r="T29" i="31" s="1"/>
  <c r="F15" i="21"/>
  <c r="C106" i="9"/>
  <c r="H102" i="9" s="1"/>
  <c r="AA30" i="21"/>
  <c r="J36" i="34"/>
  <c r="W36" i="34" s="1"/>
  <c r="S8" i="34"/>
  <c r="J19" i="40"/>
  <c r="AC19" i="40"/>
  <c r="W9" i="39"/>
  <c r="U14" i="39"/>
  <c r="H32" i="39"/>
  <c r="U32" i="39" s="1"/>
  <c r="F21" i="39"/>
  <c r="AA21" i="39" s="1"/>
  <c r="F31" i="37"/>
  <c r="AA31" i="37" s="1"/>
  <c r="S44" i="21"/>
  <c r="AC36" i="40"/>
  <c r="F17" i="37"/>
  <c r="AA17" i="37"/>
  <c r="U44" i="33"/>
  <c r="AB11" i="35"/>
  <c r="AB32" i="34"/>
  <c r="H45" i="21"/>
  <c r="J14" i="36"/>
  <c r="AC30" i="21"/>
  <c r="S15" i="34"/>
  <c r="J40" i="34"/>
  <c r="AC40" i="34" s="1"/>
  <c r="S37" i="40"/>
  <c r="H19" i="33"/>
  <c r="AB19" i="33"/>
  <c r="AB23" i="33"/>
  <c r="U23" i="33"/>
  <c r="W23" i="33"/>
  <c r="AA41" i="33"/>
  <c r="J23" i="34"/>
  <c r="W23" i="34"/>
  <c r="AB17" i="39"/>
  <c r="W22" i="35"/>
  <c r="S30" i="36"/>
  <c r="S38" i="21"/>
  <c r="AA38" i="21"/>
  <c r="E106" i="21"/>
  <c r="F106" i="21"/>
  <c r="G106" i="21" s="1"/>
  <c r="H106" i="21" s="1"/>
  <c r="I106" i="21" s="1"/>
  <c r="J106" i="21" s="1"/>
  <c r="K106" i="21" s="1"/>
  <c r="L106" i="21" s="1"/>
  <c r="M106" i="21" s="1"/>
  <c r="F34" i="21"/>
  <c r="S34" i="21" s="1"/>
  <c r="H34" i="21"/>
  <c r="U34" i="21" s="1"/>
  <c r="J34" i="21"/>
  <c r="AC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J27" i="36"/>
  <c r="AC27" i="36" s="1"/>
  <c r="F37" i="34"/>
  <c r="AA37" i="34"/>
  <c r="H37" i="34"/>
  <c r="U37" i="34"/>
  <c r="AA32" i="37"/>
  <c r="U12" i="40"/>
  <c r="AC46" i="34"/>
  <c r="S31" i="33"/>
  <c r="U10" i="36"/>
  <c r="W28" i="33"/>
  <c r="AC34" i="33"/>
  <c r="AA14" i="35"/>
  <c r="S14" i="35"/>
  <c r="W11" i="21"/>
  <c r="S45" i="39"/>
  <c r="AA45" i="39"/>
  <c r="H27" i="21"/>
  <c r="J27" i="21"/>
  <c r="W27" i="21" s="1"/>
  <c r="F27" i="21"/>
  <c r="AA27" i="21" s="1"/>
  <c r="J29" i="21"/>
  <c r="H29" i="21"/>
  <c r="U29" i="21" s="1"/>
  <c r="F29" i="21"/>
  <c r="AA29" i="21" s="1"/>
  <c r="F31" i="21"/>
  <c r="H39" i="21"/>
  <c r="U39" i="21" s="1"/>
  <c r="F117" i="21"/>
  <c r="G117" i="21" s="1"/>
  <c r="S9" i="21"/>
  <c r="AA35" i="33"/>
  <c r="F117" i="33"/>
  <c r="G117" i="33" s="1"/>
  <c r="J39" i="33"/>
  <c r="AC39" i="33" s="1"/>
  <c r="E125" i="33"/>
  <c r="F125" i="33" s="1"/>
  <c r="G125" i="33" s="1"/>
  <c r="H43" i="33"/>
  <c r="U43" i="33"/>
  <c r="F91" i="33"/>
  <c r="G91" i="33" s="1"/>
  <c r="H91" i="33"/>
  <c r="I91" i="33" s="1"/>
  <c r="J91" i="33" s="1"/>
  <c r="K91" i="33" s="1"/>
  <c r="L91" i="33" s="1"/>
  <c r="M91" i="33" s="1"/>
  <c r="F27" i="33"/>
  <c r="H41" i="33"/>
  <c r="AA11" i="34"/>
  <c r="S11" i="34"/>
  <c r="F80" i="34"/>
  <c r="G80" i="34" s="1"/>
  <c r="H17" i="34"/>
  <c r="U17" i="34"/>
  <c r="H16" i="35"/>
  <c r="U16" i="35"/>
  <c r="J24" i="35"/>
  <c r="AC24" i="35"/>
  <c r="F24" i="35"/>
  <c r="AA24" i="35"/>
  <c r="H24" i="35"/>
  <c r="U24" i="35"/>
  <c r="H34" i="35"/>
  <c r="U34" i="35"/>
  <c r="F34" i="35"/>
  <c r="G60" i="37"/>
  <c r="H60" i="37" s="1"/>
  <c r="I60" i="37" s="1"/>
  <c r="F10" i="37"/>
  <c r="AA10" i="37"/>
  <c r="J29" i="37"/>
  <c r="W29" i="37"/>
  <c r="F29" i="37"/>
  <c r="S29" i="37" s="1"/>
  <c r="H31" i="37"/>
  <c r="AB31" i="37" s="1"/>
  <c r="J36" i="37"/>
  <c r="W36" i="37" s="1"/>
  <c r="J40" i="37"/>
  <c r="W40" i="37" s="1"/>
  <c r="F40" i="37"/>
  <c r="U8" i="39"/>
  <c r="AB8" i="39"/>
  <c r="J29" i="35"/>
  <c r="AC29" i="35"/>
  <c r="AC30" i="36"/>
  <c r="W30" i="36"/>
  <c r="J35" i="39"/>
  <c r="AA19" i="39"/>
  <c r="H16" i="36"/>
  <c r="U16" i="36" s="1"/>
  <c r="U32" i="37"/>
  <c r="F101" i="21"/>
  <c r="G101" i="21" s="1"/>
  <c r="H101" i="21" s="1"/>
  <c r="I101" i="21" s="1"/>
  <c r="J101" i="21" s="1"/>
  <c r="K101" i="21" s="1"/>
  <c r="L101" i="21" s="1"/>
  <c r="M101" i="21" s="1"/>
  <c r="F32" i="21"/>
  <c r="S32" i="21" s="1"/>
  <c r="J32" i="21"/>
  <c r="H32" i="21"/>
  <c r="U32" i="21" s="1"/>
  <c r="F40" i="21"/>
  <c r="H40" i="21"/>
  <c r="AB40" i="21" s="1"/>
  <c r="J40" i="21"/>
  <c r="B44" i="47"/>
  <c r="C21" i="40"/>
  <c r="AC33" i="33"/>
  <c r="W33" i="33"/>
  <c r="S34" i="33"/>
  <c r="S38" i="33"/>
  <c r="AC38" i="33"/>
  <c r="W38" i="33"/>
  <c r="J9" i="33"/>
  <c r="AC9" i="33"/>
  <c r="F9" i="33"/>
  <c r="AA9" i="33"/>
  <c r="AA10" i="34"/>
  <c r="S10" i="34"/>
  <c r="F25" i="34"/>
  <c r="S25" i="34"/>
  <c r="E126" i="34"/>
  <c r="H44" i="34"/>
  <c r="U44" i="34" s="1"/>
  <c r="W9" i="36"/>
  <c r="AB26" i="36"/>
  <c r="U26" i="36"/>
  <c r="F20" i="36"/>
  <c r="J24" i="36"/>
  <c r="W24" i="36" s="1"/>
  <c r="H24" i="36"/>
  <c r="U24" i="36" s="1"/>
  <c r="F24" i="36"/>
  <c r="AA32" i="36"/>
  <c r="S32" i="36"/>
  <c r="J26" i="37"/>
  <c r="AC26" i="37" s="1"/>
  <c r="H26" i="37"/>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F59" i="43"/>
  <c r="G15" i="47"/>
  <c r="W40" i="40"/>
  <c r="U15" i="37"/>
  <c r="AB24" i="36"/>
  <c r="H25" i="34"/>
  <c r="U25" i="34"/>
  <c r="AC40" i="37"/>
  <c r="AA34" i="35"/>
  <c r="S34" i="35"/>
  <c r="AB24" i="35"/>
  <c r="J17" i="34"/>
  <c r="AC17" i="34" s="1"/>
  <c r="F17" i="34"/>
  <c r="AA17" i="34"/>
  <c r="AB27" i="33"/>
  <c r="F43" i="33"/>
  <c r="S43" i="33"/>
  <c r="J43" i="33"/>
  <c r="AC43" i="33"/>
  <c r="AC27" i="21"/>
  <c r="S37" i="34"/>
  <c r="H27" i="36"/>
  <c r="F27" i="36"/>
  <c r="J28" i="34"/>
  <c r="W28" i="34" s="1"/>
  <c r="AB34" i="21"/>
  <c r="H11" i="34"/>
  <c r="U11" i="34"/>
  <c r="S17" i="37"/>
  <c r="J11" i="37"/>
  <c r="AC36" i="34"/>
  <c r="W12" i="39"/>
  <c r="AC12" i="39"/>
  <c r="W9" i="34"/>
  <c r="AC37" i="37"/>
  <c r="U38" i="40"/>
  <c r="F23" i="39"/>
  <c r="F96" i="39"/>
  <c r="G96" i="39" s="1"/>
  <c r="S26" i="37"/>
  <c r="F44" i="34"/>
  <c r="AA44" i="34" s="1"/>
  <c r="F126" i="34"/>
  <c r="G126" i="34"/>
  <c r="J44" i="34"/>
  <c r="AC44" i="34"/>
  <c r="U31" i="37"/>
  <c r="H10" i="37"/>
  <c r="U10" i="37" s="1"/>
  <c r="S24" i="35"/>
  <c r="AB43" i="33"/>
  <c r="AB29" i="21"/>
  <c r="W27" i="36"/>
  <c r="U9" i="34"/>
  <c r="J32" i="33"/>
  <c r="W32" i="33" s="1"/>
  <c r="H32" i="33"/>
  <c r="AB32" i="33" s="1"/>
  <c r="U12" i="36"/>
  <c r="W45" i="21"/>
  <c r="AB25" i="34"/>
  <c r="J10" i="37"/>
  <c r="AC10" i="37" s="1"/>
  <c r="H23" i="39"/>
  <c r="J11" i="34"/>
  <c r="W11" i="34" s="1"/>
  <c r="J27" i="33"/>
  <c r="J25" i="34"/>
  <c r="W25" i="34"/>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80" i="57"/>
  <c r="A16" i="55"/>
  <c r="B46" i="60" s="1"/>
  <c r="D3" i="33"/>
  <c r="D3" i="37"/>
  <c r="D3" i="36"/>
  <c r="AB36" i="40"/>
  <c r="W31" i="40"/>
  <c r="AC9" i="40"/>
  <c r="AA27" i="40"/>
  <c r="AC38" i="40"/>
  <c r="S40" i="40"/>
  <c r="W33" i="40"/>
  <c r="J37" i="40"/>
  <c r="H35" i="40"/>
  <c r="AB35" i="40" s="1"/>
  <c r="H37" i="40"/>
  <c r="H28" i="40"/>
  <c r="AB28" i="40" s="1"/>
  <c r="F28" i="40"/>
  <c r="J28" i="40"/>
  <c r="W28" i="40" s="1"/>
  <c r="G97" i="40"/>
  <c r="H97" i="40" s="1"/>
  <c r="I97" i="40"/>
  <c r="J97" i="40" s="1"/>
  <c r="K97" i="40" s="1"/>
  <c r="L97" i="40" s="1"/>
  <c r="M97" i="40" s="1"/>
  <c r="F21" i="40"/>
  <c r="H21" i="40"/>
  <c r="U21" i="40" s="1"/>
  <c r="F89" i="40"/>
  <c r="G89" i="40"/>
  <c r="J21" i="40"/>
  <c r="W21" i="40"/>
  <c r="W19" i="40"/>
  <c r="F85" i="40"/>
  <c r="G85" i="40" s="1"/>
  <c r="H17" i="40"/>
  <c r="U17" i="40" s="1"/>
  <c r="J17" i="40"/>
  <c r="AC17" i="40" s="1"/>
  <c r="F17" i="40"/>
  <c r="S17" i="40"/>
  <c r="F83" i="40"/>
  <c r="G83" i="40"/>
  <c r="F15" i="40"/>
  <c r="J15" i="40"/>
  <c r="W15" i="40" s="1"/>
  <c r="H15" i="40"/>
  <c r="AB15" i="40" s="1"/>
  <c r="AC25" i="40"/>
  <c r="W25" i="40"/>
  <c r="U19" i="40"/>
  <c r="U8" i="40"/>
  <c r="AA19" i="40"/>
  <c r="AC38" i="39"/>
  <c r="AC25" i="39"/>
  <c r="W27" i="39"/>
  <c r="AC27" i="39"/>
  <c r="U41" i="39"/>
  <c r="U42" i="39"/>
  <c r="AB13" i="39"/>
  <c r="U19" i="39"/>
  <c r="AB27" i="39"/>
  <c r="U27" i="39"/>
  <c r="AA27" i="39"/>
  <c r="S27" i="39"/>
  <c r="S40" i="39"/>
  <c r="S31" i="39"/>
  <c r="AC11" i="39"/>
  <c r="S13" i="39"/>
  <c r="AC24" i="36"/>
  <c r="S12" i="36"/>
  <c r="S22" i="36"/>
  <c r="AC16" i="36"/>
  <c r="S26" i="36"/>
  <c r="AC26" i="36"/>
  <c r="S14" i="36"/>
  <c r="S10" i="36"/>
  <c r="W18" i="36"/>
  <c r="AC18" i="36"/>
  <c r="AC12" i="36"/>
  <c r="AC20" i="36"/>
  <c r="W28" i="36"/>
  <c r="W8" i="36"/>
  <c r="AB18" i="36"/>
  <c r="U18" i="36"/>
  <c r="S28" i="36"/>
  <c r="W24" i="35"/>
  <c r="AC25" i="35"/>
  <c r="W23" i="35"/>
  <c r="AB23" i="35"/>
  <c r="W11" i="35"/>
  <c r="W10" i="35"/>
  <c r="AB16" i="35"/>
  <c r="W14" i="35"/>
  <c r="W34" i="35"/>
  <c r="AC26" i="35"/>
  <c r="W28" i="35"/>
  <c r="AC27" i="35"/>
  <c r="AB10" i="35"/>
  <c r="U8" i="35"/>
  <c r="AA13" i="35"/>
  <c r="S20" i="35"/>
  <c r="AB13" i="35"/>
  <c r="S10" i="35"/>
  <c r="S34" i="37"/>
  <c r="W32" i="37"/>
  <c r="W26" i="37"/>
  <c r="J33" i="37"/>
  <c r="AC33" i="37" s="1"/>
  <c r="F33" i="37"/>
  <c r="AA33" i="37" s="1"/>
  <c r="H99" i="37"/>
  <c r="I99" i="37" s="1"/>
  <c r="J99" i="37" s="1"/>
  <c r="K99" i="37" s="1"/>
  <c r="L99" i="37" s="1"/>
  <c r="M99" i="37" s="1"/>
  <c r="H33" i="37"/>
  <c r="W35" i="37"/>
  <c r="S31" i="37"/>
  <c r="H35" i="37"/>
  <c r="AB35" i="37" s="1"/>
  <c r="F35" i="37"/>
  <c r="E103" i="37"/>
  <c r="F103" i="37"/>
  <c r="G103" i="37" s="1"/>
  <c r="H103" i="37"/>
  <c r="I103" i="37" s="1"/>
  <c r="J103" i="37" s="1"/>
  <c r="K103" i="37" s="1"/>
  <c r="L103" i="37" s="1"/>
  <c r="M103" i="37" s="1"/>
  <c r="AC23" i="37"/>
  <c r="J19" i="37"/>
  <c r="W19" i="37"/>
  <c r="F19" i="37"/>
  <c r="G75" i="37"/>
  <c r="H19" i="37"/>
  <c r="U19" i="37"/>
  <c r="W17" i="37"/>
  <c r="AC17" i="37"/>
  <c r="AB17" i="37"/>
  <c r="S15" i="37"/>
  <c r="J15" i="37"/>
  <c r="W10" i="37"/>
  <c r="S10" i="37"/>
  <c r="AB10" i="37"/>
  <c r="AC21" i="37"/>
  <c r="W21" i="37"/>
  <c r="W14" i="37"/>
  <c r="AC19" i="37"/>
  <c r="W39" i="37"/>
  <c r="AB11" i="37"/>
  <c r="AA38" i="37"/>
  <c r="AB11" i="34"/>
  <c r="AB41" i="34"/>
  <c r="S38" i="34"/>
  <c r="S36" i="34"/>
  <c r="S43" i="34"/>
  <c r="S17" i="34"/>
  <c r="AB17" i="34"/>
  <c r="AA9" i="34"/>
  <c r="W15" i="34"/>
  <c r="W31" i="34"/>
  <c r="U21" i="34"/>
  <c r="AB21" i="34"/>
  <c r="AA25" i="34"/>
  <c r="AA41" i="34"/>
  <c r="W42" i="33"/>
  <c r="U25" i="33"/>
  <c r="W25" i="33"/>
  <c r="U34" i="33"/>
  <c r="U38" i="33"/>
  <c r="W37" i="33"/>
  <c r="W43" i="33"/>
  <c r="AC41" i="33"/>
  <c r="S23" i="33"/>
  <c r="S17" i="33"/>
  <c r="W17" i="33"/>
  <c r="AB9" i="33"/>
  <c r="U9" i="33"/>
  <c r="S10" i="33"/>
  <c r="AC12" i="33"/>
  <c r="W39" i="33"/>
  <c r="W9" i="33"/>
  <c r="W21" i="33"/>
  <c r="AC21" i="33"/>
  <c r="AB42" i="33"/>
  <c r="U39" i="33"/>
  <c r="S42" i="33"/>
  <c r="S9" i="33"/>
  <c r="W42" i="21"/>
  <c r="AA39" i="21"/>
  <c r="W39" i="21"/>
  <c r="AC26" i="21"/>
  <c r="AB39" i="21"/>
  <c r="AC37" i="21"/>
  <c r="AC28" i="21"/>
  <c r="AB23" i="21"/>
  <c r="U43" i="21"/>
  <c r="AB44" i="21"/>
  <c r="U30" i="21"/>
  <c r="AB36" i="21"/>
  <c r="AA36" i="21"/>
  <c r="AA43" i="21"/>
  <c r="S28" i="21"/>
  <c r="AB21" i="21"/>
  <c r="U21" i="21"/>
  <c r="AC19"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D3" i="21"/>
  <c r="M6" i="43"/>
  <c r="M5" i="43"/>
  <c r="F81" i="43"/>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D118" i="43"/>
  <c r="E118" i="43" s="1"/>
  <c r="F118" i="43" s="1"/>
  <c r="M7" i="15"/>
  <c r="J6" i="15" s="1"/>
  <c r="F35" i="15"/>
  <c r="F64" i="15" s="1"/>
  <c r="E18" i="1"/>
  <c r="C34" i="11" s="1"/>
  <c r="C17" i="15"/>
  <c r="A2" i="9"/>
  <c r="W23" i="40"/>
  <c r="U23" i="40"/>
  <c r="S38" i="40"/>
  <c r="U40" i="40"/>
  <c r="AB31" i="40"/>
  <c r="S31" i="40"/>
  <c r="AB32" i="39"/>
  <c r="W42" i="39"/>
  <c r="AA32" i="39"/>
  <c r="AA25" i="39"/>
  <c r="S29" i="39"/>
  <c r="U40" i="39"/>
  <c r="AB43" i="39"/>
  <c r="AC41" i="39"/>
  <c r="U11" i="39"/>
  <c r="W36" i="39"/>
  <c r="S34" i="39"/>
  <c r="S39" i="39"/>
  <c r="U9" i="39"/>
  <c r="S8" i="36"/>
  <c r="AB34" i="35"/>
  <c r="W29" i="35"/>
  <c r="W33" i="35"/>
  <c r="U22" i="35"/>
  <c r="AA29" i="35"/>
  <c r="S22" i="35"/>
  <c r="U28" i="35"/>
  <c r="AB27" i="35"/>
  <c r="S35" i="35"/>
  <c r="S26" i="35"/>
  <c r="AB26" i="35"/>
  <c r="S28" i="35"/>
  <c r="AC34" i="37"/>
  <c r="U30" i="37"/>
  <c r="AC29" i="37"/>
  <c r="AC13" i="37"/>
  <c r="AA13" i="37"/>
  <c r="S9" i="37"/>
  <c r="G84" i="34"/>
  <c r="J21" i="34"/>
  <c r="W21" i="34" s="1"/>
  <c r="AC19" i="34"/>
  <c r="AC23" i="34"/>
  <c r="AB28" i="34"/>
  <c r="AB37" i="34"/>
  <c r="W41" i="34"/>
  <c r="AA27" i="34"/>
  <c r="AB45" i="34"/>
  <c r="AB35" i="34"/>
  <c r="AB27" i="34"/>
  <c r="W43" i="34"/>
  <c r="U34" i="34"/>
  <c r="S34" i="34"/>
  <c r="AC25" i="34"/>
  <c r="W44" i="34"/>
  <c r="AB44" i="34"/>
  <c r="AC33" i="34"/>
  <c r="AA33" i="34"/>
  <c r="S35" i="34"/>
  <c r="AB47" i="34"/>
  <c r="U31" i="34"/>
  <c r="AB14" i="34"/>
  <c r="AC45" i="34"/>
  <c r="AA29" i="34"/>
  <c r="AC13" i="34"/>
  <c r="AB13" i="34"/>
  <c r="U10" i="34"/>
  <c r="S13" i="34"/>
  <c r="AA31" i="34"/>
  <c r="U37" i="33"/>
  <c r="U19" i="33"/>
  <c r="AC32" i="33"/>
  <c r="AA43" i="33"/>
  <c r="S32" i="33"/>
  <c r="U33" i="33"/>
  <c r="AA28" i="33"/>
  <c r="S39" i="33"/>
  <c r="W35" i="33"/>
  <c r="W40" i="33"/>
  <c r="W26" i="33"/>
  <c r="S33" i="33"/>
  <c r="U35" i="33"/>
  <c r="U32" i="33"/>
  <c r="AC45" i="33"/>
  <c r="AB29" i="33"/>
  <c r="AA19" i="33"/>
  <c r="W8" i="33"/>
  <c r="G83" i="21"/>
  <c r="J21" i="21"/>
  <c r="W21" i="21" s="1"/>
  <c r="S27" i="21"/>
  <c r="W23" i="21"/>
  <c r="AB25" i="21"/>
  <c r="AA25" i="21"/>
  <c r="S46" i="21"/>
  <c r="AC46" i="21"/>
  <c r="AA26" i="21"/>
  <c r="W10" i="21"/>
  <c r="W12" i="21"/>
  <c r="S35" i="21"/>
  <c r="C15" i="39"/>
  <c r="C17" i="39"/>
  <c r="C19" i="39"/>
  <c r="C15" i="40"/>
  <c r="C17" i="40"/>
  <c r="B54" i="43"/>
  <c r="B65" i="43"/>
  <c r="U30" i="40"/>
  <c r="B49" i="43"/>
  <c r="B52" i="43"/>
  <c r="B56" i="43"/>
  <c r="B60" i="43"/>
  <c r="B63" i="43"/>
  <c r="B67" i="43"/>
  <c r="B23" i="60"/>
  <c r="AC21" i="40"/>
  <c r="U35" i="40"/>
  <c r="U37" i="40"/>
  <c r="AB37" i="40"/>
  <c r="W37" i="40"/>
  <c r="AC37" i="40"/>
  <c r="AA28" i="40"/>
  <c r="S28" i="40"/>
  <c r="AC28" i="40"/>
  <c r="U28" i="40"/>
  <c r="AB21" i="40"/>
  <c r="S21" i="40"/>
  <c r="AA21" i="40"/>
  <c r="AB17" i="40"/>
  <c r="AA17" i="40"/>
  <c r="W17" i="40"/>
  <c r="AA15" i="40"/>
  <c r="S15" i="40"/>
  <c r="AC15" i="40"/>
  <c r="AB33" i="37"/>
  <c r="U33" i="37"/>
  <c r="U35" i="37"/>
  <c r="S33" i="37"/>
  <c r="AA35" i="37"/>
  <c r="S35" i="37"/>
  <c r="W33" i="37"/>
  <c r="AA19" i="37"/>
  <c r="S19" i="37"/>
  <c r="AB19" i="37"/>
  <c r="AC15" i="37"/>
  <c r="W15" i="37"/>
  <c r="AC21" i="34"/>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24" i="43"/>
  <c r="C13" i="12"/>
  <c r="C36" i="11"/>
  <c r="D118" i="57"/>
  <c r="D119" i="57"/>
  <c r="I115" i="57" s="1"/>
  <c r="D132" i="57" s="1"/>
  <c r="D134" i="57"/>
  <c r="D130" i="9"/>
  <c r="D13" i="52"/>
  <c r="H60" i="43"/>
  <c r="H66" i="43"/>
  <c r="H84" i="43"/>
  <c r="H9" i="44"/>
  <c r="H7" i="44"/>
  <c r="H10" i="44"/>
  <c r="N12" i="43"/>
  <c r="N4" i="43"/>
  <c r="F70" i="43" s="1"/>
  <c r="M7" i="43"/>
  <c r="N1" i="43"/>
  <c r="M10" i="43"/>
  <c r="M2" i="43"/>
  <c r="H15" i="44"/>
  <c r="H64" i="43"/>
  <c r="H87" i="43"/>
  <c r="H86"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D120" i="57"/>
  <c r="I114" i="9"/>
  <c r="D129" i="9" s="1"/>
  <c r="I112" i="9"/>
  <c r="D116" i="9"/>
  <c r="D114" i="9"/>
  <c r="D115" i="9"/>
  <c r="I113" i="9" s="1"/>
  <c r="F4" i="61"/>
  <c r="F7" i="61"/>
  <c r="D3" i="61"/>
  <c r="D7" i="61"/>
  <c r="E2" i="34"/>
  <c r="D19" i="57"/>
  <c r="D20" i="57"/>
  <c r="E2" i="11"/>
  <c r="E2" i="21"/>
  <c r="E2" i="37"/>
  <c r="D5" i="61"/>
  <c r="C20" i="57"/>
  <c r="F3" i="61"/>
  <c r="E2" i="36"/>
  <c r="E2" i="33"/>
  <c r="H23" i="31"/>
  <c r="D4" i="61"/>
  <c r="F5" i="61"/>
  <c r="E2" i="35"/>
  <c r="C19" i="57"/>
  <c r="F6" i="61"/>
  <c r="D6" i="61"/>
  <c r="H15" i="33" l="1"/>
  <c r="AB15" i="33" s="1"/>
  <c r="J15" i="33"/>
  <c r="AC15" i="33" s="1"/>
  <c r="F15" i="33"/>
  <c r="S15" i="33" s="1"/>
  <c r="W15" i="33"/>
  <c r="AA15" i="33"/>
  <c r="U15" i="33"/>
  <c r="F111" i="33"/>
  <c r="F36" i="33"/>
  <c r="J36" i="33"/>
  <c r="AC36" i="33" s="1"/>
  <c r="W36" i="33"/>
  <c r="W11" i="33"/>
  <c r="AB11" i="33"/>
  <c r="U8" i="33"/>
  <c r="D95" i="57"/>
  <c r="C14" i="12"/>
  <c r="D39" i="50"/>
  <c r="D40" i="50" s="1"/>
  <c r="D36" i="57"/>
  <c r="P60" i="15"/>
  <c r="C114" i="57"/>
  <c r="H109" i="57" s="1"/>
  <c r="I14" i="62"/>
  <c r="B8" i="62" s="1"/>
  <c r="A8" i="52"/>
  <c r="B65" i="60" s="1"/>
  <c r="N46" i="9"/>
  <c r="D42" i="50"/>
  <c r="D43" i="50" s="1"/>
  <c r="C20" i="59"/>
  <c r="D21" i="59"/>
  <c r="T21" i="59"/>
  <c r="B20" i="59"/>
  <c r="B19" i="59" s="1"/>
  <c r="B18" i="59" s="1"/>
  <c r="B17" i="59" s="1"/>
  <c r="S21" i="59"/>
  <c r="AC25" i="36"/>
  <c r="W25" i="36"/>
  <c r="W27" i="33"/>
  <c r="AC27" i="33"/>
  <c r="AB27" i="36"/>
  <c r="U27" i="36"/>
  <c r="U41" i="33"/>
  <c r="AB41" i="33"/>
  <c r="AA31" i="21"/>
  <c r="S31" i="21"/>
  <c r="AC29" i="21"/>
  <c r="W29" i="21"/>
  <c r="W39" i="34"/>
  <c r="AC39" i="34"/>
  <c r="AA40" i="34"/>
  <c r="S40" i="34"/>
  <c r="D103" i="43"/>
  <c r="D102" i="43"/>
  <c r="H107" i="43"/>
  <c r="H104" i="43"/>
  <c r="G105" i="43"/>
  <c r="G103" i="43"/>
  <c r="G104" i="43"/>
  <c r="K107" i="43"/>
  <c r="K106" i="43"/>
  <c r="I118" i="43"/>
  <c r="J118" i="43" s="1"/>
  <c r="K118" i="43" s="1"/>
  <c r="L118" i="43" s="1"/>
  <c r="M118" i="43" s="1"/>
  <c r="D115" i="43"/>
  <c r="E115" i="43" s="1"/>
  <c r="F115" i="43" s="1"/>
  <c r="B116" i="43"/>
  <c r="C116" i="43" s="1"/>
  <c r="D116" i="43"/>
  <c r="E116" i="43" s="1"/>
  <c r="F116" i="43" s="1"/>
  <c r="G116" i="43" s="1"/>
  <c r="H116" i="43" s="1"/>
  <c r="AC15" i="21"/>
  <c r="AC17" i="21"/>
  <c r="W17" i="21"/>
  <c r="AB23" i="34"/>
  <c r="U23" i="34"/>
  <c r="F4" i="47"/>
  <c r="B2" i="47" s="1"/>
  <c r="AA14" i="40"/>
  <c r="S14" i="40"/>
  <c r="AB14" i="40"/>
  <c r="U14" i="40"/>
  <c r="W13" i="39"/>
  <c r="AC13" i="39"/>
  <c r="S14" i="37"/>
  <c r="AA14" i="37"/>
  <c r="AC35" i="40"/>
  <c r="W35" i="40"/>
  <c r="AA33" i="40"/>
  <c r="S33" i="40"/>
  <c r="AB38" i="37"/>
  <c r="U38" i="37"/>
  <c r="U13" i="37"/>
  <c r="AB13" i="37"/>
  <c r="S25" i="36"/>
  <c r="AA25" i="36"/>
  <c r="AA47" i="34"/>
  <c r="S47" i="34"/>
  <c r="AB46" i="33"/>
  <c r="U46" i="33"/>
  <c r="W46" i="33"/>
  <c r="AC46" i="33"/>
  <c r="AA14" i="33"/>
  <c r="S14" i="33"/>
  <c r="U37" i="37"/>
  <c r="AB37" i="37"/>
  <c r="AB13" i="36"/>
  <c r="U13" i="36"/>
  <c r="AB11" i="36"/>
  <c r="U11" i="36"/>
  <c r="W32" i="36"/>
  <c r="AC32" i="36"/>
  <c r="S46" i="34"/>
  <c r="AA46" i="34"/>
  <c r="U45" i="33"/>
  <c r="AB45" i="33"/>
  <c r="S29" i="33"/>
  <c r="AA29" i="33"/>
  <c r="S33" i="35"/>
  <c r="AA33" i="35"/>
  <c r="AB17" i="33"/>
  <c r="U17" i="33"/>
  <c r="U40" i="34"/>
  <c r="AB40" i="34"/>
  <c r="AB43" i="34"/>
  <c r="U43" i="34"/>
  <c r="AB33" i="35"/>
  <c r="U33" i="35"/>
  <c r="W16" i="35"/>
  <c r="AC16" i="35"/>
  <c r="W11" i="40"/>
  <c r="AC11" i="40"/>
  <c r="U27" i="40"/>
  <c r="AB27" i="40"/>
  <c r="W30" i="40"/>
  <c r="AC30" i="40"/>
  <c r="AC34" i="39"/>
  <c r="W34" i="39"/>
  <c r="AB31" i="39"/>
  <c r="U31" i="39"/>
  <c r="AB34" i="39"/>
  <c r="U34" i="39"/>
  <c r="S16" i="36"/>
  <c r="AA16" i="36"/>
  <c r="S39" i="37"/>
  <c r="AA39" i="37"/>
  <c r="AB36" i="39"/>
  <c r="U36" i="39"/>
  <c r="AB19" i="21"/>
  <c r="U19" i="21"/>
  <c r="AB26" i="21"/>
  <c r="U26" i="21"/>
  <c r="AA33" i="21"/>
  <c r="S33" i="21"/>
  <c r="W33" i="21"/>
  <c r="AC33" i="21"/>
  <c r="W9" i="21"/>
  <c r="AC9" i="21"/>
  <c r="J31" i="21"/>
  <c r="H31" i="21"/>
  <c r="H36" i="35"/>
  <c r="J36" i="35"/>
  <c r="AA27" i="35"/>
  <c r="S27" i="35"/>
  <c r="J23" i="36"/>
  <c r="H23" i="36"/>
  <c r="F23" i="36"/>
  <c r="AB29" i="37"/>
  <c r="U29" i="37"/>
  <c r="H39" i="40"/>
  <c r="J39" i="40"/>
  <c r="AC21" i="21"/>
  <c r="AB23" i="39"/>
  <c r="U23" i="39"/>
  <c r="H63" i="43"/>
  <c r="H65" i="43"/>
  <c r="AB26" i="37"/>
  <c r="U26" i="37"/>
  <c r="AA24" i="36"/>
  <c r="S24" i="36"/>
  <c r="AC35" i="39"/>
  <c r="W35" i="39"/>
  <c r="AA40" i="37"/>
  <c r="S40" i="37"/>
  <c r="AC34" i="21"/>
  <c r="W34" i="21"/>
  <c r="AB45" i="21"/>
  <c r="U45" i="21"/>
  <c r="U13" i="21"/>
  <c r="AB13" i="21"/>
  <c r="F26" i="47"/>
  <c r="B24" i="47" s="1"/>
  <c r="AB9" i="37"/>
  <c r="U9" i="37"/>
  <c r="AA36" i="35"/>
  <c r="S36" i="35"/>
  <c r="D22" i="59"/>
  <c r="H61" i="43"/>
  <c r="H67" i="43"/>
  <c r="H59" i="43"/>
  <c r="U40" i="21"/>
  <c r="AA32" i="21"/>
  <c r="AB26" i="33"/>
  <c r="U30" i="33"/>
  <c r="AB29" i="34"/>
  <c r="W29" i="34"/>
  <c r="AA45" i="34"/>
  <c r="AA25" i="35"/>
  <c r="AA13" i="36"/>
  <c r="W32" i="39"/>
  <c r="AC13" i="40"/>
  <c r="B115" i="43"/>
  <c r="C115" i="43" s="1"/>
  <c r="D117" i="43"/>
  <c r="E117" i="43" s="1"/>
  <c r="F117" i="43" s="1"/>
  <c r="G117" i="43" s="1"/>
  <c r="H117" i="43" s="1"/>
  <c r="D105" i="43"/>
  <c r="H85" i="43"/>
  <c r="H81" i="43"/>
  <c r="H102" i="43"/>
  <c r="AB32" i="21"/>
  <c r="AA34" i="21"/>
  <c r="AC19" i="33"/>
  <c r="AA45" i="33"/>
  <c r="U36" i="34"/>
  <c r="AC28" i="34"/>
  <c r="W35" i="34"/>
  <c r="S37" i="37"/>
  <c r="AA11" i="37"/>
  <c r="U35" i="35"/>
  <c r="S23" i="35"/>
  <c r="W35" i="35"/>
  <c r="AB16" i="36"/>
  <c r="AC23" i="39"/>
  <c r="S36" i="40"/>
  <c r="W17" i="34"/>
  <c r="S44" i="34"/>
  <c r="W40" i="34"/>
  <c r="AA23" i="39"/>
  <c r="S23" i="39"/>
  <c r="AC11" i="37"/>
  <c r="W11" i="37"/>
  <c r="AA27" i="36"/>
  <c r="S27" i="36"/>
  <c r="S29" i="21"/>
  <c r="AA20" i="36"/>
  <c r="S20" i="36"/>
  <c r="AC40" i="21"/>
  <c r="W40" i="21"/>
  <c r="AA40" i="21"/>
  <c r="S40" i="21"/>
  <c r="W32" i="21"/>
  <c r="AC32" i="21"/>
  <c r="S27" i="33"/>
  <c r="AA27" i="33"/>
  <c r="AB27" i="21"/>
  <c r="U27" i="21"/>
  <c r="AC14" i="36"/>
  <c r="W14" i="36"/>
  <c r="AB28" i="36"/>
  <c r="S15" i="21"/>
  <c r="AA15" i="21"/>
  <c r="S12" i="39"/>
  <c r="AA12" i="39"/>
  <c r="F45" i="21"/>
  <c r="J13" i="21"/>
  <c r="AC44" i="39"/>
  <c r="AB15" i="21"/>
  <c r="S23" i="21"/>
  <c r="U35" i="21"/>
  <c r="AB17" i="21"/>
  <c r="U17" i="21"/>
  <c r="AA17" i="21"/>
  <c r="S17" i="21"/>
  <c r="AB25" i="39"/>
  <c r="U37" i="39"/>
  <c r="AB37" i="39"/>
  <c r="F15" i="47"/>
  <c r="B13" i="47" s="1"/>
  <c r="F37" i="47"/>
  <c r="B35" i="47" s="1"/>
  <c r="W9" i="37"/>
  <c r="AC9" i="37"/>
  <c r="U19" i="34"/>
  <c r="AB19" i="34"/>
  <c r="S11" i="33"/>
  <c r="AA11" i="35"/>
  <c r="U31" i="33"/>
  <c r="W30" i="33"/>
  <c r="W14" i="40"/>
  <c r="AC14" i="40"/>
  <c r="U13" i="40"/>
  <c r="AB13" i="40"/>
  <c r="H33" i="40"/>
  <c r="W14" i="39"/>
  <c r="AC14" i="39"/>
  <c r="AA43" i="39"/>
  <c r="S43" i="39"/>
  <c r="AC38" i="37"/>
  <c r="W38" i="37"/>
  <c r="U28" i="37"/>
  <c r="AB28" i="37"/>
  <c r="H25" i="36"/>
  <c r="AB25" i="35"/>
  <c r="U25" i="35"/>
  <c r="AC47" i="34"/>
  <c r="W47" i="34"/>
  <c r="AA46" i="33"/>
  <c r="S46" i="33"/>
  <c r="S44" i="33"/>
  <c r="AA44" i="33"/>
  <c r="AC14" i="33"/>
  <c r="W14" i="33"/>
  <c r="AB36" i="37"/>
  <c r="U36" i="37"/>
  <c r="AA11" i="36"/>
  <c r="S11" i="36"/>
  <c r="W11" i="36"/>
  <c r="AC11" i="36"/>
  <c r="S32" i="34"/>
  <c r="AA32" i="34"/>
  <c r="W14" i="34"/>
  <c r="AC14" i="34"/>
  <c r="W31" i="33"/>
  <c r="AC31" i="33"/>
  <c r="U28" i="33"/>
  <c r="AB28" i="33"/>
  <c r="AA23" i="40"/>
  <c r="S23" i="40"/>
  <c r="AB14" i="35"/>
  <c r="U14" i="35"/>
  <c r="AA34" i="36"/>
  <c r="S34" i="36"/>
  <c r="AC29" i="36"/>
  <c r="W29" i="36"/>
  <c r="W34" i="36"/>
  <c r="AC34" i="36"/>
  <c r="AA30" i="40"/>
  <c r="S30" i="40"/>
  <c r="S35" i="40"/>
  <c r="AA35" i="40"/>
  <c r="W17" i="39"/>
  <c r="AC17" i="39"/>
  <c r="U29" i="39"/>
  <c r="AB29" i="39"/>
  <c r="AB11" i="40"/>
  <c r="U11" i="40"/>
  <c r="AA11" i="40"/>
  <c r="S11" i="40"/>
  <c r="U22" i="36"/>
  <c r="AA29" i="36"/>
  <c r="S29" i="36"/>
  <c r="AB12" i="21"/>
  <c r="U12" i="21"/>
  <c r="AB33" i="21"/>
  <c r="U33" i="21"/>
  <c r="AB10" i="21"/>
  <c r="U10" i="21"/>
  <c r="U8" i="21"/>
  <c r="AB8" i="21"/>
  <c r="AC8" i="21"/>
  <c r="W8" i="21"/>
  <c r="AA10" i="21"/>
  <c r="S10" i="21"/>
  <c r="C27" i="39"/>
  <c r="B74" i="43"/>
  <c r="B85" i="43"/>
  <c r="B41" i="47"/>
  <c r="AB40" i="33"/>
  <c r="U40" i="33"/>
  <c r="AA39" i="34"/>
  <c r="S39" i="34"/>
  <c r="J13" i="33"/>
  <c r="H13" i="33"/>
  <c r="F13" i="33"/>
  <c r="J12" i="34"/>
  <c r="F12" i="34"/>
  <c r="H30" i="34"/>
  <c r="F30" i="34"/>
  <c r="J30" i="34"/>
  <c r="J12" i="35"/>
  <c r="H12" i="35"/>
  <c r="F12" i="35"/>
  <c r="AB9" i="36"/>
  <c r="U9" i="36"/>
  <c r="AB14" i="36"/>
  <c r="U14" i="36"/>
  <c r="H33" i="36"/>
  <c r="F33" i="36"/>
  <c r="AB8" i="37"/>
  <c r="U8" i="37"/>
  <c r="H12" i="37"/>
  <c r="J12" i="37"/>
  <c r="F12" i="37"/>
  <c r="H27" i="37"/>
  <c r="F27" i="37"/>
  <c r="J27" i="37"/>
  <c r="AC8" i="39"/>
  <c r="W8" i="39"/>
  <c r="AC40" i="39"/>
  <c r="W40" i="39"/>
  <c r="J37" i="39"/>
  <c r="F37" i="39"/>
  <c r="AB38" i="39"/>
  <c r="U38" i="39"/>
  <c r="AA9" i="40"/>
  <c r="S9" i="40"/>
  <c r="AC34" i="40"/>
  <c r="W34" i="40"/>
  <c r="F39" i="40"/>
  <c r="AA39" i="40" s="1"/>
  <c r="F35" i="39"/>
  <c r="H35" i="39"/>
  <c r="J9" i="35"/>
  <c r="H9" i="35"/>
  <c r="F9" i="35"/>
  <c r="H25" i="37"/>
  <c r="J25" i="37"/>
  <c r="F25" i="37"/>
  <c r="H44" i="39"/>
  <c r="F44" i="39"/>
  <c r="D53" i="59"/>
  <c r="T53" i="59"/>
  <c r="M19" i="43"/>
  <c r="U41" i="59"/>
  <c r="D44" i="59"/>
  <c r="C45" i="59"/>
  <c r="D59" i="59"/>
  <c r="C60" i="59"/>
  <c r="O67" i="59"/>
  <c r="O66" i="59"/>
  <c r="D67" i="59"/>
  <c r="S21" i="21"/>
  <c r="C29" i="39"/>
  <c r="C25" i="40"/>
  <c r="B66" i="43"/>
  <c r="F31" i="59"/>
  <c r="F32" i="59" s="1"/>
  <c r="F33" i="59" s="1"/>
  <c r="V33" i="59" s="1"/>
  <c r="F35" i="59"/>
  <c r="F36" i="59" s="1"/>
  <c r="F37" i="59" s="1"/>
  <c r="V37" i="59" s="1"/>
  <c r="Y38" i="59"/>
  <c r="Z38" i="59" s="1"/>
  <c r="C39" i="59"/>
  <c r="F39" i="59"/>
  <c r="F40" i="59" s="1"/>
  <c r="F41" i="59" s="1"/>
  <c r="V41" i="59" s="1"/>
  <c r="Y7" i="59"/>
  <c r="Z7" i="59" s="1"/>
  <c r="Y5" i="59"/>
  <c r="Z5" i="59" s="1"/>
  <c r="Y6" i="59"/>
  <c r="Z6" i="59" s="1"/>
  <c r="Y8" i="59"/>
  <c r="Z8" i="59" s="1"/>
  <c r="Y10" i="59"/>
  <c r="Z10" i="59" s="1"/>
  <c r="Y12" i="59"/>
  <c r="Z12" i="59" s="1"/>
  <c r="Y9" i="59"/>
  <c r="Z9" i="59" s="1"/>
  <c r="Y40" i="59"/>
  <c r="Z40" i="59" s="1"/>
  <c r="V77" i="59"/>
  <c r="F76" i="59"/>
  <c r="F75" i="59" s="1"/>
  <c r="E16" i="59"/>
  <c r="E15" i="59" s="1"/>
  <c r="E14" i="59" s="1"/>
  <c r="E13" i="59" s="1"/>
  <c r="U17" i="59"/>
  <c r="AB23" i="59"/>
  <c r="B55" i="43"/>
  <c r="U29" i="59"/>
  <c r="D68" i="59"/>
  <c r="D29" i="59"/>
  <c r="AA26" i="59"/>
  <c r="AA29" i="59"/>
  <c r="AB29" i="59"/>
  <c r="AB27" i="59"/>
  <c r="AB3" i="59"/>
  <c r="S29" i="59"/>
  <c r="X26" i="59"/>
  <c r="X29" i="59"/>
  <c r="B31" i="59"/>
  <c r="B32" i="59" s="1"/>
  <c r="B33" i="59" s="1"/>
  <c r="S33" i="59" s="1"/>
  <c r="C31" i="59"/>
  <c r="X31" i="59"/>
  <c r="X32" i="59"/>
  <c r="X33" i="59"/>
  <c r="B35" i="59"/>
  <c r="B36" i="59" s="1"/>
  <c r="B37" i="59" s="1"/>
  <c r="S37" i="59" s="1"/>
  <c r="C35" i="59"/>
  <c r="X38" i="59"/>
  <c r="B39" i="59"/>
  <c r="B40" i="59" s="1"/>
  <c r="B41" i="59" s="1"/>
  <c r="S41" i="59" s="1"/>
  <c r="AA7" i="59"/>
  <c r="AA5" i="59"/>
  <c r="AA8" i="59"/>
  <c r="AA11" i="59"/>
  <c r="AA6" i="59"/>
  <c r="AA10" i="59"/>
  <c r="AA9" i="59"/>
  <c r="AA40" i="59"/>
  <c r="F56" i="59"/>
  <c r="F57" i="59" s="1"/>
  <c r="V57" i="59" s="1"/>
  <c r="F64" i="59"/>
  <c r="F65" i="59" s="1"/>
  <c r="V65" i="59" s="1"/>
  <c r="S77" i="59"/>
  <c r="B76" i="59"/>
  <c r="B75" i="59" s="1"/>
  <c r="AA39" i="59"/>
  <c r="X7" i="59"/>
  <c r="X6" i="59"/>
  <c r="X5" i="59"/>
  <c r="X8" i="59"/>
  <c r="X11" i="59"/>
  <c r="X9" i="59"/>
  <c r="X12" i="59"/>
  <c r="X10" i="59"/>
  <c r="AB9" i="59"/>
  <c r="AB7" i="59"/>
  <c r="AB5" i="59"/>
  <c r="AB8" i="59"/>
  <c r="AB6" i="59"/>
  <c r="AB10" i="59"/>
  <c r="AB11" i="59"/>
  <c r="P69" i="59"/>
  <c r="AA20" i="59"/>
  <c r="AA25" i="59"/>
  <c r="T25" i="59"/>
  <c r="X25" i="59"/>
  <c r="AB22" i="59"/>
  <c r="Y22" i="59"/>
  <c r="Z22" i="59" s="1"/>
  <c r="AA18" i="59"/>
  <c r="F24" i="59"/>
  <c r="F23" i="59" s="1"/>
  <c r="F22" i="59" s="1"/>
  <c r="F21" i="59" s="1"/>
  <c r="V25" i="59"/>
  <c r="Y25" i="59"/>
  <c r="Z25" i="59" s="1"/>
  <c r="Y24" i="59"/>
  <c r="Z24" i="59" s="1"/>
  <c r="AA22" i="59"/>
  <c r="X23" i="59"/>
  <c r="X22" i="59"/>
  <c r="Y20" i="59"/>
  <c r="Z20" i="59" s="1"/>
  <c r="AB18" i="59"/>
  <c r="X18" i="59"/>
  <c r="AA17" i="59"/>
  <c r="AB17" i="59"/>
  <c r="Y19" i="59"/>
  <c r="Z19" i="59" s="1"/>
  <c r="Y15" i="59"/>
  <c r="Z15" i="59" s="1"/>
  <c r="AB15" i="59"/>
  <c r="X16" i="59"/>
  <c r="AA16" i="59"/>
  <c r="AB13" i="59"/>
  <c r="AB12" i="59"/>
  <c r="Y11" i="59"/>
  <c r="Z11" i="59" s="1"/>
  <c r="AA15" i="59"/>
  <c r="X14" i="59"/>
  <c r="B15" i="50"/>
  <c r="Y18" i="59"/>
  <c r="Z18" i="59" s="1"/>
  <c r="Y16" i="59"/>
  <c r="Z16" i="59" s="1"/>
  <c r="AB16" i="59"/>
  <c r="AB14" i="59"/>
  <c r="Y13" i="59"/>
  <c r="Z13" i="59" s="1"/>
  <c r="Y14" i="59"/>
  <c r="Z14" i="59" s="1"/>
  <c r="AA13" i="59"/>
  <c r="AA14" i="59"/>
  <c r="AA12"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36" i="33" l="1"/>
  <c r="AA36" i="33"/>
  <c r="H36" i="33"/>
  <c r="G111" i="33"/>
  <c r="H111" i="33" s="1"/>
  <c r="I111" i="33" s="1"/>
  <c r="J111" i="33" s="1"/>
  <c r="K111" i="33" s="1"/>
  <c r="L111" i="33" s="1"/>
  <c r="M111" i="33" s="1"/>
  <c r="D69" i="39"/>
  <c r="F20" i="59"/>
  <c r="F19" i="59" s="1"/>
  <c r="F18" i="59" s="1"/>
  <c r="F17" i="59" s="1"/>
  <c r="V21" i="59"/>
  <c r="C32" i="59"/>
  <c r="D31" i="59"/>
  <c r="C40" i="59"/>
  <c r="D39" i="59"/>
  <c r="U44" i="39"/>
  <c r="AB44" i="39"/>
  <c r="AC25" i="37"/>
  <c r="W25" i="37"/>
  <c r="S9" i="35"/>
  <c r="AA9" i="35"/>
  <c r="AC9" i="35"/>
  <c r="W9" i="35"/>
  <c r="S35" i="39"/>
  <c r="AA35" i="39"/>
  <c r="AA37" i="39"/>
  <c r="S37" i="39"/>
  <c r="W27" i="37"/>
  <c r="AC27" i="37"/>
  <c r="U27" i="37"/>
  <c r="AB27" i="37"/>
  <c r="W12" i="37"/>
  <c r="AC12" i="37"/>
  <c r="AA33" i="36"/>
  <c r="S33" i="36"/>
  <c r="S12" i="35"/>
  <c r="AA12" i="35"/>
  <c r="W12" i="35"/>
  <c r="AC12" i="35"/>
  <c r="AA30" i="34"/>
  <c r="S30" i="34"/>
  <c r="AA12" i="34"/>
  <c r="S12" i="34"/>
  <c r="AA13" i="33"/>
  <c r="S13" i="33"/>
  <c r="AC13" i="33"/>
  <c r="W13" i="33"/>
  <c r="AB25" i="36"/>
  <c r="U25" i="36"/>
  <c r="AA45" i="21"/>
  <c r="S45" i="21"/>
  <c r="U39" i="40"/>
  <c r="AB39" i="40"/>
  <c r="AB23" i="36"/>
  <c r="U23" i="36"/>
  <c r="W36" i="35"/>
  <c r="AC36" i="35"/>
  <c r="AB31" i="21"/>
  <c r="U31" i="21"/>
  <c r="B16" i="59"/>
  <c r="B15" i="59" s="1"/>
  <c r="B14" i="59" s="1"/>
  <c r="B13" i="59" s="1"/>
  <c r="S17" i="59"/>
  <c r="F7" i="35"/>
  <c r="C36" i="59"/>
  <c r="D35" i="59"/>
  <c r="D60" i="59"/>
  <c r="C61" i="59"/>
  <c r="D45" i="59"/>
  <c r="T45" i="59"/>
  <c r="AA44" i="39"/>
  <c r="S44" i="39"/>
  <c r="AA25" i="37"/>
  <c r="S25" i="37"/>
  <c r="U25" i="37"/>
  <c r="AB25" i="37"/>
  <c r="AB9" i="35"/>
  <c r="U9" i="35"/>
  <c r="U35" i="39"/>
  <c r="AB35" i="39"/>
  <c r="W37" i="39"/>
  <c r="AC37" i="39"/>
  <c r="S27" i="37"/>
  <c r="AA27" i="37"/>
  <c r="S12" i="37"/>
  <c r="AA12" i="37"/>
  <c r="U12" i="37"/>
  <c r="AB12" i="37"/>
  <c r="AB33" i="36"/>
  <c r="U33" i="36"/>
  <c r="AB12" i="35"/>
  <c r="U12" i="35"/>
  <c r="AC30" i="34"/>
  <c r="W30" i="34"/>
  <c r="AB30" i="34"/>
  <c r="U30" i="34"/>
  <c r="W12" i="34"/>
  <c r="AC12" i="34"/>
  <c r="U13" i="33"/>
  <c r="AB13" i="33"/>
  <c r="AB33" i="40"/>
  <c r="U33" i="40"/>
  <c r="W13" i="21"/>
  <c r="AC13" i="21"/>
  <c r="AC39" i="40"/>
  <c r="W39" i="40"/>
  <c r="AA23" i="36"/>
  <c r="S23" i="36"/>
  <c r="AC23" i="36"/>
  <c r="W23" i="36"/>
  <c r="AB36" i="35"/>
  <c r="U36" i="35"/>
  <c r="W31" i="21"/>
  <c r="AC31" i="21"/>
  <c r="C19" i="59"/>
  <c r="D20" i="59"/>
  <c r="F69" i="39"/>
  <c r="C7" i="43"/>
  <c r="U9" i="59"/>
  <c r="E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U36" i="33" l="1"/>
  <c r="AB36" i="33"/>
  <c r="T48" i="33" s="1"/>
  <c r="J7" i="36"/>
  <c r="W7" i="36" s="1"/>
  <c r="C18" i="59"/>
  <c r="D19" i="59"/>
  <c r="D36" i="59"/>
  <c r="C37" i="59"/>
  <c r="D61" i="59"/>
  <c r="T61" i="59"/>
  <c r="S13" i="59"/>
  <c r="B12" i="59"/>
  <c r="B11" i="59" s="1"/>
  <c r="B10" i="59" s="1"/>
  <c r="B9" i="59" s="1"/>
  <c r="D40" i="59"/>
  <c r="C41" i="59"/>
  <c r="D32" i="59"/>
  <c r="C33" i="59"/>
  <c r="F16" i="59"/>
  <c r="F15" i="59" s="1"/>
  <c r="F14" i="59" s="1"/>
  <c r="F13" i="59" s="1"/>
  <c r="V1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E48" i="33"/>
  <c r="F7" i="36"/>
  <c r="I42" i="35"/>
  <c r="J42" i="35" s="1"/>
  <c r="I69" i="39"/>
  <c r="J67"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G48" i="33" l="1"/>
  <c r="R49" i="33"/>
  <c r="C49" i="33" s="1"/>
  <c r="B2" i="33" s="1"/>
  <c r="V13" i="59"/>
  <c r="F12" i="59"/>
  <c r="F11" i="59" s="1"/>
  <c r="F10" i="59" s="1"/>
  <c r="F9" i="59" s="1"/>
  <c r="D18" i="59"/>
  <c r="C17" i="59"/>
  <c r="D33" i="59"/>
  <c r="T33" i="59"/>
  <c r="D41" i="59"/>
  <c r="T41" i="59"/>
  <c r="B8" i="59"/>
  <c r="B7" i="59" s="1"/>
  <c r="S9" i="59"/>
  <c r="D37" i="59"/>
  <c r="T3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23" i="11"/>
  <c r="C44" i="11"/>
  <c r="D41" i="11" s="1"/>
  <c r="C25" i="11"/>
  <c r="C42" i="11"/>
  <c r="C26" i="11"/>
  <c r="D22" i="11" s="1"/>
  <c r="C24" i="11"/>
  <c r="C61" i="15"/>
  <c r="C67" i="15"/>
  <c r="C38" i="15"/>
  <c r="C19" i="9"/>
  <c r="G53" i="33" l="1"/>
  <c r="H53" i="33" s="1"/>
  <c r="G52" i="33"/>
  <c r="H52" i="33" s="1"/>
  <c r="C101" i="9"/>
  <c r="B3" i="33"/>
  <c r="C16" i="59"/>
  <c r="T17" i="59"/>
  <c r="D17" i="59"/>
  <c r="F8" i="59"/>
  <c r="F7" i="59" s="1"/>
  <c r="F6" i="59" s="1"/>
  <c r="V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C15"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7" i="59"/>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F121" i="9" l="1"/>
  <c r="G4" i="52"/>
  <c r="B41" i="60" s="1"/>
  <c r="I103" i="9"/>
  <c r="I4" i="52"/>
  <c r="D121" i="9"/>
  <c r="E4" i="52"/>
  <c r="B38" i="60" s="1"/>
  <c r="H121" i="9"/>
  <c r="D14" i="62" s="1"/>
  <c r="C104" i="9"/>
  <c r="D107" i="9"/>
  <c r="H122" i="9" l="1"/>
  <c r="H5" i="52" s="1"/>
  <c r="H4" i="52"/>
  <c r="D122" i="9"/>
  <c r="D5" i="52" s="1"/>
  <c r="B39" i="60" s="1"/>
  <c r="D4" i="52"/>
  <c r="B37" i="60" s="1"/>
  <c r="D9" i="50"/>
  <c r="B21" i="60" s="1"/>
  <c r="D30" i="50"/>
  <c r="F122" i="9"/>
  <c r="F5" i="52" s="1"/>
  <c r="B42" i="60" s="1"/>
  <c r="F4" i="52"/>
  <c r="B40" i="60" s="1"/>
  <c r="C103" i="9"/>
  <c r="I102" i="9"/>
  <c r="D106" i="9"/>
  <c r="D112" i="9" s="1"/>
  <c r="D113" i="9" s="1"/>
  <c r="F14" i="62"/>
  <c r="E14" i="62"/>
  <c r="B5" i="62"/>
  <c r="D117" i="9" l="1"/>
  <c r="I115" i="9" s="1"/>
  <c r="D23" i="50" s="1"/>
  <c r="B34" i="60" s="1"/>
  <c r="I111" i="9"/>
  <c r="D38" i="50"/>
  <c r="B62" i="60" s="1"/>
  <c r="D45" i="9"/>
  <c r="D52" i="9" s="1"/>
  <c r="D28" i="50"/>
  <c r="D29" i="50" s="1"/>
  <c r="D7" i="50"/>
  <c r="I110" i="9"/>
  <c r="D125" i="9" s="1"/>
  <c r="N48" i="9"/>
  <c r="N49" i="9"/>
  <c r="D5" i="62"/>
  <c r="C5" i="62"/>
  <c r="D44" i="50" l="1"/>
  <c r="C72" i="9"/>
  <c r="D53" i="9"/>
  <c r="D48" i="9" s="1"/>
  <c r="N52" i="9" s="1"/>
  <c r="O57" i="9" s="1"/>
  <c r="O58" i="9" s="1"/>
  <c r="C78" i="9"/>
  <c r="C73" i="9" s="1"/>
  <c r="C79" i="9" s="1"/>
  <c r="C64" i="9"/>
  <c r="C63" i="9" s="1"/>
  <c r="C67" i="9" s="1"/>
  <c r="C68" i="9" s="1"/>
  <c r="D54" i="9" s="1"/>
  <c r="C85" i="9"/>
  <c r="C93" i="9"/>
  <c r="C86" i="9" s="1"/>
  <c r="G14" i="62"/>
  <c r="B6" i="62" s="1"/>
  <c r="D6" i="62" s="1"/>
  <c r="D8" i="52"/>
  <c r="D36" i="50"/>
  <c r="D37" i="50" s="1"/>
  <c r="D15" i="50"/>
  <c r="B19" i="60"/>
  <c r="D8" i="50"/>
  <c r="B22" i="60" s="1"/>
  <c r="D126" i="9"/>
  <c r="D9" i="52" s="1"/>
  <c r="D17" i="50"/>
  <c r="M68" i="9"/>
  <c r="N68" i="9" s="1"/>
  <c r="M67" i="9"/>
  <c r="N67" i="9" s="1"/>
  <c r="M66" i="9"/>
  <c r="N66" i="9" s="1"/>
  <c r="M65" i="9"/>
  <c r="N65" i="9" s="1"/>
  <c r="M64" i="9"/>
  <c r="N64" i="9" s="1"/>
  <c r="M63" i="9"/>
  <c r="N63" i="9" s="1"/>
  <c r="N69" i="9" l="1"/>
  <c r="O69" i="9" s="1"/>
  <c r="Q57" i="9"/>
  <c r="C6" i="62"/>
  <c r="C80" i="9"/>
  <c r="E80" i="9" s="1"/>
  <c r="E81" i="9" s="1"/>
  <c r="O59" i="9"/>
  <c r="O60" i="9" s="1"/>
  <c r="C95" i="9"/>
  <c r="B29" i="60"/>
  <c r="D16" i="50"/>
  <c r="B30" i="60" s="1"/>
  <c r="O61" i="9"/>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<sst xmlns="http://schemas.openxmlformats.org/spreadsheetml/2006/main" count="6919" uniqueCount="3050">
  <si>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</si>
  <si>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</si>
  <si>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</si>
  <si>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</si>
  <si>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</si>
  <si>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</si>
  <si>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</si>
  <si>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</si>
  <si>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</si>
  <si>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</si>
  <si>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</si>
  <si>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</si>
  <si>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</si>
  <si>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</si>
  <si>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</si>
  <si>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</si>
  <si>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</si>
  <si>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</si>
  <si>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</si>
  <si>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</si>
  <si>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</si>
  <si>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</si>
  <si>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</si>
  <si>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</si>
  <si>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</si>
  <si>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</si>
  <si>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</si>
  <si>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</si>
  <si>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</si>
  <si>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</si>
  <si>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</si>
  <si>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</si>
  <si>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</si>
  <si>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</si>
  <si>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</si>
  <si>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</si>
  <si>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</si>
  <si>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</si>
  <si>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</si>
  <si>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</si>
  <si>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</si>
  <si>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</si>
  <si>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</si>
  <si>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</si>
  <si>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</si>
  <si>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</si>
  <si>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</si>
  <si>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</si>
  <si>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</si>
  <si>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</si>
  <si>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</si>
  <si>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</si>
  <si>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</si>
  <si>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</si>
  <si>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</si>
  <si>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</si>
  <si>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</si>
  <si>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</si>
  <si>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</si>
  <si>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</si>
  <si>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</si>
  <si>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</si>
  <si>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</si>
  <si>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</si>
  <si>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</si>
  <si>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</si>
  <si>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</si>
  <si>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</si>
  <si>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</si>
  <si>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</si>
  <si>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</si>
  <si>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</si>
  <si>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</si>
  <si>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</si>
  <si>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</si>
  <si>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</si>
  <si>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</si>
  <si>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</si>
  <si>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</si>
  <si>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</si>
  <si>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</si>
  <si>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</si>
  <si>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</si>
  <si>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</si>
  <si>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</si>
  <si>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</si>
  <si>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</si>
  <si>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</si>
  <si>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</si>
  <si>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</si>
  <si>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</si>
  <si>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</si>
  <si>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</si>
  <si>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</si>
  <si>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</si>
  <si>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</si>
  <si>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</si>
  <si>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</si>
  <si>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</si>
  <si>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</si>
  <si>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</si>
  <si>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</si>
  <si>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</si>
  <si>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</si>
  <si>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</si>
  <si>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</si>
  <si>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</si>
  <si>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</si>
  <si>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</si>
  <si>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</si>
  <si>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</si>
  <si>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</si>
  <si>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</si>
  <si>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</si>
  <si>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</si>
  <si>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</si>
  <si>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</si>
  <si>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</si>
  <si>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</si>
  <si>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</si>
  <si>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</si>
  <si>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</si>
  <si>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</si>
  <si>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</si>
  <si>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</si>
  <si>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</si>
  <si>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</si>
  <si>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</si>
  <si>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</si>
  <si>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</si>
  <si>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</si>
  <si>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</si>
  <si>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</si>
  <si>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</si>
  <si>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</si>
  <si>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</si>
  <si>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</si>
  <si>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</si>
  <si>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</si>
  <si>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</si>
  <si>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</si>
  <si>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</si>
  <si>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</si>
  <si>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</si>
  <si>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</si>
  <si>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</si>
  <si>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</si>
  <si>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</si>
  <si>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</si>
  <si>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</si>
  <si>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</si>
  <si>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</si>
  <si>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</si>
  <si>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</si>
  <si>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</si>
  <si>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</si>
  <si>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</si>
  <si>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</si>
  <si>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</si>
  <si>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</si>
  <si>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</si>
  <si>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</si>
  <si>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</si>
  <si>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</si>
  <si>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</si>
  <si>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</si>
  <si>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</si>
  <si>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</si>
  <si>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</si>
  <si>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</si>
  <si>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</si>
  <si>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</si>
  <si>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</si>
  <si>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</si>
  <si>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</si>
  <si>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</si>
  <si>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</si>
  <si>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</si>
  <si>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</si>
  <si>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</si>
  <si>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</si>
  <si>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</si>
  <si>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</si>
  <si>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</si>
  <si>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</si>
  <si>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</si>
  <si>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</si>
  <si>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</si>
  <si>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</si>
  <si>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</si>
  <si>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</si>
  <si>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</si>
  <si>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</si>
  <si>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</si>
  <si>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</si>
  <si>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</si>
  <si>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</si>
  <si>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</si>
  <si>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</si>
  <si>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</si>
  <si>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</si>
  <si>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</si>
  <si>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</si>
  <si>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</si>
  <si>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</si>
  <si>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</si>
  <si>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</si>
  <si>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</si>
  <si>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</si>
  <si>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</si>
  <si>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</si>
  <si>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</si>
  <si>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</si>
  <si>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</si>
  <si>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</si>
  <si>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</si>
  <si>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</si>
  <si>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</si>
  <si>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</si>
  <si>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</si>
  <si>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</si>
  <si>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</si>
  <si>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</si>
  <si>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</si>
  <si>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</si>
  <si>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</si>
  <si>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</si>
  <si>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</si>
  <si>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</si>
  <si>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</si>
  <si>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</si>
  <si>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</si>
  <si>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</si>
  <si>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</si>
  <si>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</si>
  <si>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</si>
  <si>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</si>
  <si>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</si>
  <si>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</si>
  <si>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</si>
  <si>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</si>
  <si>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</si>
  <si>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</si>
  <si>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</si>
  <si>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</si>
  <si>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</si>
  <si>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</si>
  <si>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</si>
  <si>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</si>
  <si>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</si>
  <si>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</si>
  <si>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</si>
  <si>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</si>
  <si>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</si>
  <si>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</si>
  <si>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</si>
  <si>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</si>
  <si>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</si>
  <si>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</si>
  <si>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</si>
  <si>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</si>
  <si>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</si>
  <si>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</si>
  <si>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</si>
  <si>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</si>
  <si>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</si>
  <si>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</si>
  <si>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</si>
  <si>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</si>
  <si>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</si>
  <si>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</si>
  <si>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</si>
  <si>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</si>
  <si>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</si>
  <si>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</si>
  <si>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</si>
  <si>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</si>
  <si>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</si>
  <si>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</si>
  <si>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</si>
  <si>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</si>
  <si>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</si>
  <si>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</si>
  <si>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</si>
  <si>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</si>
  <si>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</si>
  <si>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</si>
  <si>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</si>
  <si>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</si>
  <si>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</si>
  <si>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</si>
  <si>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</si>
  <si>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</si>
  <si>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</si>
  <si>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</si>
  <si>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</si>
  <si>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</si>
  <si>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</si>
  <si>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</si>
  <si>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</si>
  <si>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</si>
  <si>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</si>
  <si>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</si>
  <si>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</si>
  <si>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</si>
  <si>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</si>
  <si>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</si>
  <si>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</si>
  <si>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</si>
  <si>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</si>
  <si>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</si>
  <si>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</si>
  <si>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</si>
  <si>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</si>
  <si>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</si>
  <si>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</si>
  <si>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</si>
  <si>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</si>
  <si>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</si>
  <si>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</si>
  <si>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</si>
  <si>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</si>
  <si>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</si>
  <si>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</si>
  <si>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</si>
  <si>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</si>
  <si>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</si>
  <si>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</si>
  <si>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</si>
  <si>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</si>
  <si>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</si>
  <si>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</si>
  <si>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</si>
  <si>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</si>
  <si>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</si>
  <si>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</si>
  <si>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</si>
  <si>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</si>
  <si>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</si>
  <si>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</si>
  <si>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</si>
  <si>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</si>
  <si>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</si>
  <si>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</si>
  <si>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</si>
  <si>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</si>
  <si>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</si>
  <si>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</si>
  <si>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</si>
  <si>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</si>
  <si>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</si>
  <si>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</si>
  <si>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</si>
  <si>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</si>
  <si>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</si>
  <si>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</si>
  <si>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</si>
  <si>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</si>
  <si>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</si>
  <si>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</si>
  <si>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</si>
  <si>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</si>
  <si>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</si>
  <si>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</si>
  <si>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</si>
  <si>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</si>
  <si>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</si>
  <si>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</si>
  <si>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</si>
  <si>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</si>
  <si>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</si>
  <si>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</si>
  <si>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</si>
  <si>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</si>
  <si>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</si>
  <si>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</si>
  <si>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</si>
  <si>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</si>
  <si>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</si>
  <si>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</si>
  <si>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</si>
  <si>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</si>
  <si>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</si>
  <si>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</si>
  <si>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</si>
  <si>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</si>
  <si>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</si>
  <si>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</si>
  <si>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</si>
  <si>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</si>
  <si>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</si>
  <si>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</si>
  <si>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</si>
  <si>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</si>
  <si>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</si>
  <si>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</si>
  <si>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</si>
  <si>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</si>
  <si>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</si>
  <si>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</si>
  <si>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</si>
  <si>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</si>
  <si>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</si>
  <si>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</si>
  <si>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</si>
  <si>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</si>
  <si>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</si>
  <si>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</si>
  <si>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</si>
  <si>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</si>
  <si>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</si>
  <si>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</si>
  <si>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</si>
  <si>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</si>
  <si>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</si>
  <si>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</si>
  <si>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</si>
  <si>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</si>
  <si>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</si>
  <si>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</si>
  <si>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</si>
  <si>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</si>
  <si>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</si>
  <si>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</si>
  <si>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</si>
  <si>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</si>
  <si>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</si>
  <si>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</si>
  <si>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</si>
  <si>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</si>
  <si>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</si>
  <si>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</si>
  <si>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</si>
  <si>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</si>
  <si>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</si>
  <si>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</si>
  <si>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</si>
  <si>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</si>
  <si>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</si>
  <si>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</si>
  <si>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</si>
  <si>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</si>
  <si>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</si>
  <si>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</si>
  <si>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</si>
  <si>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</si>
  <si>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</si>
  <si>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</si>
  <si>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</si>
  <si>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</si>
  <si>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</si>
  <si>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</si>
  <si>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</si>
  <si>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</si>
  <si>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</si>
  <si>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</si>
  <si>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</si>
  <si>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</si>
  <si>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</si>
  <si>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</si>
  <si>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</si>
  <si>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</si>
  <si>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</si>
  <si>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</si>
  <si>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</si>
  <si>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</si>
  <si>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</si>
  <si>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</si>
  <si>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</si>
  <si>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</si>
  <si>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</si>
  <si>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</si>
  <si>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</si>
  <si>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</si>
  <si>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</si>
  <si>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</si>
  <si>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</si>
  <si>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</si>
  <si>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</si>
  <si>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</si>
  <si>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</si>
  <si>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</si>
  <si>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</si>
  <si>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</si>
  <si>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</si>
  <si>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</si>
  <si>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</si>
  <si>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</si>
  <si>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</si>
  <si>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</si>
  <si>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</si>
  <si>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</si>
  <si>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</si>
  <si>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</si>
  <si>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</si>
  <si>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</si>
  <si>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</si>
  <si>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</si>
  <si>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</si>
  <si>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</si>
  <si>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</si>
  <si>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</si>
  <si>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</si>
  <si>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</si>
  <si>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</si>
  <si>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</si>
  <si>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</si>
  <si>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</si>
  <si>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</si>
  <si>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</si>
  <si>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</si>
  <si>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</si>
  <si>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</si>
  <si>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</si>
  <si>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</si>
  <si>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</si>
  <si>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</si>
  <si>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</si>
  <si>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</si>
  <si>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</si>
  <si>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</si>
  <si>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</si>
  <si>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</si>
  <si>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</si>
  <si>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</si>
  <si>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</si>
  <si>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</si>
  <si>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</si>
  <si>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</si>
  <si>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</si>
  <si>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</si>
  <si>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</si>
  <si>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</si>
  <si>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</si>
  <si>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</si>
  <si>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</si>
  <si>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</si>
  <si>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</si>
  <si>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</si>
  <si>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</si>
  <si>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</si>
  <si>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</si>
  <si>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</si>
  <si>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</si>
  <si>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</si>
  <si>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</si>
  <si>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</si>
  <si>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</si>
  <si>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</si>
  <si>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</si>
  <si>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</si>
  <si>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</si>
  <si>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</si>
  <si>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</si>
  <si>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</si>
  <si>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</si>
  <si>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</si>
  <si>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</si>
  <si>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</si>
  <si>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</si>
  <si>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</si>
  <si>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</si>
  <si>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</si>
  <si>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</si>
  <si>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</si>
  <si>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</si>
  <si>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</si>
  <si>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</si>
  <si>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</si>
  <si>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</si>
  <si>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</si>
  <si>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</si>
  <si>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</si>
  <si>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</si>
  <si>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</si>
  <si>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</si>
  <si>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</si>
  <si>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</si>
  <si>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</si>
  <si>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</si>
  <si>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</si>
  <si>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</si>
  <si>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</si>
  <si>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</si>
  <si>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</si>
  <si>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</si>
  <si>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</si>
  <si>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</si>
  <si>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</si>
  <si>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</si>
  <si>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</si>
  <si>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</si>
  <si>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</si>
  <si>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</si>
  <si>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</si>
  <si>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</si>
  <si>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</si>
  <si>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</si>
  <si>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</si>
  <si>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</si>
  <si>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</si>
  <si>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</si>
  <si>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</si>
  <si>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</si>
  <si>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</si>
  <si>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</si>
  <si>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</si>
  <si>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</si>
  <si>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</si>
  <si>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</si>
  <si>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</si>
  <si>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</si>
  <si>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</si>
  <si>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</si>
  <si>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</si>
  <si>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</si>
  <si>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</si>
  <si>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</si>
  <si>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</si>
  <si>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</si>
  <si>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</si>
  <si>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</si>
  <si>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</si>
  <si>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</si>
  <si>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</si>
  <si>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</si>
  <si>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</si>
  <si>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</si>
  <si>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</si>
  <si>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</si>
  <si>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</si>
  <si>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</si>
  <si>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</si>
  <si>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</si>
  <si>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</si>
  <si>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</si>
  <si>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</si>
  <si>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</si>
  <si>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</si>
  <si>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</si>
  <si>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</si>
  <si>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</si>
  <si>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</si>
  <si>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</si>
  <si>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</si>
  <si>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</si>
  <si>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</si>
  <si>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</si>
  <si>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</si>
  <si>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</si>
  <si>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</si>
  <si>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</si>
  <si>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</si>
  <si>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</si>
  <si>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</si>
  <si>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</si>
  <si>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</si>
  <si>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</si>
  <si>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</si>
  <si>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</si>
  <si>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</si>
  <si>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</si>
  <si>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</si>
  <si>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</si>
  <si>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</si>
  <si>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</si>
  <si>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</si>
  <si>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</si>
  <si>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</si>
  <si>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</si>
  <si>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</si>
  <si>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</si>
  <si>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</si>
  <si>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</si>
  <si>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</si>
  <si>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</si>
  <si>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</si>
  <si>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</si>
  <si>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</si>
  <si>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</si>
  <si>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</si>
  <si>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</si>
  <si>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</si>
  <si>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</si>
  <si>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</si>
  <si>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</si>
  <si>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</si>
  <si>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</si>
  <si>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</si>
  <si>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</si>
  <si>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</si>
  <si>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</si>
  <si>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</si>
  <si>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</si>
  <si>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</si>
  <si>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</si>
  <si>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</si>
  <si>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</si>
  <si>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</si>
  <si>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</si>
  <si>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</si>
  <si>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</si>
  <si>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</si>
  <si>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</si>
  <si>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</si>
  <si>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</si>
  <si>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</si>
  <si>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</si>
  <si>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</si>
  <si>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</si>
  <si>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</si>
  <si>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</si>
  <si>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</si>
  <si>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</si>
  <si>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</si>
  <si>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</si>
  <si>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</si>
  <si>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</si>
  <si>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</si>
  <si>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</si>
  <si>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</si>
  <si>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</si>
  <si>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</si>
  <si>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</si>
  <si>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</si>
  <si>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</si>
  <si>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</si>
  <si>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</si>
  <si>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</si>
  <si>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</si>
  <si>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</si>
  <si>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</si>
  <si>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</si>
  <si>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</si>
  <si>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</si>
  <si>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</si>
  <si>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</si>
  <si>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</si>
  <si>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</si>
  <si>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</si>
  <si>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</si>
  <si>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</si>
  <si>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</si>
  <si>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</si>
  <si>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</si>
  <si>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</si>
  <si>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</si>
  <si>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</si>
  <si>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</si>
  <si>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</si>
  <si>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</si>
  <si>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</si>
  <si>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</si>
  <si>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</si>
  <si>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</si>
  <si>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</si>
  <si>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</si>
  <si>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</si>
  <si>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</si>
  <si>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</si>
  <si>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</si>
  <si>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</si>
  <si>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</si>
  <si>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</si>
  <si>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</si>
  <si>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</si>
  <si>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</si>
  <si>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</si>
  <si>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</si>
  <si>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</si>
  <si>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</si>
  <si>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</si>
  <si>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</si>
  <si>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</si>
  <si>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</si>
  <si>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</si>
  <si>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</si>
  <si>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</si>
  <si>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</si>
  <si>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</si>
  <si>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</si>
  <si>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</si>
  <si>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</si>
  <si>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</si>
  <si>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</si>
  <si>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</si>
  <si>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</si>
  <si>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</si>
  <si>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</si>
  <si>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</si>
  <si>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</si>
  <si>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</si>
  <si>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</si>
  <si>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</si>
  <si>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</si>
  <si>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</si>
  <si>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</si>
  <si>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</si>
  <si>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</si>
  <si>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</si>
  <si>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</si>
  <si>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</si>
  <si>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</si>
  <si>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</si>
  <si>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</si>
  <si>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</si>
  <si>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</si>
  <si>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</si>
  <si>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</si>
  <si>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</si>
  <si>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</si>
  <si>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</si>
  <si>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</si>
  <si>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</si>
  <si>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</si>
  <si>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</si>
  <si>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</si>
  <si>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</si>
  <si>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</si>
  <si>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</si>
  <si>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</si>
  <si>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</si>
  <si>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</si>
  <si>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</si>
  <si>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</si>
  <si>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</si>
  <si>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</si>
  <si>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</si>
  <si>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</si>
  <si>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</si>
  <si>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</si>
  <si>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</si>
  <si>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</si>
  <si>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</si>
  <si>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</si>
  <si>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</si>
  <si>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</si>
  <si>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</si>
  <si>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</si>
  <si>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</si>
  <si>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</si>
  <si>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</si>
  <si>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</si>
  <si>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</si>
  <si>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</si>
  <si>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</si>
  <si>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</si>
  <si>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</si>
  <si>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</si>
  <si>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</si>
  <si>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</si>
  <si>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</si>
  <si>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</si>
  <si>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</si>
  <si>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</si>
  <si>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</si>
  <si>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</si>
  <si>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</si>
  <si>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</si>
  <si>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</si>
  <si>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</si>
  <si>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</si>
  <si>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</si>
  <si>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</si>
  <si>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</si>
  <si>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</si>
  <si>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</si>
  <si>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</si>
  <si>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</si>
  <si>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</si>
  <si>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</si>
  <si>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</si>
  <si>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</si>
  <si>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</si>
  <si>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</si>
  <si>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</si>
  <si>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</si>
  <si>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</si>
  <si>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</si>
  <si>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</si>
  <si>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</si>
  <si>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</si>
  <si>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</si>
  <si>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</si>
  <si>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</si>
  <si>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</si>
  <si>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</si>
  <si>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</si>
  <si>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</si>
  <si>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</si>
  <si>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</si>
  <si>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</si>
  <si>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</si>
  <si>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</si>
  <si>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</si>
  <si>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</si>
  <si>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</si>
  <si>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</si>
  <si>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</si>
  <si>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</si>
  <si>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</si>
  <si>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</si>
  <si>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</si>
  <si>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</si>
  <si>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</si>
  <si>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</si>
  <si>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</si>
  <si>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</si>
  <si>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</si>
  <si>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</si>
  <si>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</si>
  <si>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</si>
  <si>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</si>
  <si>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</si>
  <si>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</si>
  <si>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</si>
  <si>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</si>
  <si>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</si>
  <si>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</si>
  <si>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</si>
  <si>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</si>
  <si>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</si>
  <si>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</si>
  <si>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</si>
  <si>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</si>
  <si>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</si>
  <si>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</si>
  <si>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</si>
  <si>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</si>
  <si>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</si>
  <si>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</si>
  <si>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</si>
  <si>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</si>
  <si>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</si>
  <si>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</si>
  <si>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</si>
  <si>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</si>
  <si>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</si>
  <si>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</si>
  <si>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</si>
  <si>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</si>
  <si>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</si>
  <si>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</si>
  <si>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</si>
  <si>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</si>
  <si>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</si>
  <si>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</si>
  <si>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</si>
  <si>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</si>
  <si>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</si>
  <si>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</si>
  <si>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</si>
  <si>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</si>
  <si>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</si>
  <si>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</si>
  <si>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</si>
  <si>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</si>
  <si>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</si>
  <si>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</si>
  <si>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</si>
  <si>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</si>
  <si>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</si>
  <si>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</si>
  <si>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</si>
  <si>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</si>
  <si>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</si>
  <si>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</si>
  <si>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</si>
  <si>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</si>
  <si>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</si>
  <si>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</si>
  <si>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</si>
  <si>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</si>
  <si>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</si>
  <si>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</si>
  <si>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</si>
  <si>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</si>
  <si>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</si>
  <si>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</si>
  <si>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</si>
  <si>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</si>
  <si>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</si>
  <si>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</si>
  <si>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</si>
  <si>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</si>
  <si>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</si>
  <si>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</si>
  <si>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</si>
  <si>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</si>
  <si>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</si>
  <si>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</si>
  <si>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</si>
  <si>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</si>
  <si>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</si>
  <si>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</si>
  <si>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</si>
  <si>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</si>
  <si>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</si>
  <si>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</si>
  <si>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</si>
  <si>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</si>
  <si>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</si>
  <si>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</si>
  <si>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</si>
  <si>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</si>
  <si>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</si>
  <si>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</si>
  <si>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</si>
  <si>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</si>
  <si>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</si>
  <si>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</si>
  <si>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</si>
  <si>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</si>
  <si>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</si>
  <si>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</si>
  <si>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</si>
  <si>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</si>
  <si>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</si>
  <si>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</si>
  <si>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</si>
  <si>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</si>
  <si>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</si>
  <si>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</si>
  <si>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</si>
  <si>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</si>
  <si>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</si>
  <si>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</si>
  <si>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</si>
  <si>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</si>
  <si>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</si>
  <si>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</si>
  <si>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</si>
  <si>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</si>
  <si>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</si>
  <si>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</si>
  <si>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</si>
  <si>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</si>
  <si>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</si>
  <si>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</si>
  <si>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</si>
  <si>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</si>
  <si>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</si>
  <si>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</si>
  <si>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</si>
  <si>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</si>
  <si>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</si>
  <si>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</si>
  <si>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</si>
  <si>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</si>
  <si>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</si>
  <si>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</si>
  <si>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</si>
  <si>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</si>
  <si>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</si>
  <si>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</si>
  <si>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</si>
  <si>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</si>
  <si>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</si>
  <si>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</si>
  <si>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</si>
  <si>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</si>
  <si>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</si>
  <si>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</si>
  <si>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</si>
  <si>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</si>
  <si>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</si>
  <si>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</si>
  <si>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</si>
  <si>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</si>
  <si>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</si>
  <si>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</si>
  <si>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</si>
  <si>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</si>
  <si>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</si>
  <si>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</si>
  <si>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</si>
  <si>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</si>
  <si>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</si>
  <si>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</si>
  <si>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</si>
  <si>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</si>
  <si>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</si>
  <si>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</si>
  <si>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</si>
  <si>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</si>
  <si>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</si>
  <si>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</si>
  <si>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</si>
  <si>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</si>
  <si>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</si>
  <si>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</si>
  <si>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</si>
  <si>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</si>
  <si>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</si>
  <si>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</si>
  <si>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</si>
  <si>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</si>
  <si>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</si>
  <si>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</si>
  <si>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</si>
  <si>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</si>
  <si>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</si>
  <si>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</si>
  <si>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</si>
  <si>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</si>
  <si>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</si>
  <si>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</si>
  <si>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</si>
  <si>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</si>
  <si>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</si>
  <si>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</si>
  <si>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</si>
  <si>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</si>
  <si>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</si>
  <si>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</si>
  <si>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</si>
  <si>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</si>
  <si>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</si>
  <si>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</si>
  <si>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</si>
  <si>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</si>
  <si>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</si>
  <si>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</si>
  <si>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</si>
  <si>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</si>
  <si>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</si>
  <si>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</si>
  <si>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</si>
  <si>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</si>
  <si>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</si>
  <si>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</si>
  <si>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</si>
  <si>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</si>
  <si>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</si>
  <si>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</si>
  <si>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</si>
  <si>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</si>
  <si>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</si>
  <si>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</si>
  <si>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</si>
  <si>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</si>
  <si>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</si>
  <si>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</si>
  <si>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</si>
  <si>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</si>
  <si>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</si>
  <si>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</si>
  <si>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</si>
  <si>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</si>
  <si>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</si>
  <si>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</si>
  <si>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</si>
  <si>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</si>
  <si>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</si>
  <si>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</si>
  <si>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</si>
  <si>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</si>
  <si>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</si>
  <si>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</si>
  <si>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</si>
  <si>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</si>
  <si>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</si>
  <si>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</si>
  <si>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</si>
  <si>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</si>
  <si>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</si>
  <si>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</si>
  <si>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</si>
  <si>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</si>
  <si>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</si>
  <si>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</si>
  <si>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</si>
  <si>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</si>
  <si>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</si>
  <si>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</si>
  <si>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</si>
  <si>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</si>
  <si>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</si>
  <si>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</si>
  <si>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</si>
  <si>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</si>
  <si>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</si>
  <si>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</si>
  <si>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</si>
  <si>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</si>
  <si>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</si>
  <si>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</si>
  <si>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</si>
  <si>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</si>
  <si>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</si>
  <si>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</si>
  <si>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</si>
  <si>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</si>
  <si>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</si>
  <si>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</si>
  <si>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</si>
  <si>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</si>
  <si>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</si>
  <si>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</si>
  <si>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</si>
  <si>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</si>
  <si>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</si>
  <si>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</si>
  <si>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</si>
  <si>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</si>
  <si>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</si>
  <si>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</si>
  <si>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</si>
  <si>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</si>
  <si>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</si>
  <si>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</si>
  <si>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</si>
  <si>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</si>
  <si>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</si>
  <si>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</si>
  <si>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</si>
  <si>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</si>
  <si>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</si>
  <si>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</si>
  <si>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</si>
  <si>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</si>
  <si>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</si>
  <si>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</si>
  <si>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</si>
  <si>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</si>
  <si>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</si>
  <si>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</si>
  <si>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</si>
  <si>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</si>
  <si>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</si>
  <si>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</si>
  <si>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</si>
  <si>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</si>
  <si>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</si>
  <si>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</si>
  <si>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</si>
  <si>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</si>
  <si>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</si>
  <si>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</si>
  <si>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</si>
  <si>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</si>
  <si>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</si>
  <si>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</si>
  <si>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</si>
  <si>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</si>
  <si>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</si>
  <si>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</si>
  <si>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</si>
  <si>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</si>
  <si>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</si>
  <si>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</si>
  <si>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</si>
  <si>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</si>
  <si>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</si>
  <si>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</si>
  <si>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</si>
  <si>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</si>
  <si>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</si>
  <si>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</si>
  <si>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</si>
  <si>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</si>
  <si>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</si>
  <si>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</si>
  <si>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</si>
  <si>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</si>
  <si>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</si>
  <si>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</si>
  <si>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</si>
  <si>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</si>
  <si>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</si>
  <si>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</si>
  <si>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</si>
  <si>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</si>
  <si>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</si>
  <si>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</si>
  <si>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</si>
  <si>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</si>
  <si>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</si>
  <si>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</si>
  <si>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</si>
  <si>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</si>
  <si>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</si>
  <si>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</si>
  <si>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</si>
  <si>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</si>
  <si>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</si>
  <si>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</si>
  <si>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</si>
  <si>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</si>
  <si>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</si>
  <si>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</si>
  <si>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</si>
  <si>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</si>
  <si>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</si>
  <si>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</si>
  <si>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</si>
  <si>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</si>
  <si>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</si>
  <si>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</si>
  <si>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</si>
  <si>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</si>
  <si>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</si>
  <si>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</si>
  <si>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</si>
  <si>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</si>
  <si>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</si>
  <si>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</si>
  <si>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</si>
  <si>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</si>
  <si>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</si>
  <si>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</si>
  <si>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</si>
  <si>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</si>
  <si>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</si>
  <si>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</si>
  <si>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</si>
  <si>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</si>
  <si>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</si>
  <si>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</si>
  <si>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</si>
  <si>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</si>
  <si>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</si>
  <si>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</si>
  <si>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</si>
  <si>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</si>
  <si>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</si>
  <si>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</si>
  <si>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</si>
  <si>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</si>
  <si>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</si>
  <si>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</si>
  <si>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</si>
  <si>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</si>
  <si>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</si>
  <si>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</si>
  <si>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</si>
  <si>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</si>
  <si>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</si>
  <si>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</si>
  <si>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</si>
  <si>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</si>
  <si>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</si>
  <si>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</si>
  <si>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</si>
  <si>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</si>
  <si>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</si>
  <si>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</si>
  <si>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</si>
  <si>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</si>
  <si>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</si>
  <si>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</si>
  <si>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</si>
  <si>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</si>
  <si>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</si>
  <si>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</si>
  <si>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</si>
  <si>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</si>
  <si>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</si>
  <si>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</si>
  <si>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</si>
  <si>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</si>
  <si>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</si>
  <si>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</si>
  <si>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</si>
  <si>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</si>
  <si>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</si>
  <si>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</si>
  <si>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</si>
  <si>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</si>
  <si>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</si>
  <si>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</si>
  <si>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</si>
  <si>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</si>
  <si>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</si>
  <si>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</si>
  <si>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</si>
  <si>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</si>
  <si>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</si>
  <si>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</si>
  <si>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</si>
  <si>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</si>
  <si>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</si>
  <si>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</si>
  <si>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</si>
  <si>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</si>
  <si>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</si>
  <si>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</si>
  <si>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</si>
  <si>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</si>
  <si>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</si>
  <si>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</si>
  <si>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</si>
  <si>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</si>
  <si>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</si>
  <si>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</si>
  <si>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</si>
  <si>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</si>
  <si>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</si>
  <si>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</si>
  <si>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</si>
  <si>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</si>
  <si>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</si>
  <si>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</si>
  <si>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</si>
  <si>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</si>
  <si>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</si>
  <si>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</si>
  <si>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</si>
  <si>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</si>
  <si>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</si>
  <si>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</si>
  <si>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</si>
  <si>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</si>
  <si>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</si>
  <si>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</si>
  <si>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</si>
  <si>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</si>
  <si>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</si>
  <si>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</si>
  <si>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</si>
  <si>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</si>
  <si>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</si>
  <si>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</si>
  <si>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</si>
  <si>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</si>
  <si>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</si>
  <si>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</si>
  <si>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</si>
  <si>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</si>
  <si>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</si>
  <si>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</si>
  <si>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</si>
  <si>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</si>
  <si>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</si>
  <si>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</si>
  <si>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</si>
  <si>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</si>
  <si>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</si>
  <si>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</si>
  <si>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</si>
  <si>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</si>
  <si>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</si>
  <si>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</si>
  <si>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</si>
  <si>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</si>
  <si>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</si>
  <si>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</si>
  <si>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</si>
  <si>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</si>
  <si>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</si>
  <si>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</si>
  <si>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</si>
  <si>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</si>
  <si>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</si>
  <si>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</si>
  <si>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</si>
  <si>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</si>
  <si>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</si>
  <si>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</si>
  <si>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</si>
  <si>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</si>
  <si>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</si>
  <si>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</si>
  <si>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</si>
  <si>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</si>
  <si>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</si>
  <si>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</si>
  <si>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</si>
  <si>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</si>
  <si>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</si>
  <si>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</si>
  <si>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</si>
  <si>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</si>
  <si>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</si>
  <si>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</si>
  <si>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</si>
  <si>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</si>
  <si>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</si>
  <si>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</si>
  <si>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</si>
  <si>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</si>
  <si>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</si>
  <si>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</si>
  <si>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</si>
  <si>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</si>
  <si>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</si>
  <si>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</si>
  <si>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</si>
  <si>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</si>
  <si>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</si>
  <si>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</si>
  <si>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</si>
  <si>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</si>
  <si>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</si>
  <si>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</si>
  <si>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</si>
  <si>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</si>
  <si>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</si>
  <si>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</si>
  <si>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</si>
  <si>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</si>
  <si>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</si>
  <si>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</si>
  <si>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</si>
  <si>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</si>
  <si>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</si>
  <si>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</si>
  <si>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</si>
  <si>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</si>
  <si>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</si>
  <si>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</si>
  <si>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</si>
  <si>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</si>
  <si>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</si>
  <si>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</si>
  <si>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</si>
  <si>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</si>
  <si>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</si>
  <si>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</si>
  <si>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</si>
  <si>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</si>
  <si>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</si>
  <si>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</si>
  <si>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</si>
  <si>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</si>
  <si>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</si>
  <si>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</si>
  <si>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</si>
  <si>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</si>
  <si>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</si>
  <si>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</si>
  <si>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</si>
  <si>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</si>
  <si>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</si>
  <si>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</si>
  <si>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</si>
  <si>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</si>
  <si>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</si>
  <si>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</si>
  <si>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</si>
  <si>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</si>
  <si>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</si>
  <si>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</si>
  <si>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</si>
  <si>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</si>
  <si>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</si>
  <si>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</si>
  <si>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</si>
  <si>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</si>
  <si>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</si>
  <si>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</si>
  <si>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</si>
  <si>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</si>
  <si>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</si>
  <si>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</si>
  <si>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</si>
  <si>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</si>
  <si>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</si>
  <si>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</si>
  <si>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</si>
  <si>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</si>
  <si>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</si>
  <si>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</si>
  <si>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</si>
  <si>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</si>
  <si>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</si>
  <si>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</si>
  <si>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</si>
  <si>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</si>
  <si>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</si>
  <si>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</si>
  <si>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</si>
  <si>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</si>
  <si>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</si>
  <si>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</si>
  <si>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</si>
  <si>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</si>
  <si>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</si>
  <si>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</si>
  <si>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</si>
  <si>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</si>
  <si>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</si>
  <si>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</si>
  <si>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</si>
  <si>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</si>
  <si>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</si>
  <si>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</si>
  <si>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</si>
  <si>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</si>
  <si>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</si>
  <si>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</si>
  <si>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</si>
  <si>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</si>
  <si>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</si>
  <si>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</si>
  <si>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</si>
  <si>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</si>
  <si>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</si>
  <si>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</si>
  <si>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</si>
  <si>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</si>
  <si>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</si>
  <si>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</si>
  <si>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</si>
  <si>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</si>
  <si>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</si>
  <si>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</si>
  <si>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</si>
  <si>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</si>
  <si>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</si>
  <si>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</si>
  <si>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</si>
  <si>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</si>
  <si>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</si>
  <si>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</si>
  <si>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</si>
  <si>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</si>
  <si>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</si>
  <si>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</si>
  <si>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</si>
  <si>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</si>
  <si>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</si>
  <si>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</si>
  <si>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</si>
  <si>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</si>
  <si>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</si>
  <si>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</si>
  <si>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</si>
  <si>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</si>
  <si>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</si>
  <si>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</si>
  <si>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</si>
  <si>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</si>
  <si>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</si>
  <si>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</si>
  <si>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</si>
  <si>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</si>
  <si>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</si>
  <si>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</si>
  <si>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</si>
  <si>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</si>
  <si>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</si>
  <si>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</si>
  <si>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</si>
  <si>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</si>
  <si>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</si>
  <si>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</si>
  <si>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</si>
  <si>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</si>
  <si>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</si>
  <si>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</si>
  <si>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</si>
  <si>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</si>
  <si>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</si>
  <si>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</si>
  <si>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</si>
  <si>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</si>
  <si>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</si>
  <si>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</si>
  <si>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</si>
  <si>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</si>
  <si>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</si>
  <si>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</si>
  <si>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</si>
  <si>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</si>
  <si>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</si>
  <si>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</si>
  <si>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</si>
  <si>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</si>
  <si>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</si>
  <si>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</si>
  <si>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</si>
  <si>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</si>
  <si>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</si>
  <si>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</si>
  <si>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</si>
  <si>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</si>
  <si>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</si>
  <si>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</si>
  <si>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</si>
  <si>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</si>
  <si>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</si>
  <si>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</si>
  <si>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</si>
  <si>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</si>
  <si>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</si>
  <si>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</si>
  <si>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</si>
  <si>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</si>
  <si>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</si>
  <si>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</si>
  <si>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</si>
  <si>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</si>
  <si>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</si>
  <si>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</si>
  <si>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</si>
  <si>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</si>
  <si>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</si>
  <si>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</si>
  <si>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</si>
  <si>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</si>
  <si>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</si>
  <si>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</si>
  <si>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</si>
  <si>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</si>
  <si>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</si>
  <si>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</si>
  <si>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</si>
  <si>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</si>
  <si>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</si>
  <si>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</si>
  <si>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</si>
  <si>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</si>
  <si>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</si>
  <si>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</si>
  <si>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</si>
  <si>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</si>
  <si>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</si>
  <si>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</si>
  <si>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</si>
  <si>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</si>
  <si>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</si>
  <si>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</si>
  <si>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</si>
  <si>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</si>
  <si>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</si>
  <si>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</si>
  <si>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</si>
  <si>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</si>
  <si>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</si>
  <si>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</si>
  <si>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</si>
  <si>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</si>
  <si>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</si>
  <si>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</si>
  <si>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</si>
  <si>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</si>
  <si>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</si>
  <si>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</si>
  <si>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</si>
  <si>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</si>
  <si>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</si>
  <si>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</si>
  <si>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</si>
  <si>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</si>
  <si>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</si>
  <si>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</si>
  <si>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</si>
  <si>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</si>
  <si>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</si>
  <si>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</si>
  <si>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</si>
  <si>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</si>
  <si>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</si>
  <si>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</si>
  <si>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</si>
  <si>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</si>
  <si>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</si>
  <si>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</si>
  <si>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</si>
  <si>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</si>
  <si>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</si>
  <si>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</si>
  <si>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</si>
  <si>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</si>
  <si>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</si>
  <si>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</si>
  <si>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</si>
  <si>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</si>
  <si>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</si>
  <si>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</si>
  <si>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</si>
  <si>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</si>
  <si>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</si>
  <si>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</si>
  <si>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</si>
  <si>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</si>
  <si>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</si>
  <si>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</si>
  <si>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</si>
  <si>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</si>
  <si>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</si>
  <si>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</si>
  <si>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</si>
  <si>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</si>
  <si>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</si>
  <si>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</si>
  <si>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</si>
  <si>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</si>
  <si>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</si>
  <si>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</si>
  <si>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</si>
  <si>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</si>
  <si>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</si>
  <si>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</si>
  <si>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</si>
  <si>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</si>
  <si>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</si>
  <si>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</si>
  <si>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</si>
  <si>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</si>
  <si>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</si>
  <si>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</si>
  <si>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</si>
  <si>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</si>
  <si>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</si>
  <si>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</si>
  <si>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</si>
  <si>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</si>
  <si>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</si>
  <si>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</si>
  <si>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</si>
  <si>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</si>
  <si>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</si>
  <si>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</si>
  <si>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</si>
  <si>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</si>
  <si>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</si>
  <si>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</si>
  <si>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</si>
  <si>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</si>
  <si>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</si>
  <si>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</si>
  <si>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</si>
  <si>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</si>
  <si>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</si>
  <si>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</si>
  <si>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</si>
  <si>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</si>
  <si>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</si>
  <si>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</si>
  <si>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</si>
  <si>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</si>
  <si>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</si>
  <si>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</si>
  <si>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</si>
  <si>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</si>
  <si>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</si>
  <si>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</si>
  <si>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</si>
  <si>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</si>
  <si>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</si>
  <si>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</si>
  <si>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</si>
  <si>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</si>
  <si>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</si>
  <si>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</si>
  <si>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</si>
  <si>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</si>
  <si>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</si>
  <si>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</si>
  <si>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</si>
  <si>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</si>
  <si>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</si>
  <si>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</si>
  <si>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</si>
  <si>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</si>
  <si>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</si>
  <si>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</si>
  <si>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</si>
  <si>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</si>
  <si>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</si>
  <si>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</si>
  <si>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</si>
  <si>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</si>
  <si>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</si>
  <si>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</si>
  <si>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</si>
  <si>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</si>
  <si>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</si>
  <si>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</si>
  <si>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</si>
  <si>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</si>
  <si>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</si>
  <si>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</si>
  <si>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</si>
  <si>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</si>
  <si>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</si>
  <si>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</si>
  <si>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</si>
  <si>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</si>
  <si>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</si>
  <si>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</si>
  <si>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</si>
  <si>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</si>
  <si>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</si>
  <si>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</si>
  <si>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</si>
  <si>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</si>
  <si>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</si>
  <si>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</si>
  <si>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</si>
  <si>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</si>
  <si>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</si>
  <si>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</si>
  <si>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</si>
  <si>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</si>
  <si>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</si>
  <si>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</si>
  <si>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</si>
  <si>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</si>
  <si>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</si>
  <si>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</si>
  <si>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</si>
  <si>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</si>
  <si>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</si>
  <si>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</si>
  <si>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</si>
  <si>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</si>
  <si>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</si>
  <si>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</si>
  <si>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</si>
  <si>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</si>
  <si>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</si>
  <si>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</si>
  <si>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</si>
  <si>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</si>
  <si>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</si>
  <si>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</si>
  <si>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</si>
  <si>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</si>
  <si>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</si>
  <si>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</si>
  <si>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</si>
  <si>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</si>
  <si>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</si>
  <si>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</si>
  <si>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</si>
  <si>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</si>
  <si>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</si>
  <si>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</si>
  <si>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</si>
  <si>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</si>
  <si>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</si>
  <si>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</si>
  <si>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</si>
  <si>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</si>
  <si>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</si>
  <si>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</si>
  <si>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</si>
  <si>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</si>
  <si>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</si>
  <si>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</si>
  <si>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</si>
  <si>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</si>
  <si>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</si>
  <si>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</si>
  <si>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</si>
  <si>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</si>
  <si>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</si>
  <si>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</si>
  <si>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</si>
  <si>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</si>
  <si>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</si>
  <si>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</si>
  <si>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</si>
  <si>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</si>
  <si>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</si>
  <si>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</si>
  <si>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</si>
  <si>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</si>
  <si>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</si>
  <si>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</si>
  <si>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</si>
  <si>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</si>
  <si>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</si>
  <si>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</si>
  <si>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</si>
  <si>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</si>
  <si>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</si>
  <si>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</si>
  <si>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</si>
  <si>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</si>
  <si>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</si>
  <si>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</si>
  <si>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</si>
  <si>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</si>
  <si>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</si>
  <si>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</si>
  <si>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</si>
  <si>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</si>
  <si>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</si>
  <si>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</si>
  <si>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</si>
  <si>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</si>
  <si>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</si>
  <si>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</si>
  <si>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</si>
  <si>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</si>
  <si>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</si>
  <si>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</si>
  <si>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</si>
  <si>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</si>
  <si>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</si>
  <si>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</si>
  <si>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</si>
  <si>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</si>
  <si>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</si>
  <si>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</si>
  <si>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</si>
  <si>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</si>
  <si>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</si>
  <si>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</si>
  <si>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</si>
  <si>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</si>
  <si>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</si>
  <si>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</si>
  <si>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</si>
  <si>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</si>
  <si>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</si>
  <si>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</si>
  <si>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</si>
  <si>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</si>
  <si>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</si>
  <si>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</si>
  <si>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</si>
  <si>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</si>
  <si>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</si>
  <si>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</si>
  <si>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</si>
  <si>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</si>
  <si>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</si>
  <si>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</si>
  <si>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</si>
  <si>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</si>
  <si>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</si>
  <si>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</si>
  <si>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</si>
  <si>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</si>
  <si>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</si>
  <si>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</si>
  <si>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</si>
  <si>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</si>
  <si>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</si>
  <si>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</si>
  <si>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</si>
  <si>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</si>
  <si>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</si>
  <si>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</si>
  <si>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</si>
  <si>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</si>
  <si>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</si>
  <si>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</si>
  <si>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</si>
  <si>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</si>
  <si>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</si>
  <si>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</si>
  <si>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</si>
  <si>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</si>
  <si>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</si>
  <si>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</si>
  <si>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</si>
  <si>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</si>
  <si>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</si>
  <si>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</si>
  <si>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</si>
  <si>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</si>
  <si>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</si>
  <si>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</si>
  <si>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</si>
  <si>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</si>
  <si>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</si>
  <si>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</si>
  <si>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</si>
  <si>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</si>
  <si>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</si>
  <si>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</si>
  <si>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</si>
  <si>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</si>
  <si>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</si>
  <si>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</si>
  <si>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</si>
  <si>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</si>
  <si>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</si>
  <si>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</si>
  <si>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</si>
  <si>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</si>
  <si>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</si>
  <si>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</si>
  <si>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</si>
  <si>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</si>
  <si>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</si>
  <si>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</si>
  <si>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</si>
  <si>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</si>
  <si>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</si>
  <si>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</si>
  <si>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</si>
  <si>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</si>
  <si>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</si>
  <si>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</si>
  <si>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</si>
  <si>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</si>
  <si>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</si>
  <si>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</si>
  <si>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</si>
  <si>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</si>
  <si>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</si>
  <si>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</si>
  <si>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</si>
  <si>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</si>
  <si>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</si>
  <si>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</si>
  <si>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</si>
  <si>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</si>
  <si>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</si>
  <si>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</si>
  <si>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</si>
  <si>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</si>
  <si>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</si>
  <si>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</si>
  <si>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</si>
  <si>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</si>
  <si>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</si>
  <si>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</si>
  <si>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</si>
  <si>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</si>
  <si>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</si>
  <si>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</si>
  <si>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</si>
  <si>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</si>
  <si>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</si>
  <si>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</si>
  <si>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</si>
  <si>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</si>
  <si>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</si>
  <si>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</si>
  <si>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</si>
  <si>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</si>
  <si>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</si>
  <si>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</si>
  <si>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</si>
  <si>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</si>
  <si>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</si>
  <si>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</si>
  <si>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</si>
  <si>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</si>
  <si>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</si>
  <si>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</si>
  <si>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</si>
  <si>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</si>
  <si>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</si>
  <si>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</si>
  <si>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</si>
  <si>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</si>
  <si>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</si>
  <si>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</si>
  <si>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</si>
  <si>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</si>
  <si>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</si>
  <si>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</si>
  <si>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</si>
  <si>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</si>
  <si>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</si>
  <si>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</si>
  <si>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</si>
  <si>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</si>
  <si>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</si>
  <si>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</si>
  <si>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</si>
  <si>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</si>
  <si>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</si>
  <si>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</si>
  <si>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</si>
  <si>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</si>
  <si>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</si>
  <si>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</si>
  <si>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</si>
  <si>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</si>
  <si>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</si>
  <si>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</si>
  <si>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</si>
  <si>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</si>
  <si>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</si>
  <si>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</si>
  <si>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</si>
  <si>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</si>
  <si>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</si>
  <si>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</si>
  <si>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</si>
  <si>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</si>
  <si>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</si>
  <si>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</si>
  <si>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</si>
  <si>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</si>
  <si>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</si>
  <si>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</si>
  <si>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</si>
  <si>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</si>
  <si>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</si>
  <si>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</si>
  <si>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</si>
  <si>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</si>
  <si>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</si>
  <si>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</si>
  <si>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</si>
  <si>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</si>
  <si>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</si>
  <si>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</si>
  <si>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</si>
  <si>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</si>
  <si>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</si>
  <si>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</si>
  <si>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</si>
  <si>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</si>
  <si>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</si>
  <si>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</si>
  <si>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</si>
  <si>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</si>
  <si>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</si>
  <si>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</si>
  <si>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</si>
  <si>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</si>
  <si>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</si>
  <si>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</si>
  <si>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</si>
  <si>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</si>
  <si>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</si>
  <si>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</si>
  <si>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</si>
  <si>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</si>
  <si>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</si>
  <si>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</si>
  <si>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</si>
  <si>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</si>
  <si>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</si>
  <si>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</si>
  <si>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</si>
  <si>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</si>
  <si>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</si>
  <si>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</si>
  <si>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</si>
  <si>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</si>
  <si>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</si>
  <si>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</si>
  <si>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</si>
  <si>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</si>
  <si>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</si>
  <si>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</si>
  <si>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</si>
  <si>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</si>
  <si>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</si>
  <si>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</si>
  <si>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</si>
  <si>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</si>
  <si>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</si>
  <si>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</si>
  <si>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</si>
  <si>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</si>
  <si>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</si>
  <si>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</si>
  <si>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</si>
  <si>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</si>
  <si>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</si>
  <si>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</si>
  <si>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</si>
  <si>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</si>
  <si>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</si>
  <si>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</si>
  <si>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</si>
  <si>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</si>
  <si>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</si>
  <si>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</si>
  <si>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</si>
  <si>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</si>
  <si>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</si>
  <si>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</si>
  <si>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</si>
  <si>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</si>
  <si>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</si>
  <si>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</si>
  <si>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</si>
  <si>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</si>
  <si>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</si>
  <si>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</si>
  <si>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</si>
  <si>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</si>
  <si>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</si>
  <si>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</si>
  <si>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</si>
  <si>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</si>
  <si>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</si>
  <si>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</si>
  <si>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</si>
  <si>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</si>
  <si>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</si>
  <si>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</si>
  <si>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</si>
  <si>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</si>
  <si>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</si>
  <si>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</si>
  <si>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</si>
  <si>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</si>
  <si>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</si>
  <si>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</si>
  <si>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</si>
  <si>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</si>
  <si>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</si>
  <si>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</si>
  <si>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</si>
  <si>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</si>
  <si>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</si>
  <si>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</si>
  <si>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</si>
  <si>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</si>
  <si>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</si>
  <si>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</si>
  <si>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</si>
  <si>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</si>
  <si>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</si>
  <si>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</si>
  <si>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</si>
  <si>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</si>
  <si>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</si>
  <si>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</si>
  <si>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</si>
  <si>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</si>
  <si>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</si>
  <si>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</si>
  <si>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</si>
  <si>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</si>
  <si>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</si>
  <si>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</si>
  <si>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</si>
  <si>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</si>
  <si>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</si>
  <si>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</si>
  <si>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</si>
  <si>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</si>
  <si>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</si>
  <si>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</si>
  <si>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</si>
  <si>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</si>
  <si>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</si>
  <si>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</si>
  <si>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</si>
  <si>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</si>
  <si>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</si>
  <si>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</si>
  <si>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</si>
  <si>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</si>
  <si>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</si>
  <si>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</si>
  <si>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</si>
  <si>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</si>
  <si>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</si>
  <si>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</si>
  <si>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</si>
  <si>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</si>
  <si>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</si>
  <si>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</si>
  <si>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</si>
  <si>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</si>
  <si>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</si>
  <si>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</si>
  <si>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</si>
  <si>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</si>
  <si>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</si>
  <si>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</si>
  <si>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</si>
  <si>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</si>
  <si>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</si>
  <si>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</si>
  <si>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</si>
  <si>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</si>
  <si>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</si>
  <si>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</si>
  <si>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</si>
  <si>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</si>
  <si>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</si>
  <si>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</si>
  <si>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</si>
  <si>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</si>
  <si>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</si>
  <si>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</si>
  <si>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</si>
  <si>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</si>
  <si>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</si>
  <si>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</si>
  <si>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</si>
  <si>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</si>
  <si>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</si>
  <si>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</si>
  <si>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</si>
  <si>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</si>
  <si>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</si>
  <si>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</si>
  <si>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</si>
  <si>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</si>
  <si>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</si>
  <si>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</si>
  <si>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</si>
  <si>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</si>
  <si>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</si>
  <si>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</si>
  <si>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</si>
  <si>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</si>
  <si>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</si>
  <si>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</si>
  <si>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</si>
  <si>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</si>
  <si>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</si>
  <si>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</si>
  <si>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</si>
  <si>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</si>
  <si>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</si>
  <si>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</si>
  <si>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</si>
  <si>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</si>
  <si>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</si>
  <si>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</si>
  <si>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</si>
  <si>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</si>
  <si>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</si>
  <si>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</si>
  <si>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</si>
  <si>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</si>
  <si>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</si>
  <si>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</si>
  <si>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</si>
  <si>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</si>
  <si>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</si>
  <si>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</si>
  <si>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</si>
  <si>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</si>
  <si>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</si>
  <si>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</si>
  <si>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</si>
  <si>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</si>
  <si>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</si>
  <si>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</si>
  <si>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</si>
  <si>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</si>
  <si>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</si>
  <si>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</si>
  <si>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</si>
  <si>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</si>
  <si>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</si>
  <si>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</si>
  <si>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</si>
  <si>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</si>
  <si>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</si>
  <si>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</si>
  <si>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</si>
  <si>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</si>
  <si>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</si>
  <si>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</si>
  <si>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</si>
  <si>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</si>
  <si>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</si>
  <si>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</si>
  <si>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</si>
  <si>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</si>
  <si>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</si>
  <si>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</si>
  <si>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</si>
  <si>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</si>
  <si>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</si>
  <si>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</si>
  <si>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</si>
  <si>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</si>
  <si>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</si>
  <si>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</si>
  <si>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</si>
  <si>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</si>
  <si>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</si>
  <si>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</si>
  <si>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</si>
  <si>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</si>
  <si>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</si>
  <si>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</si>
  <si>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</si>
  <si>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</si>
  <si>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</si>
  <si>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</si>
  <si>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</si>
  <si>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</si>
  <si>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</si>
  <si>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</si>
  <si>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</si>
  <si>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</si>
  <si>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</si>
  <si>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</si>
  <si>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</si>
  <si>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</si>
  <si>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</si>
  <si>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</si>
  <si>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</si>
  <si>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</si>
  <si>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</si>
  <si>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</si>
  <si>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</si>
  <si>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</si>
  <si>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</si>
  <si>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</si>
  <si>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</si>
  <si>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</si>
  <si>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</si>
  <si>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</si>
  <si>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</si>
  <si>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</si>
  <si>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</si>
  <si>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</si>
  <si>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</si>
  <si>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</si>
  <si>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</si>
  <si>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</si>
  <si>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</si>
  <si>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</si>
  <si>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</si>
  <si>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</si>
  <si>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</si>
  <si>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</si>
  <si>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</si>
  <si>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</si>
  <si>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</si>
  <si>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</si>
  <si>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</si>
  <si>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</si>
  <si>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</si>
  <si>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</si>
  <si>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</si>
  <si>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</si>
  <si>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</si>
  <si>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</si>
  <si>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</si>
  <si>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</si>
  <si>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</si>
  <si>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</si>
  <si>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</si>
  <si>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</si>
  <si>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</si>
  <si>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</si>
  <si>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</si>
  <si>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</si>
  <si>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</si>
  <si>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</si>
  <si>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</si>
  <si>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</si>
  <si>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</si>
  <si>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</si>
  <si>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</si>
  <si>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</si>
  <si>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</si>
  <si>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</si>
  <si>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</si>
  <si>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</si>
  <si>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</si>
  <si>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</si>
  <si>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</si>
  <si>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</si>
  <si>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</si>
  <si>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</si>
  <si>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</si>
  <si>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</si>
  <si>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</si>
  <si>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</si>
  <si>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</si>
  <si>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</si>
  <si>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</si>
  <si>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</si>
  <si>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</si>
  <si>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</si>
  <si>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</si>
  <si>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</si>
  <si>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</si>
  <si>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</si>
  <si>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</si>
  <si>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</si>
  <si>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</si>
  <si>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</si>
  <si>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</si>
  <si>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</si>
  <si>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</si>
  <si>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</si>
  <si>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</si>
  <si>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</si>
  <si>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</si>
  <si>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</si>
  <si>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</si>
  <si>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</si>
  <si>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</si>
  <si>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</si>
  <si>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</si>
  <si>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</si>
  <si>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</si>
  <si>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</si>
  <si>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</si>
  <si>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</si>
  <si>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</si>
  <si>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</si>
  <si>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</si>
  <si>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</si>
  <si>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</si>
  <si>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</si>
  <si>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</si>
  <si>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</si>
  <si>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</si>
  <si>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</si>
  <si>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</si>
  <si>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</si>
  <si>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</si>
  <si>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</si>
  <si>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</si>
  <si>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</si>
  <si>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</si>
  <si>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</si>
  <si>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</si>
  <si>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</si>
  <si>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</si>
  <si>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</si>
  <si>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</si>
  <si>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</si>
  <si>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</si>
  <si>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</si>
  <si>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</si>
  <si>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</si>
  <si>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</si>
  <si>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</si>
  <si>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</si>
  <si>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</si>
  <si>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</si>
  <si>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</si>
  <si>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</si>
  <si>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</si>
  <si>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</si>
  <si>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</si>
  <si>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</si>
  <si>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</si>
  <si>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</si>
  <si>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</si>
  <si>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</si>
  <si>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</si>
  <si>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</si>
  <si>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</si>
  <si>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</si>
  <si>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</si>
  <si>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</si>
  <si>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</si>
  <si>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</si>
  <si>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</si>
  <si>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</si>
  <si>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</si>
  <si>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</si>
  <si>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</si>
  <si>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</si>
  <si>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</si>
  <si>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</si>
  <si>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</si>
  <si>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</si>
  <si>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</si>
  <si>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</si>
  <si>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</si>
  <si>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</si>
  <si>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</si>
  <si>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</si>
  <si>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</si>
  <si>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</si>
  <si>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</si>
  <si>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</si>
  <si>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</si>
  <si>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</si>
  <si>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</si>
  <si>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</si>
  <si>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</si>
  <si>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</si>
  <si>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</si>
  <si>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</si>
  <si>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</si>
  <si>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</si>
  <si>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</si>
  <si>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</si>
  <si>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</si>
  <si>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</si>
  <si>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</si>
  <si>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</si>
  <si>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</si>
  <si>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</si>
  <si>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</si>
  <si>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</si>
  <si>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</si>
  <si>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</si>
  <si>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</si>
  <si>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</si>
  <si>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</si>
  <si>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</si>
  <si>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</si>
  <si>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</si>
  <si>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</si>
  <si>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</si>
  <si>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</si>
  <si>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</si>
  <si>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</si>
  <si>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</si>
  <si>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</si>
  <si>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</si>
  <si>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</si>
  <si>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</si>
  <si>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</si>
  <si>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</si>
  <si>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</si>
  <si>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</si>
  <si>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</si>
  <si>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</si>
  <si>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</si>
  <si>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</si>
  <si>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</si>
  <si>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</si>
  <si>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</si>
  <si>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</si>
  <si>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</si>
  <si>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</si>
  <si>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</si>
  <si>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</si>
  <si>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</si>
  <si>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</si>
  <si>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</si>
  <si>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</si>
  <si>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</si>
  <si>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</si>
  <si>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</si>
  <si>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</si>
  <si>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</si>
  <si>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</si>
  <si>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</si>
  <si>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</si>
  <si>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</si>
  <si>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</si>
  <si>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</si>
  <si>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</si>
  <si>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</si>
  <si>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</si>
  <si>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</si>
  <si>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</si>
  <si>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</si>
  <si>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</si>
  <si>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</si>
  <si>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</si>
  <si>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</si>
  <si>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</si>
  <si>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</si>
  <si>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</si>
  <si>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</si>
  <si>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</si>
  <si>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</si>
  <si>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</si>
  <si>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</si>
  <si>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</si>
  <si>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</si>
  <si>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</si>
  <si>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</si>
  <si>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</si>
  <si>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</si>
  <si>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</si>
  <si>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</si>
  <si>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</si>
  <si>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</si>
  <si>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</si>
  <si>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</si>
  <si>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</si>
  <si>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</si>
  <si>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</si>
  <si>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</si>
  <si>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</si>
  <si>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</si>
  <si>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</si>
  <si>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</si>
  <si>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</si>
  <si>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</si>
  <si>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</si>
  <si>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</si>
  <si>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</si>
  <si>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</si>
  <si>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</si>
  <si>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</si>
  <si>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</si>
  <si>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</si>
  <si>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</si>
  <si>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</si>
  <si>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</si>
  <si>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</si>
  <si>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</si>
  <si>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</si>
  <si>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</si>
  <si>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</si>
  <si>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</si>
  <si>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</si>
  <si>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</si>
  <si>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</si>
  <si>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</si>
  <si>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</si>
  <si>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</si>
  <si>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</si>
  <si>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</si>
  <si>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</si>
  <si>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</si>
  <si>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</si>
  <si>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</si>
  <si>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</si>
  <si>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</si>
  <si>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</si>
  <si>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</si>
  <si>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</si>
  <si>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</si>
  <si>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</si>
  <si>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</si>
  <si>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</si>
  <si>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</si>
  <si>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</si>
  <si>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</si>
  <si>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</si>
  <si>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</si>
  <si>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</si>
  <si>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</si>
  <si>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</si>
  <si>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</si>
  <si>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</si>
  <si>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</si>
  <si>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</si>
  <si>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</si>
  <si>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</si>
  <si>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</si>
  <si>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</si>
  <si>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</si>
  <si>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</si>
  <si>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</si>
  <si>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</si>
  <si>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</si>
  <si>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</si>
  <si>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</si>
  <si>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</si>
  <si>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</si>
  <si>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</si>
  <si>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</si>
  <si>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</si>
  <si>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</si>
  <si>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</si>
  <si>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</si>
  <si>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</si>
  <si>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</si>
  <si>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</si>
  <si>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</si>
  <si>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</si>
  <si>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</si>
  <si>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</si>
  <si>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</si>
  <si>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</si>
  <si>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</si>
  <si>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</si>
  <si>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</si>
  <si>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</si>
  <si>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</si>
  <si>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</si>
  <si>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</si>
  <si>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</si>
  <si>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</si>
  <si>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</si>
  <si>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</si>
  <si>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</si>
  <si>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</si>
  <si>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</si>
  <si>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</si>
  <si>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</si>
  <si>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</si>
  <si>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</si>
  <si>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</si>
  <si>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</si>
  <si>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</si>
  <si>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</si>
  <si>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</si>
  <si>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</si>
  <si>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</si>
  <si>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</si>
  <si>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</si>
  <si>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</si>
  <si>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</si>
  <si>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</si>
  <si>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</si>
  <si>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</si>
  <si>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</si>
  <si>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</si>
  <si>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</si>
  <si>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</si>
  <si>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</si>
  <si>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</si>
  <si>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</si>
  <si>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</si>
  <si>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</si>
  <si>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</si>
  <si>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</si>
  <si>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</si>
  <si>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</si>
  <si>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</si>
  <si>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</si>
  <si>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</si>
  <si>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</si>
  <si>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</si>
  <si>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</si>
  <si>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</si>
  <si>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</si>
  <si>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</si>
  <si>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</si>
  <si>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</si>
  <si>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</si>
  <si>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</si>
  <si>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</si>
  <si>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</si>
  <si>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</si>
  <si>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</si>
  <si>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</si>
  <si>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</si>
  <si>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</si>
  <si>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</si>
  <si>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</si>
  <si>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</si>
  <si>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</si>
  <si>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</si>
  <si>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</si>
  <si>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</si>
  <si>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</si>
  <si>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</si>
  <si>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</si>
  <si>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</si>
  <si>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</si>
  <si>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</si>
  <si>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</si>
  <si>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</si>
  <si>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</si>
  <si>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</si>
  <si>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</si>
  <si>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</si>
  <si>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</si>
  <si>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</si>
  <si>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</si>
  <si>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</si>
  <si>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</si>
  <si>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</si>
  <si>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</si>
  <si>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</si>
  <si>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</si>
  <si>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</si>
  <si>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</si>
  <si>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</si>
  <si>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</si>
  <si>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</si>
  <si>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</si>
  <si>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</si>
  <si>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</si>
  <si>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</si>
  <si>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</si>
  <si>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</si>
  <si>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</si>
  <si>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</si>
  <si>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</si>
  <si>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</si>
  <si>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</si>
  <si>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</si>
  <si>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</si>
  <si>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</si>
  <si>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</si>
  <si>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</si>
  <si>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</si>
  <si>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</si>
  <si>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</si>
  <si>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</si>
  <si>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</si>
  <si>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</si>
  <si>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</si>
  <si>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</si>
  <si>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</si>
  <si>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</si>
  <si>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</si>
  <si>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</si>
  <si>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</si>
  <si>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</si>
  <si>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</si>
  <si>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</si>
  <si>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</si>
  <si>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</si>
  <si>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</si>
  <si>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</si>
  <si>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</si>
  <si>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</si>
  <si>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</si>
  <si>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</si>
  <si>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</si>
  <si>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</si>
  <si>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</si>
  <si>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</si>
  <si>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</si>
  <si>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</si>
  <si>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</si>
  <si>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</si>
  <si>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</si>
  <si>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</si>
  <si>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</si>
  <si>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</si>
  <si>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</si>
  <si>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</si>
  <si>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</si>
  <si>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</si>
  <si>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</si>
  <si>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</si>
  <si>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</si>
  <si>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</si>
  <si>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</si>
  <si>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</si>
  <si>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</si>
  <si>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</si>
  <si>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</si>
  <si>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</si>
  <si>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</si>
  <si>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</si>
  <si>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</si>
  <si>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</si>
  <si>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</si>
  <si>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</si>
  <si>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</si>
  <si>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</si>
  <si>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</si>
  <si>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</si>
  <si>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</si>
  <si>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</si>
  <si>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</si>
  <si>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</si>
  <si>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</si>
  <si>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</si>
  <si>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</si>
  <si>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</si>
  <si>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</si>
  <si>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</si>
  <si>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</si>
  <si>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</si>
  <si>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房地产抵押价值</t>
  </si>
  <si>
    <t>抵押</t>
  </si>
  <si>
    <t>万元</t>
  </si>
  <si>
    <t>楼面单价</t>
  </si>
  <si>
    <t>商业</t>
  </si>
  <si>
    <t>无租约</t>
  </si>
  <si>
    <t>否</t>
  </si>
  <si>
    <t>利息：取LPR加浮动点数</t>
  </si>
  <si>
    <t>非生产用房</t>
  </si>
  <si>
    <t>砖混</t>
  </si>
  <si>
    <t>比较法-商业</t>
  </si>
  <si>
    <t>收益法</t>
  </si>
  <si>
    <t>柏林爱乐</t>
    <phoneticPr fontId="146" type="noConversion"/>
  </si>
  <si>
    <t>定福庄</t>
    <phoneticPr fontId="146" type="noConversion"/>
  </si>
  <si>
    <t>10-20（含）</t>
  </si>
  <si>
    <t>常楹公元</t>
    <phoneticPr fontId="146" type="noConversion"/>
  </si>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</sst>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46"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28575</xdr:rowOff>
    </xdr:from>
    <xdr:to>
      <xdr:col>15</xdr:col>
      <xdr:colOff>151096</xdr:colOff>
      <xdr:row>60</xdr:row>
      <xdr:rowOff>18066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28875"/>
          <a:ext cx="10438096" cy="7876191"/>
        </a:xfrm>
        <a:prstGeom prst="rect">
          <a:avLst/>
        </a:prstGeom>
      </xdr:spPr>
    </xdr:pic>
    <xdr:clientData/>
  </xdr:twoCellAnchor>
  <xdr:twoCellAnchor editAs="oneCell">
    <xdr:from>
      <xdr:col>0</xdr:col>
      <xdr:colOff>0</xdr:colOff>
      <xdr:row>61</xdr:row>
      <xdr:rowOff>0</xdr:rowOff>
    </xdr:from>
    <xdr:to>
      <xdr:col>14</xdr:col>
      <xdr:colOff>246420</xdr:colOff>
      <xdr:row>107</xdr:row>
      <xdr:rowOff>46634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458450"/>
          <a:ext cx="9847620" cy="7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估价对象为北京市房地产，为XX所有。根据《》[]，估价对象建筑面积为116.03平方米。根据《》[]，估价对象（分摊）出让国有建设用地使用权面积为平方米。估价对象用途为。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2022年6月8日</v>
      </c>
    </row>
    <row r="10" spans="1:2">
      <c r="A10" s="1139" t="s">
        <v>865</v>
      </c>
      <c r="B10" s="1126" t="str">
        <f>'预评函-1'!A13</f>
        <v>本次估价的“房地产价值”是指在正常市场情况下，在价值时点2022年6月8日，估价对象规划用途为，假定未设立法定优先受偿款下的房地产市场价值。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116.03</v>
      </c>
    </row>
    <row r="19" spans="1:2">
      <c r="A19" s="1139" t="s">
        <v>874</v>
      </c>
      <c r="B19" s="1126">
        <f ca="1">'预评函-2（1）'!D7</f>
        <v>414</v>
      </c>
    </row>
    <row r="20" spans="1:2">
      <c r="A20" s="1139" t="s">
        <v>912</v>
      </c>
      <c r="B20" s="1126" t="str">
        <f>'预评函-2（1）'!C7</f>
        <v>总价（万元）</v>
      </c>
    </row>
    <row r="21" spans="1:2">
      <c r="A21" s="1139" t="s">
        <v>875</v>
      </c>
      <c r="B21" s="1126">
        <f ca="1">'预评函-2（1）'!D9</f>
        <v>35694</v>
      </c>
    </row>
    <row r="22" spans="1:2">
      <c r="A22" s="1139" t="s">
        <v>876</v>
      </c>
      <c r="B22" s="1126" t="str">
        <f ca="1">'预评函-2（1）'!D8</f>
        <v>肆佰壹拾肆万元整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414</v>
      </c>
    </row>
    <row r="30" spans="1:2">
      <c r="A30" s="1139" t="s">
        <v>882</v>
      </c>
      <c r="B30" s="1126" t="str">
        <f ca="1">'预评函-2（1）'!D16</f>
        <v>肆佰壹拾肆万元整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356</v>
      </c>
    </row>
    <row r="38" spans="1:2">
      <c r="A38" s="1139" t="s">
        <v>890</v>
      </c>
      <c r="B38" s="1126">
        <f ca="1">'预评函-2（2）'!E4</f>
        <v>30697</v>
      </c>
    </row>
    <row r="39" spans="1:2">
      <c r="A39" s="1139" t="s">
        <v>891</v>
      </c>
      <c r="B39" s="1126" t="str">
        <f ca="1">'预评函-2（2）'!D5</f>
        <v>叁佰伍拾陆万元整</v>
      </c>
    </row>
    <row r="40" spans="1:2">
      <c r="A40" s="1139" t="s">
        <v>892</v>
      </c>
      <c r="B40" s="1126">
        <f ca="1">'预评函-2（2）'!F4</f>
        <v>58</v>
      </c>
    </row>
    <row r="41" spans="1:2">
      <c r="A41" s="1139" t="s">
        <v>893</v>
      </c>
      <c r="B41" s="1126">
        <f ca="1">'预评函-2（2）'!G4</f>
        <v>4997</v>
      </c>
    </row>
    <row r="42" spans="1:2" s="1136" customFormat="1" ht="15.75" thickBot="1">
      <c r="A42" s="1140" t="s">
        <v>894</v>
      </c>
      <c r="B42" s="1128" t="str">
        <f ca="1">'预评函-2（2）'!F5</f>
        <v>伍拾捌万元整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35694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21" sqref="L21"/>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3034</v>
      </c>
      <c r="E4" s="782"/>
      <c r="F4" s="782"/>
      <c r="G4" s="1121"/>
    </row>
    <row r="5" spans="1:17">
      <c r="A5" s="1358" t="s">
        <v>1295</v>
      </c>
      <c r="B5" s="1359" t="s">
        <v>2480</v>
      </c>
      <c r="C5" s="2811" t="s">
        <v>1296</v>
      </c>
      <c r="D5" s="1361" t="s">
        <v>3033</v>
      </c>
      <c r="E5" s="2812" t="s">
        <v>1297</v>
      </c>
      <c r="F5" s="1361" t="s">
        <v>3033</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116.03</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44720</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3"/>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116.03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50561</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16</v>
      </c>
      <c r="C13" s="2885"/>
      <c r="D13" s="2851" t="s">
        <v>1397</v>
      </c>
      <c r="E13" s="2571">
        <f>E12*B5</f>
        <v>23206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0.63200000000000001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f>B16+0.02</f>
        <v>7.4999999999999997E-2</v>
      </c>
      <c r="C17" s="2481" t="s">
        <v>2599</v>
      </c>
      <c r="D17" s="2844" t="s">
        <v>1406</v>
      </c>
      <c r="E17" s="2575">
        <v>2800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f>B16+0.015</f>
        <v>7.0000000000000007E-2</v>
      </c>
      <c r="C18" s="1613"/>
      <c r="D18" s="2857" t="str">
        <f>IF(B26=0,"建安总额","在建建安")</f>
        <v>建安总额</v>
      </c>
      <c r="E18" s="2858">
        <f>ROUND(B5*E17*IF(B26=0,1,E20),0)</f>
        <v>324884</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0.74</v>
      </c>
      <c r="F20" s="905"/>
      <c r="G20" s="1613"/>
      <c r="H20" s="1613">
        <f>ROUND(1-(1+2%)*(2022-B27)/60,2)</f>
        <v>0.63</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2000</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27" sqref="D27"/>
    </sheetView>
  </sheetViews>
  <sheetFormatPr defaultColWidth="14.625" defaultRowHeight="13.5"/>
  <cols>
    <col min="1" max="1" width="24.375" style="2501" customWidth="1"/>
    <col min="2" max="16384" width="14.625" style="2501"/>
  </cols>
  <sheetData>
    <row r="1" spans="1:9" ht="16.5">
      <c r="A1" s="2499" t="s">
        <v>973</v>
      </c>
      <c r="B1" s="2499">
        <f>SUM(B14:B23)</f>
        <v>116.03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414</v>
      </c>
      <c r="C5" s="2499">
        <f ca="1">ROUND(B5*10000/$B$1,0)</f>
        <v>35680</v>
      </c>
      <c r="D5" s="2499" t="e">
        <f ca="1">ROUND(B5*10000/$B$2,0)</f>
        <v>#DIV/0!</v>
      </c>
      <c r="E5" s="1562"/>
      <c r="F5" s="2500"/>
      <c r="G5" s="2500"/>
    </row>
    <row r="6" spans="1:9" ht="16.5">
      <c r="A6" s="2499" t="s">
        <v>981</v>
      </c>
      <c r="B6" s="2499">
        <f ca="1">SUM(G14:G23)</f>
        <v>414</v>
      </c>
      <c r="C6" s="2499">
        <f t="shared" ref="C6:C8" ca="1" si="0">ROUND(B6*10000/$B$1,0)</f>
        <v>35680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116.03</v>
      </c>
      <c r="C14" s="2835">
        <f>项目基本情况!C13</f>
        <v>0</v>
      </c>
      <c r="D14" s="2835">
        <f ca="1">IF('数据-取费表'!B3="万元",IF(A14="估价对象1（结果表）",结果表!H121,'结果表 (1修多)'!H125),IF(A14="估价对象1（结果表）",结果表!H121,'结果表 (1修多)'!H125)/10000)</f>
        <v>414</v>
      </c>
      <c r="E14" s="2835">
        <f ca="1">ROUND(D14*10000/B14,0)</f>
        <v>35680</v>
      </c>
      <c r="F14" s="2835" t="e">
        <f ca="1">ROUND(D14*10000/C14,0)</f>
        <v>#DIV/0!</v>
      </c>
      <c r="G14" s="2835">
        <f ca="1">IF('数据-取费表'!B3="万元",IF(A14="估价对象1（结果表）",结果表!D125,'结果表 (1修多)'!D129),IF(A14="估价对象1（结果表）",结果表!D125,'结果表 (1修多)'!D129)/10000)</f>
        <v>414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 zoomScale="80" zoomScaleNormal="100" zoomScaleSheetLayoutView="80" zoomScalePageLayoutView="80" workbookViewId="0">
      <selection activeCell="G26" sqref="G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北京市房地产抵押价值预评估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3043</v>
      </c>
      <c r="D4" s="2632" t="s">
        <v>3044</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7</v>
      </c>
      <c r="D14" s="3491">
        <v>3</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08" t="s">
        <v>2576</v>
      </c>
      <c r="F18" s="3509"/>
      <c r="G18" s="3509"/>
      <c r="H18" s="3509"/>
      <c r="I18" s="3509"/>
      <c r="J18" s="2765"/>
    </row>
    <row r="19" spans="1:36" ht="15">
      <c r="A19" s="2638" t="s">
        <v>1494</v>
      </c>
      <c r="B19" s="2639" t="s">
        <v>1495</v>
      </c>
      <c r="C19" s="2640">
        <f ca="1">SUMIF(INDIRECT("'"&amp;C4&amp;"'"&amp;"!A:A"),结果表!B19,INDIRECT("'"&amp;C4&amp;"'"&amp;"!B:B"))</f>
        <v>476</v>
      </c>
      <c r="D19" s="2641">
        <f ca="1">SUMIF(INDIRECT("'"&amp;D4&amp;"'"&amp;"!A:A"),结果表!B19,INDIRECT("'"&amp;D4&amp;"'"&amp;"!B:B"))</f>
        <v>269</v>
      </c>
      <c r="E19" s="2638" t="s">
        <v>1496</v>
      </c>
      <c r="F19" s="2639" t="s">
        <v>1495</v>
      </c>
      <c r="G19" s="2642">
        <f ca="1">ROUND(C19*$C$18+D19*$D$18,0)</f>
        <v>414</v>
      </c>
      <c r="H19" s="2643" t="str">
        <f>'数据-取费表'!B3</f>
        <v>万元</v>
      </c>
      <c r="I19" s="2691"/>
      <c r="J19" s="2766"/>
    </row>
    <row r="20" spans="1:36" ht="15">
      <c r="A20" s="2644"/>
      <c r="B20" s="1622" t="s">
        <v>1497</v>
      </c>
      <c r="C20" s="1847">
        <f ca="1">SUMIF(INDIRECT("'"&amp;C4&amp;"'"&amp;"!A:A"),结果表!B20,INDIRECT("'"&amp;C4&amp;"'"&amp;"!B:B"))</f>
        <v>41056</v>
      </c>
      <c r="D20" s="1850">
        <f ca="1">SUMIF(INDIRECT("'"&amp;D4&amp;"'"&amp;"!A:A"),结果表!B20,INDIRECT("'"&amp;D4&amp;"'"&amp;"!B:B"))</f>
        <v>23181</v>
      </c>
      <c r="E20" s="2644"/>
      <c r="F20" s="1622" t="s">
        <v>1497</v>
      </c>
      <c r="G20" s="2021">
        <f ca="1">ROUND(C20*$C$18+D20*$D$18,0)</f>
        <v>35694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0.76951672862453524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35694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30697</v>
      </c>
      <c r="D34" s="2668">
        <f ca="1">IF(D33="自定义",ROUND(C34/C32,3),1-D35)</f>
        <v>0.86</v>
      </c>
      <c r="E34" s="1363" t="s">
        <v>1510</v>
      </c>
      <c r="F34" s="2669">
        <v>2000</v>
      </c>
      <c r="G34" s="905"/>
      <c r="H34" s="905"/>
      <c r="I34" s="905"/>
      <c r="J34" s="2765"/>
    </row>
    <row r="35" spans="1:17" ht="15.75" thickBot="1">
      <c r="A35" s="1395"/>
      <c r="B35" s="2670" t="s">
        <v>1511</v>
      </c>
      <c r="C35" s="2671">
        <f ca="1">IF(D33="自定义",F35,ROUND(C32*D35,0))</f>
        <v>4997</v>
      </c>
      <c r="D35" s="2672">
        <f ca="1">IF(D33="自定义",ROUND(C35/C32,3),IF(D33="成本法成本比率",成本法!C56,IF(D33="收益法收益比率",收益法!J38,收益法!J41)))</f>
        <v>0.14000000000000001</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414</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北京市房地产抵押价值预评估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44720</v>
      </c>
      <c r="O47" s="3431"/>
      <c r="P47" s="3431"/>
      <c r="Q47" s="1236"/>
    </row>
    <row r="48" spans="1:17" ht="25.5">
      <c r="A48" s="3504" t="s">
        <v>1536</v>
      </c>
      <c r="B48" s="3438"/>
      <c r="C48" s="3438"/>
      <c r="D48" s="12">
        <f ca="1">IF(H48="情况1",0,IF(H48="情况2",D52,IF(H48="情况3",D53,IF(H48="情况4",D54))))</f>
        <v>22</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2508</v>
      </c>
      <c r="M48" s="3429"/>
      <c r="N48" s="3430">
        <f ca="1">I102</f>
        <v>414</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房地产抵押价值</v>
      </c>
      <c r="M49" s="3429"/>
      <c r="N49" s="3430">
        <f ca="1">IF(项目基本情况!F5="房地产抵押价值",I110,I112)</f>
        <v>414</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22</v>
      </c>
      <c r="E52" s="2020" t="s">
        <v>1553</v>
      </c>
      <c r="F52" s="2493">
        <f>'数据-取费表'!E29</f>
        <v>5.6000000000000001E-2</v>
      </c>
      <c r="G52" s="2494"/>
      <c r="H52" s="905"/>
      <c r="I52" s="2898"/>
      <c r="J52" s="2773"/>
      <c r="K52" s="2454">
        <v>1</v>
      </c>
      <c r="L52" s="3418" t="s">
        <v>2515</v>
      </c>
      <c r="M52" s="3418"/>
      <c r="N52" s="2456">
        <f ca="1">D48</f>
        <v>22</v>
      </c>
      <c r="O52" s="2454" t="str">
        <f>E48</f>
        <v>销售额×税（费）率</v>
      </c>
      <c r="P52" s="2457">
        <f>F48</f>
        <v>5.6000000000000001E-2</v>
      </c>
      <c r="Q52" s="1236"/>
    </row>
    <row r="53" spans="1:17" ht="12" customHeight="1">
      <c r="A53" s="2010" t="s">
        <v>1555</v>
      </c>
      <c r="B53" s="3489" t="s">
        <v>2593</v>
      </c>
      <c r="C53" s="3478"/>
      <c r="D53" s="1028">
        <f ca="1">ROUND(D45*'数据-取费表'!E29/(1+'数据-取费表'!F30),0)</f>
        <v>22</v>
      </c>
      <c r="E53" s="2020" t="s">
        <v>1553</v>
      </c>
      <c r="F53" s="2493">
        <f>'数据-取费表'!E29</f>
        <v>5.6000000000000001E-2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22</v>
      </c>
      <c r="E54" s="264" t="s">
        <v>1558</v>
      </c>
      <c r="F54" s="2493">
        <f>'数据-取费表'!E29</f>
        <v>5.6000000000000001E-2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22</v>
      </c>
      <c r="P57" s="2465"/>
      <c r="Q57" s="1234">
        <f ca="1">O57/N49</f>
        <v>5.3140096618357488E-2</v>
      </c>
    </row>
    <row r="58" spans="1:17" ht="24.75">
      <c r="A58" s="2010" t="s">
        <v>1551</v>
      </c>
      <c r="B58" s="3489" t="s">
        <v>1569</v>
      </c>
      <c r="C58" s="3477"/>
      <c r="D58" s="12">
        <f ca="1">IF(H58="转让取得",C81,C97)</f>
        <v>235</v>
      </c>
      <c r="E58" s="2020" t="s">
        <v>1564</v>
      </c>
      <c r="F58" s="235" t="s">
        <v>48</v>
      </c>
      <c r="G58" s="2494"/>
      <c r="H58" s="2496" t="s">
        <v>1570</v>
      </c>
      <c r="I58" s="2900"/>
      <c r="J58" s="2773"/>
      <c r="K58" s="3418"/>
      <c r="L58" s="3418"/>
      <c r="M58" s="2462" t="s">
        <v>2520</v>
      </c>
      <c r="N58" s="2466"/>
      <c r="O58" s="2467" t="str">
        <f ca="1">IF(H19="元",NUMBERSTRING(INT(O57),2)&amp;"元整",NUMBERSTRING(INT(O57*10000),2)&amp;"元整")</f>
        <v>贰拾贰万元整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f ca="1">N49-O57</f>
        <v>392</v>
      </c>
      <c r="P59" s="2471"/>
      <c r="Q59" s="1236"/>
    </row>
    <row r="60" spans="1:17" ht="12" customHeight="1">
      <c r="A60" s="1385"/>
      <c r="B60" s="1389"/>
      <c r="C60" s="1389"/>
      <c r="D60" s="1389"/>
      <c r="E60" s="770"/>
      <c r="F60" s="2901"/>
      <c r="G60" s="2901"/>
      <c r="H60" s="2902"/>
      <c r="I60" s="31"/>
      <c r="K60" s="3472"/>
      <c r="L60" s="3418"/>
      <c r="M60" s="2462" t="s">
        <v>2520</v>
      </c>
      <c r="N60" s="2466"/>
      <c r="O60" s="2467" t="str">
        <f ca="1">IF(H19="元",NUMBERSTRING(INT(O59),2)&amp;"元整",NUMBERSTRING(INT(O59*10000),2)&amp;"元整")</f>
        <v>叁佰玖拾贰万元整</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f ca="1">IF(H19="元",ROUND(O59/项目基本情况!C12,0),ROUND(O59*10000/项目基本情况!C12,0))</f>
        <v>33784</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394</v>
      </c>
      <c r="D63" s="47"/>
      <c r="E63" s="48"/>
      <c r="F63" s="2901"/>
      <c r="G63" s="2901"/>
      <c r="H63" s="2903"/>
      <c r="I63" s="31"/>
      <c r="K63" s="3437" t="s">
        <v>2523</v>
      </c>
      <c r="L63" s="2476" t="s">
        <v>2524</v>
      </c>
      <c r="M63" s="2476">
        <f ca="1">IF(N49&gt;10000,N49*0.5%,IF(AND(N49&gt;1000,N49&lt;=10000),N49*1%,IF(AND(N49&gt;100,N49&lt;=1000),N49*3%,IF(AND(N49&gt;10,N49&lt;=100),N49*5%,N49*8%))))</f>
        <v>12.42</v>
      </c>
      <c r="N63" s="2477">
        <f ca="1">ROUND(M63,1)</f>
        <v>12.4</v>
      </c>
      <c r="O63" s="2475"/>
      <c r="P63" s="2475"/>
      <c r="Q63" s="1236"/>
    </row>
    <row r="64" spans="1:17" ht="12.75">
      <c r="A64" s="49" t="s">
        <v>71</v>
      </c>
      <c r="B64" s="50" t="s">
        <v>1582</v>
      </c>
      <c r="C64" s="2705">
        <f ca="1">D45</f>
        <v>414</v>
      </c>
      <c r="D64" s="50" t="s">
        <v>41</v>
      </c>
      <c r="E64" s="52"/>
      <c r="F64" s="2901"/>
      <c r="G64" s="2901"/>
      <c r="H64" s="2903"/>
      <c r="I64" s="31"/>
      <c r="K64" s="3437"/>
      <c r="L64" s="2476" t="s">
        <v>2525</v>
      </c>
      <c r="M64" s="2476">
        <f ca="1">IF(N49&gt;2000,N49*0.5%,IF(AND(N49&gt;1000,N49&lt;=2000),N49*0.6%,IF(AND(N49&gt;500,N49&lt;=1000),N49*0.7%,IF(AND(N49&gt;200,N49&lt;=500),N49*0.8%,IF(AND(N49&gt;100,N49&lt;=200),N49*0.9%,IF(AND(N49&gt;50,N49&lt;=100),N49*1%,IF(AND(N49&gt;20,N49&lt;=50),N49*1.5%,IF(AND(N49&gt;10,N49&lt;=20),N49*2%,IF(AND(N49&gt;1,N49&lt;=10),N49*2.5%)))))))))</f>
        <v>3.3120000000000003</v>
      </c>
      <c r="N64" s="2477">
        <f t="shared" ref="N64:N65" ca="1" si="2">ROUND(M64,1)</f>
        <v>3.3</v>
      </c>
      <c r="O64" s="2475" t="s">
        <v>2526</v>
      </c>
      <c r="P64" s="2475"/>
      <c r="Q64" s="1236"/>
    </row>
    <row r="65" spans="1:36" ht="12.75">
      <c r="A65" s="49" t="s">
        <v>72</v>
      </c>
      <c r="B65" s="50" t="s">
        <v>1585</v>
      </c>
      <c r="C65" s="2706"/>
      <c r="D65" s="50"/>
      <c r="E65" s="52"/>
      <c r="F65" s="2901"/>
      <c r="G65" s="2901"/>
      <c r="H65" s="2903"/>
      <c r="I65" s="31"/>
      <c r="K65" s="3437"/>
      <c r="L65" s="2476" t="s">
        <v>2527</v>
      </c>
      <c r="M65" s="2476">
        <f ca="1">IF(N49&gt;1000,N49*0.1%,IF(AND(N49&gt;500,N49&lt;=1000),N49*0.5%,IF(AND(N49&gt;50,N49&lt;=500),N49*1%,IF(AND(N49&gt;1,N49&lt;=50),N49*1.5%))))</f>
        <v>4.1399999999999997</v>
      </c>
      <c r="N65" s="2477">
        <f t="shared" ca="1" si="2"/>
        <v>4.0999999999999996</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f ca="1">N49*0.5%</f>
        <v>2.0699999999999998</v>
      </c>
      <c r="N66" s="2477">
        <f ca="1">IF(M66&gt;0.5,0.5,ROUND(M66,0))</f>
        <v>0.5</v>
      </c>
      <c r="O66" s="2475" t="s">
        <v>2529</v>
      </c>
      <c r="P66" s="2475"/>
      <c r="Q66" s="1236"/>
    </row>
    <row r="67" spans="1:36" ht="12.75">
      <c r="A67" s="53" t="s">
        <v>42</v>
      </c>
      <c r="B67" s="54" t="s">
        <v>1591</v>
      </c>
      <c r="C67" s="2708">
        <f ca="1">C63-C66</f>
        <v>394</v>
      </c>
      <c r="D67" s="50" t="s">
        <v>41</v>
      </c>
      <c r="E67" s="52"/>
      <c r="F67" s="2901"/>
      <c r="G67" s="2901"/>
      <c r="H67" s="2903"/>
      <c r="I67" s="31"/>
      <c r="K67" s="3437"/>
      <c r="L67" s="2476" t="s">
        <v>2530</v>
      </c>
      <c r="M67" s="2476">
        <f ca="1">IF(N49&gt;=10000,(8.25+(N49-10000)*0.01%),IF(AND(N49&gt;=8000,N49&lt;10000),(7.85+(N49-8000)*0.02%),IF(AND(N49&gt;=5000,N49&lt;8000),(6.65+(N49-5000)*0.04%),IF(AND(N49&gt;=2000,N49&lt;5000),(4.25+(PN49-2000)*0.08%),IF(AND(N49&gt;=1000,N49&lt;2000),(2.75+(N49-1000)*0.15%),IF(AND(N49&gt;=100,N49&lt;1000),(0.5+(N49-100)*0.25%),IF(AND(N49&gt;0,N49&lt;100),N49*0.5%)))))))</f>
        <v>1.2850000000000001</v>
      </c>
      <c r="N67" s="2477">
        <f ca="1">ROUND(M67*0.9,1)</f>
        <v>1.2</v>
      </c>
      <c r="O67" s="2475"/>
      <c r="P67" s="2475"/>
      <c r="Q67" s="1236"/>
    </row>
    <row r="68" spans="1:36" ht="13.5" thickBot="1">
      <c r="A68" s="55" t="s">
        <v>46</v>
      </c>
      <c r="B68" s="56" t="s">
        <v>1593</v>
      </c>
      <c r="C68" s="2709">
        <f ca="1">IF(C67&lt;=0,0,ROUND(C67*D68,0))</f>
        <v>22</v>
      </c>
      <c r="D68" s="2170">
        <f>'数据-取费表'!E29</f>
        <v>5.6000000000000001E-2</v>
      </c>
      <c r="E68" s="57"/>
      <c r="F68" s="2901"/>
      <c r="G68" s="2901"/>
      <c r="H68" s="2903"/>
      <c r="I68" s="31"/>
      <c r="K68" s="3437"/>
      <c r="L68" s="2476" t="s">
        <v>2531</v>
      </c>
      <c r="M68" s="2476">
        <f ca="1">IF(N49&gt;10000,N49*0.5%,IF(AND(N49&gt;5000,N49&lt;=10000),N49*1%,IF(AND(N49&gt;1000,N49&lt;=5000),N49*2%,IF(AND(N49&gt;200,N49&lt;=1000),N49*3%,N49*5%))))</f>
        <v>12.42</v>
      </c>
      <c r="N68" s="2477">
        <f ca="1">ROUND(M68,1)</f>
        <v>12.4</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f ca="1">ROUND(SUM(N63:N68),0)</f>
        <v>34</v>
      </c>
      <c r="O69" s="2478">
        <f ca="1">N69/N49</f>
        <v>8.2125603864734303E-2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394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392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235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394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392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235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比较法-商业</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476</v>
      </c>
      <c r="D101" s="2727">
        <f ca="1">D19</f>
        <v>269</v>
      </c>
      <c r="E101" s="1389"/>
      <c r="F101" s="3462" t="str">
        <f>项目基本情况!I1</f>
        <v>北京市房地产</v>
      </c>
      <c r="G101" s="3464"/>
      <c r="H101" s="3466">
        <f>项目基本情况!C12</f>
        <v>116.03</v>
      </c>
      <c r="I101" s="3463"/>
      <c r="J101" s="2780"/>
    </row>
    <row r="102" spans="1:36" ht="12.75">
      <c r="A102" s="3479"/>
      <c r="B102" s="2235" t="s">
        <v>2571</v>
      </c>
      <c r="C102" s="2728">
        <f ca="1">C20</f>
        <v>41056</v>
      </c>
      <c r="D102" s="2729">
        <f ca="1">D20</f>
        <v>23181</v>
      </c>
      <c r="E102" s="1389"/>
      <c r="F102" s="3449" t="s">
        <v>2567</v>
      </c>
      <c r="G102" s="3450"/>
      <c r="H102" s="2737" t="str">
        <f>C106</f>
        <v>总价（万元）</v>
      </c>
      <c r="I102" s="2738">
        <f ca="1">H121</f>
        <v>414</v>
      </c>
      <c r="J102" s="2780"/>
    </row>
    <row r="103" spans="1:36" ht="12.75">
      <c r="A103" s="3479" t="s">
        <v>2572</v>
      </c>
      <c r="B103" s="2173" t="str">
        <f>B101</f>
        <v>总价（万元）</v>
      </c>
      <c r="C103" s="2732">
        <f ca="1">H121</f>
        <v>414</v>
      </c>
      <c r="D103" s="2730"/>
      <c r="E103" s="1389"/>
      <c r="F103" s="3449"/>
      <c r="G103" s="3450"/>
      <c r="H103" s="2737" t="s">
        <v>2540</v>
      </c>
      <c r="I103" s="52">
        <f ca="1">I121</f>
        <v>35694</v>
      </c>
      <c r="J103" s="2764"/>
    </row>
    <row r="104" spans="1:36" ht="13.5" thickBot="1">
      <c r="A104" s="3480"/>
      <c r="B104" s="2734" t="s">
        <v>2571</v>
      </c>
      <c r="C104" s="2735">
        <f ca="1">I121</f>
        <v>35694</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414</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35694</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414</v>
      </c>
      <c r="J110" s="2780"/>
    </row>
    <row r="111" spans="1:36" ht="12.75">
      <c r="A111" s="3451" t="s">
        <v>2545</v>
      </c>
      <c r="B111" s="3452"/>
      <c r="C111" s="2739" t="str">
        <f>C108</f>
        <v>总额（万元）</v>
      </c>
      <c r="D111" s="52">
        <f>C38</f>
        <v>0</v>
      </c>
      <c r="E111" s="1389"/>
      <c r="F111" s="3434"/>
      <c r="G111" s="3435"/>
      <c r="H111" s="2737" t="s">
        <v>2540</v>
      </c>
      <c r="I111" s="2741">
        <f ca="1">D113</f>
        <v>35694</v>
      </c>
      <c r="J111" s="2783"/>
    </row>
    <row r="112" spans="1:36" ht="26.25" customHeight="1">
      <c r="A112" s="3449" t="str">
        <f>IF(项目基本情况!F5="已注销","——","3.房地产抵押价值")</f>
        <v>3.房地产抵押价值</v>
      </c>
      <c r="B112" s="3450"/>
      <c r="C112" s="2737" t="str">
        <f>B101</f>
        <v>总价（万元）</v>
      </c>
      <c r="D112" s="2738">
        <f ca="1">IF(A112="——","——",D106-D108)</f>
        <v>414</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35694</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116.03</v>
      </c>
      <c r="C121" s="2020">
        <f>项目基本情况!C13</f>
        <v>0</v>
      </c>
      <c r="D121" s="2020">
        <f ca="1">ROUND(IF(B32="总价",C34,IF('数据-取费表'!B3="万元",E121*B121/10000,E121*B121)),0)</f>
        <v>356</v>
      </c>
      <c r="E121" s="2020">
        <f ca="1">ROUND(IF(B32="楼面单价",C34,IF(H19="元",D121/B121,D121*10000/B121)),0)</f>
        <v>30697</v>
      </c>
      <c r="F121" s="2020">
        <f ca="1">ROUND(IF(B32="总价",C35,IF('数据-取费表'!B3="万元",G121*B121/10000,G121*B121)),0)</f>
        <v>58</v>
      </c>
      <c r="G121" s="2020">
        <f ca="1">ROUND(IF(B32="楼面单价",C35,IF(H19="元",F121/B121,F121*10000/B121)),0)</f>
        <v>4997</v>
      </c>
      <c r="H121" s="2020">
        <f ca="1">ROUND(IF(B32="总价",C32,IF('数据-取费表'!B3="万元",I121*B121/10000,I121*B121)),0)</f>
        <v>414</v>
      </c>
      <c r="I121" s="52">
        <f ca="1">ROUND(IF(B32="楼面单价",C32,IF(H19="元",H121/B121,H121*10000/B121)),0)</f>
        <v>35694</v>
      </c>
      <c r="J121" s="2764"/>
    </row>
    <row r="122" spans="1:16" ht="12.75">
      <c r="A122" s="3442" t="s">
        <v>2557</v>
      </c>
      <c r="B122" s="3438"/>
      <c r="C122" s="3438"/>
      <c r="D122" s="3473" t="str">
        <f ca="1">IF(H19="元",NUMBERSTRING(INT(D121),2)&amp;"元整",NUMBERSTRING(INT(D121*10000),2)&amp;"元整")</f>
        <v>叁佰伍拾陆万元整</v>
      </c>
      <c r="E122" s="3474"/>
      <c r="F122" s="3473" t="str">
        <f ca="1">IF(H19="元",NUMBERSTRING(INT(F121),2)&amp;"元整",NUMBERSTRING(INT(F121*10000),2)&amp;"元整")</f>
        <v>伍拾捌万元整</v>
      </c>
      <c r="G122" s="3474"/>
      <c r="H122" s="3473" t="str">
        <f ca="1">IF(H19="元",NUMBERSTRING(INT(H121),2)&amp;"元整",NUMBERSTRING(INT(H121*10000),2)&amp;"元整")</f>
        <v>肆佰壹拾肆万元整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414</v>
      </c>
      <c r="E125" s="3475"/>
      <c r="F125" s="3475"/>
      <c r="G125" s="3475"/>
      <c r="H125" s="3475"/>
      <c r="I125" s="3463"/>
      <c r="J125" s="2780"/>
    </row>
    <row r="126" spans="1:16" ht="12.75">
      <c r="A126" s="3442" t="s">
        <v>2557</v>
      </c>
      <c r="B126" s="3438"/>
      <c r="C126" s="3438"/>
      <c r="D126" s="3514">
        <f ca="1">I111</f>
        <v>35694</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44720</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房地产抵押价值</v>
      </c>
      <c r="M51" s="3528"/>
      <c r="N51" s="3533">
        <f>IF(项目基本情况!F5="房地产抵押价值",I112,I114)</f>
        <v>0</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2593</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#DIV/0!</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f>N51-O59</f>
        <v>0</v>
      </c>
      <c r="P61" s="2448"/>
    </row>
    <row r="62" spans="1:17" ht="12" customHeight="1">
      <c r="A62" s="1385"/>
      <c r="B62" s="2481"/>
      <c r="C62" s="2481"/>
      <c r="D62" s="2481"/>
      <c r="E62" s="1385"/>
      <c r="F62" s="2900"/>
      <c r="G62" s="2900"/>
      <c r="H62" s="2895"/>
      <c r="I62" s="905"/>
      <c r="J62" s="2773"/>
      <c r="K62" s="3537"/>
      <c r="L62" s="3530"/>
      <c r="M62" s="2439" t="s">
        <v>1571</v>
      </c>
      <c r="N62" s="2443"/>
      <c r="O62" s="2444" t="str">
        <f>IF(H19="元",NUMBERSTRING(INT(O61),2)&amp;"元整",NUMBERSTRING(INT(O61*10000),2)&amp;"元整")</f>
        <v>零元整</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f>IF(H19="元",ROUND(O61/项目基本情况!C12,0),ROUND(O61*10000/项目基本情况!C12,0))</f>
        <v>0</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6"/>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6"/>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6"/>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2" sqref="J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16373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1053706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23206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23206</v>
      </c>
      <c r="D10" s="1101">
        <f>IF('数据-取费表'!B10&lt;&gt;"住宅",IF(B1="仅计算典型户型",'数据-取费表'!E5,'数据-取费表'!B5),0)</f>
        <v>116.03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23206</v>
      </c>
      <c r="D19" s="1104">
        <f>IF(B1="仅计算典型户型",'数据-取费表'!E5,'数据-取费表'!B5)</f>
        <v>116.03</v>
      </c>
      <c r="E19" s="111">
        <f>'数据-取费表'!E15</f>
        <v>200</v>
      </c>
      <c r="F19" s="112"/>
      <c r="G19" s="1446"/>
    </row>
    <row r="20" spans="1:123" s="91" customFormat="1" ht="13.5" customHeight="1">
      <c r="A20" s="120" t="s">
        <v>1702</v>
      </c>
      <c r="B20" s="89" t="s">
        <v>1703</v>
      </c>
      <c r="C20" s="99">
        <f>ROUND((C5+C19)*F20,0)</f>
        <v>21538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93265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90370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1990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219690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219690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1530974</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362710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324884</v>
      </c>
      <c r="D34" s="1096"/>
      <c r="E34" s="115"/>
      <c r="F34" s="1107" t="str">
        <f>IF('数据-取费表'!B26=0,"",'数据-取费表'!E20)</f>
        <v/>
      </c>
      <c r="G34" s="95"/>
    </row>
    <row r="35" spans="1:123" ht="13.5" customHeight="1">
      <c r="A35" s="92" t="s">
        <v>1685</v>
      </c>
      <c r="B35" s="93" t="s">
        <v>1734</v>
      </c>
      <c r="C35" s="115">
        <f>ROUND(C34*F35,0)</f>
        <v>9747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23206</v>
      </c>
      <c r="D37" s="1096">
        <f>IF(B1="仅计算典型户型",'数据-取费表'!E5,'数据-取费表'!B5)</f>
        <v>116.03</v>
      </c>
      <c r="E37" s="115">
        <f>'数据-取费表'!E23</f>
        <v>200</v>
      </c>
      <c r="F37" s="1108"/>
      <c r="G37" s="124" t="s">
        <v>1739</v>
      </c>
    </row>
    <row r="38" spans="1:123" ht="13.5" customHeight="1">
      <c r="A38" s="92" t="s">
        <v>1740</v>
      </c>
      <c r="B38" s="93" t="s">
        <v>1741</v>
      </c>
      <c r="C38" s="115">
        <f>ROUND(C34*F38,0)</f>
        <v>4873</v>
      </c>
      <c r="D38" s="115"/>
      <c r="E38" s="115"/>
      <c r="F38" s="1108">
        <f>'数据-取费表'!E24</f>
        <v>1.4999999999999999E-2</v>
      </c>
      <c r="G38" s="95" t="s">
        <v>1735</v>
      </c>
    </row>
    <row r="39" spans="1:123" s="91" customFormat="1" ht="13.5" customHeight="1">
      <c r="A39" s="120" t="s">
        <v>1700</v>
      </c>
      <c r="B39" s="89" t="s">
        <v>1703</v>
      </c>
      <c r="C39" s="99">
        <f>ROUND(C33*F20,0)</f>
        <v>7254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15539</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15234</v>
      </c>
      <c r="D42" s="104"/>
      <c r="E42" s="104"/>
      <c r="F42" s="105"/>
      <c r="G42" s="3555" t="s">
        <v>1745</v>
      </c>
    </row>
    <row r="43" spans="1:123" ht="13.5" customHeight="1">
      <c r="A43" s="92" t="s">
        <v>1685</v>
      </c>
      <c r="B43" s="93" t="s">
        <v>1714</v>
      </c>
      <c r="C43" s="104">
        <f ca="1">ROUND(IF('数据-取费表'!B24&lt;=1,C39*F22*'数据-取费表'!B23/2,C39*(POWER((1+F22),'数据-取费表'!B23/2)-1)),0)</f>
        <v>305</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73993</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73993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498423</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368833</v>
      </c>
      <c r="D51" s="99"/>
      <c r="E51" s="99"/>
      <c r="F51" s="126"/>
      <c r="G51" s="100" t="s">
        <v>1759</v>
      </c>
    </row>
    <row r="52" spans="1:123" s="88" customFormat="1" ht="16.5" thickBot="1">
      <c r="A52" s="127" t="s">
        <v>1760</v>
      </c>
      <c r="B52" s="128"/>
      <c r="C52" s="129">
        <f ca="1">C31+C51</f>
        <v>1899807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0.19400000000000001</v>
      </c>
    </row>
    <row r="57" spans="1:123">
      <c r="B57" s="135" t="s">
        <v>1763</v>
      </c>
      <c r="C57" s="137">
        <f ca="1">1-C56</f>
        <v>0.80600000000000005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-23206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-23206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-464</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-4734</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-4734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23003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60" zoomScaleNormal="70" workbookViewId="0">
      <selection activeCell="K15" sqref="K1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476</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41056</v>
      </c>
      <c r="C3" s="1588" t="s">
        <v>2005</v>
      </c>
      <c r="D3" s="1588">
        <f>IF(C1="仅计算典型户型",'数据-取费表'!E5,'数据-取费表'!B5)</f>
        <v>116.03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86" t="s">
        <v>2009</v>
      </c>
      <c r="AC4" s="3567" t="s">
        <v>2010</v>
      </c>
    </row>
    <row r="5" spans="1:29" ht="15">
      <c r="A5" s="1596"/>
      <c r="B5" s="1597"/>
      <c r="C5" s="3563" t="s">
        <v>2013</v>
      </c>
      <c r="D5" s="3564"/>
      <c r="E5" s="3587" t="str">
        <f>Sheet1!C7</f>
        <v>柏林爱乐</v>
      </c>
      <c r="F5" s="3588"/>
      <c r="G5" s="3563" t="str">
        <f>Sheet1!C8</f>
        <v>常楹公元</v>
      </c>
      <c r="H5" s="3564"/>
      <c r="I5" s="3563" t="str">
        <f>Sheet1!C9</f>
        <v>定福庄</v>
      </c>
      <c r="J5" s="3564"/>
      <c r="K5" s="1894"/>
      <c r="L5" s="2915"/>
      <c r="M5" s="2916"/>
      <c r="N5" s="2916"/>
      <c r="O5" s="2916"/>
      <c r="P5" s="3576"/>
      <c r="Q5" s="3577"/>
      <c r="R5" s="3582"/>
      <c r="S5" s="3583"/>
      <c r="T5" s="3582"/>
      <c r="U5" s="3583"/>
      <c r="V5" s="3586"/>
      <c r="W5" s="3586"/>
      <c r="X5" s="2003"/>
      <c r="Y5" s="3582"/>
      <c r="Z5" s="3583"/>
      <c r="AA5" s="3568"/>
      <c r="AB5" s="3586"/>
      <c r="AC5" s="3568"/>
    </row>
    <row r="6" spans="1:29"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86"/>
      <c r="AC6" s="3569"/>
    </row>
    <row r="7" spans="1:29" s="1613" customFormat="1" ht="15.75" thickBot="1">
      <c r="A7" s="1601" t="s">
        <v>2019</v>
      </c>
      <c r="B7" s="1602"/>
      <c r="C7" s="1603">
        <f>'数据-取费表'!B2</f>
        <v>44720</v>
      </c>
      <c r="D7" s="1604">
        <v>100</v>
      </c>
      <c r="E7" s="1605">
        <f>C7</f>
        <v>44720</v>
      </c>
      <c r="F7" s="1606">
        <f>SUMIF(58:58,YEAR(E7)&amp;"-"&amp;MONTH(E7),59:59)</f>
        <v>100</v>
      </c>
      <c r="G7" s="1605">
        <f>C7</f>
        <v>44720</v>
      </c>
      <c r="H7" s="1604">
        <f>SUMIF(58:58,YEAR(G7)&amp;"-"&amp;MONTH(G7),59:59)</f>
        <v>100</v>
      </c>
      <c r="I7" s="1605">
        <f>C7</f>
        <v>44720</v>
      </c>
      <c r="J7" s="1604">
        <f>SUMIF(58:58,YEAR(I7)&amp;"-"&amp;MONTH(I7),59:59)</f>
        <v>100</v>
      </c>
      <c r="K7" s="1896"/>
      <c r="L7" s="2915"/>
      <c r="M7" s="2888"/>
      <c r="N7" s="2888"/>
      <c r="O7" s="2888"/>
      <c r="P7" s="3565" t="s">
        <v>2020</v>
      </c>
      <c r="Q7" s="3589"/>
      <c r="R7" s="1609" t="s">
        <v>25</v>
      </c>
      <c r="S7" s="1610">
        <f t="shared" ref="S7:S15" si="0">F7</f>
        <v>100</v>
      </c>
      <c r="T7" s="1609" t="s">
        <v>25</v>
      </c>
      <c r="U7" s="1610">
        <f t="shared" ref="U7:U15" si="1">H7</f>
        <v>100</v>
      </c>
      <c r="V7" s="1609" t="s">
        <v>25</v>
      </c>
      <c r="W7" s="1610">
        <f t="shared" ref="W7:W15" si="2">J7</f>
        <v>100</v>
      </c>
      <c r="X7" s="1611"/>
      <c r="Y7" s="3565" t="s">
        <v>2020</v>
      </c>
      <c r="Z7" s="3566"/>
      <c r="AA7" s="1612">
        <f>D7/F7</f>
        <v>1</v>
      </c>
      <c r="AB7" s="1612">
        <f>D7/H7</f>
        <v>1</v>
      </c>
      <c r="AC7" s="1612">
        <f>D7/J7</f>
        <v>1</v>
      </c>
    </row>
    <row r="8" spans="1:29" s="1613" customFormat="1" ht="15.75" thickBot="1">
      <c r="A8" s="1601" t="s">
        <v>2021</v>
      </c>
      <c r="B8" s="1602"/>
      <c r="C8" s="1614" t="s">
        <v>2022</v>
      </c>
      <c r="D8" s="1604">
        <v>100</v>
      </c>
      <c r="E8" s="1614" t="s">
        <v>2639</v>
      </c>
      <c r="F8" s="1606">
        <f>SUMIF(61:61,E8,62:62)-SUMIF(61:61,C8,62:62)+100</f>
        <v>100</v>
      </c>
      <c r="G8" s="1614" t="s">
        <v>2639</v>
      </c>
      <c r="H8" s="1604">
        <f>SUMIF(61:61,G8,62:62)-SUMIF(61:61,C8,62:62)+100</f>
        <v>100</v>
      </c>
      <c r="I8" s="1614" t="s">
        <v>2639</v>
      </c>
      <c r="J8" s="1604">
        <f>SUMIF(61:61,I8,62:62)-SUMIF(61:61,C8,62:62)+100</f>
        <v>100</v>
      </c>
      <c r="K8" s="1896"/>
      <c r="L8" s="2915"/>
      <c r="M8" s="2888"/>
      <c r="N8" s="2888"/>
      <c r="O8" s="2888"/>
      <c r="P8" s="3565" t="s">
        <v>2023</v>
      </c>
      <c r="Q8" s="3566"/>
      <c r="R8" s="1609" t="s">
        <v>25</v>
      </c>
      <c r="S8" s="1610">
        <f t="shared" si="0"/>
        <v>100</v>
      </c>
      <c r="T8" s="1609" t="s">
        <v>25</v>
      </c>
      <c r="U8" s="1610">
        <f t="shared" si="1"/>
        <v>100</v>
      </c>
      <c r="V8" s="1609" t="s">
        <v>25</v>
      </c>
      <c r="W8" s="1610">
        <f t="shared" si="2"/>
        <v>100</v>
      </c>
      <c r="X8" s="1611"/>
      <c r="Y8" s="3565" t="s">
        <v>2023</v>
      </c>
      <c r="Z8" s="3566"/>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62"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t="s">
        <v>3047</v>
      </c>
      <c r="D10" s="1626">
        <v>100</v>
      </c>
      <c r="E10" s="1627" t="s">
        <v>3049</v>
      </c>
      <c r="F10" s="1628">
        <f>SUMIF(65:65,E10,66:66)-SUMIF(65:65,C10,66:66)+100</f>
        <v>102</v>
      </c>
      <c r="G10" s="1625" t="s">
        <v>3049</v>
      </c>
      <c r="H10" s="1626">
        <f>SUMIF(65:65,G10,66:66)-SUMIF(65:65,C10,66:66)+100</f>
        <v>102</v>
      </c>
      <c r="I10" s="1625" t="s">
        <v>3049</v>
      </c>
      <c r="J10" s="1626">
        <f>SUMIF(65:65,I10,66:66)-SUMIF(65:65,C10,66:66)+100</f>
        <v>102</v>
      </c>
      <c r="K10" s="1921">
        <v>2</v>
      </c>
      <c r="L10" s="2917"/>
      <c r="M10" s="2918"/>
      <c r="N10" s="2918"/>
      <c r="O10" s="2918"/>
      <c r="P10" s="3562"/>
      <c r="Q10" s="1994" t="str">
        <f t="shared" si="6"/>
        <v>土地使用年限（年）</v>
      </c>
      <c r="R10" s="1609" t="s">
        <v>25</v>
      </c>
      <c r="S10" s="1610">
        <f t="shared" si="0"/>
        <v>102</v>
      </c>
      <c r="T10" s="1609" t="s">
        <v>25</v>
      </c>
      <c r="U10" s="1610">
        <f t="shared" si="1"/>
        <v>102</v>
      </c>
      <c r="V10" s="1609" t="s">
        <v>25</v>
      </c>
      <c r="W10" s="1610">
        <f t="shared" si="2"/>
        <v>102</v>
      </c>
      <c r="X10" s="1611"/>
      <c r="Y10" s="3488"/>
      <c r="Z10" s="1622" t="str">
        <f t="shared" si="7"/>
        <v>土地使用年限（年）</v>
      </c>
      <c r="AA10" s="1612">
        <f t="shared" si="3"/>
        <v>0.98039215686274506</v>
      </c>
      <c r="AB10" s="1612">
        <f t="shared" si="4"/>
        <v>0.98039215686274506</v>
      </c>
      <c r="AC10" s="1612">
        <f t="shared" si="5"/>
        <v>0.98039215686274506</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62"/>
      <c r="Q11" s="1994"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62"/>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62"/>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62"/>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102</v>
      </c>
      <c r="G15" s="1652"/>
      <c r="H15" s="1649">
        <f>SUMIF(76:76,G16,77:77)-SUMIF(76:76,C16,77:77)+100</f>
        <v>102</v>
      </c>
      <c r="I15" s="1650"/>
      <c r="J15" s="1649">
        <f>SUMIF(76:76,I16,77:77)-SUMIF(76:76,C16,77:77)+100</f>
        <v>102</v>
      </c>
      <c r="K15" s="2391">
        <v>2</v>
      </c>
      <c r="L15" s="2920"/>
      <c r="M15" s="2916"/>
      <c r="N15" s="2916"/>
      <c r="O15" s="2916"/>
      <c r="P15" s="3590" t="s">
        <v>2031</v>
      </c>
      <c r="Q15" s="2000" t="str">
        <f t="shared" si="6"/>
        <v>商业繁华度</v>
      </c>
      <c r="R15" s="1654" t="s">
        <v>25</v>
      </c>
      <c r="S15" s="1655">
        <f t="shared" si="0"/>
        <v>102</v>
      </c>
      <c r="T15" s="1654" t="s">
        <v>25</v>
      </c>
      <c r="U15" s="1655">
        <f t="shared" si="1"/>
        <v>102</v>
      </c>
      <c r="V15" s="1654" t="s">
        <v>25</v>
      </c>
      <c r="W15" s="1655">
        <f t="shared" si="2"/>
        <v>102</v>
      </c>
      <c r="X15" s="2003"/>
      <c r="Y15" s="3592" t="s">
        <v>2031</v>
      </c>
      <c r="Z15" s="2007" t="str">
        <f t="shared" si="7"/>
        <v>商业繁华度</v>
      </c>
      <c r="AA15" s="1998">
        <f t="shared" si="3"/>
        <v>0.98039215686274506</v>
      </c>
      <c r="AB15" s="1998">
        <f t="shared" si="4"/>
        <v>0.98039215686274506</v>
      </c>
      <c r="AC15" s="1998">
        <f t="shared" si="5"/>
        <v>0.98039215686274506</v>
      </c>
    </row>
    <row r="16" spans="1:29" ht="15">
      <c r="A16" s="1631"/>
      <c r="B16" s="1658"/>
      <c r="C16" s="1659" t="s">
        <v>31</v>
      </c>
      <c r="D16" s="1660"/>
      <c r="E16" s="1659" t="s">
        <v>30</v>
      </c>
      <c r="F16" s="1662"/>
      <c r="G16" s="1659" t="s">
        <v>30</v>
      </c>
      <c r="H16" s="1664"/>
      <c r="I16" s="1659" t="s">
        <v>30</v>
      </c>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f>D3</f>
        <v>116.03</v>
      </c>
      <c r="D33" s="1626">
        <v>100</v>
      </c>
      <c r="E33" s="1633">
        <f>Sheet1!D7</f>
        <v>88</v>
      </c>
      <c r="F33" s="1628">
        <f>LOOKUP(E33,103:103,104:104)-LOOKUP(C33,103:103,104:104)+100</f>
        <v>102</v>
      </c>
      <c r="G33" s="1632">
        <f>Sheet1!D8</f>
        <v>77.239999999999995</v>
      </c>
      <c r="H33" s="1626">
        <f>LOOKUP(G33,103:103,104:104)-LOOKUP(C33,103:103,104:104)+100</f>
        <v>102</v>
      </c>
      <c r="I33" s="1632">
        <f>Sheet1!D9</f>
        <v>76.52</v>
      </c>
      <c r="J33" s="1626">
        <f>LOOKUP(I33,103:103,104:104)-LOOKUP(C33,103:103,104:104)+100</f>
        <v>102</v>
      </c>
      <c r="K33" s="1918"/>
      <c r="L33" s="2919"/>
      <c r="M33" s="1988"/>
      <c r="N33" s="1988"/>
      <c r="O33" s="1988"/>
      <c r="P33" s="3595"/>
      <c r="Q33" s="1695" t="str">
        <f t="shared" si="11"/>
        <v>项目建筑规模</v>
      </c>
      <c r="R33" s="1696" t="s">
        <v>25</v>
      </c>
      <c r="S33" s="1697">
        <f t="shared" si="12"/>
        <v>102</v>
      </c>
      <c r="T33" s="1696" t="s">
        <v>25</v>
      </c>
      <c r="U33" s="1697">
        <f t="shared" si="13"/>
        <v>102</v>
      </c>
      <c r="V33" s="1696" t="s">
        <v>25</v>
      </c>
      <c r="W33" s="1697">
        <f t="shared" si="14"/>
        <v>102</v>
      </c>
      <c r="X33" s="1698"/>
      <c r="Y33" s="3597"/>
      <c r="Z33" s="1699" t="str">
        <f t="shared" si="15"/>
        <v>项目建筑规模</v>
      </c>
      <c r="AA33" s="1998">
        <f t="shared" si="3"/>
        <v>0.98039215686274506</v>
      </c>
      <c r="AB33" s="1998">
        <f t="shared" si="4"/>
        <v>0.98039215686274506</v>
      </c>
      <c r="AC33" s="1998">
        <f t="shared" si="5"/>
        <v>0.98039215686274506</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v>0.74</v>
      </c>
      <c r="D36" s="1640">
        <v>100</v>
      </c>
      <c r="E36" s="1705">
        <f>ROUND(1-(2022-E50)/60,2)</f>
        <v>0.72</v>
      </c>
      <c r="F36" s="1683">
        <f>LOOKUP(E36,110:110,111:111)-LOOKUP(C36,110:110,111:111)+100</f>
        <v>100</v>
      </c>
      <c r="G36" s="1705">
        <f>ROUND(1-(2022-G50)/60,2)</f>
        <v>0.85</v>
      </c>
      <c r="H36" s="1683">
        <f>LOOKUP(G36,110:110,111:111)-LOOKUP(C36,110:110,111:111)+100</f>
        <v>102</v>
      </c>
      <c r="I36" s="1705">
        <f>ROUND(1-(2022-I50)/60,2)</f>
        <v>0.73</v>
      </c>
      <c r="J36" s="1640">
        <f>LOOKUP(I36,110:110,111:111)-LOOKUP(C36,110:110,111:111)+100</f>
        <v>100</v>
      </c>
      <c r="K36" s="1921">
        <v>2</v>
      </c>
      <c r="L36" s="2920"/>
      <c r="M36" s="2916"/>
      <c r="N36" s="2916"/>
      <c r="O36" s="2916"/>
      <c r="P36" s="3595"/>
      <c r="Q36" s="2000" t="str">
        <f t="shared" si="11"/>
        <v>成新度</v>
      </c>
      <c r="R36" s="1654" t="s">
        <v>25</v>
      </c>
      <c r="S36" s="1655">
        <f t="shared" si="12"/>
        <v>100</v>
      </c>
      <c r="T36" s="1654" t="s">
        <v>25</v>
      </c>
      <c r="U36" s="1655">
        <f t="shared" si="13"/>
        <v>102</v>
      </c>
      <c r="V36" s="1654" t="s">
        <v>25</v>
      </c>
      <c r="W36" s="1655">
        <f t="shared" si="14"/>
        <v>100</v>
      </c>
      <c r="X36" s="2003"/>
      <c r="Y36" s="3597"/>
      <c r="Z36" s="2007" t="str">
        <f t="shared" si="15"/>
        <v>成新度</v>
      </c>
      <c r="AA36" s="1998">
        <f t="shared" si="3"/>
        <v>1</v>
      </c>
      <c r="AB36" s="1998">
        <f t="shared" si="4"/>
        <v>0.98039215686274506</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f>Sheet1!F7</f>
        <v>43182</v>
      </c>
      <c r="F47" s="1715"/>
      <c r="G47" s="1716">
        <f>Sheet1!F8</f>
        <v>45314</v>
      </c>
      <c r="H47" s="1717"/>
      <c r="I47" s="1714">
        <f>Sheet1!F9</f>
        <v>43100</v>
      </c>
      <c r="J47" s="1717"/>
      <c r="K47" s="1942"/>
      <c r="L47" s="2921"/>
      <c r="N47" s="2916"/>
      <c r="P47" s="3599" t="str">
        <f>A47</f>
        <v>成交单价（元/平方米）</v>
      </c>
      <c r="Q47" s="3599"/>
      <c r="R47" s="3600">
        <f>E47</f>
        <v>43182</v>
      </c>
      <c r="S47" s="3600"/>
      <c r="T47" s="3600">
        <f>G47</f>
        <v>45314</v>
      </c>
      <c r="U47" s="3600"/>
      <c r="V47" s="3600">
        <f>I47</f>
        <v>43100</v>
      </c>
      <c r="W47" s="3600"/>
      <c r="X47" s="1720"/>
      <c r="Y47" s="2002"/>
      <c r="Z47" s="1720"/>
      <c r="AA47" s="1720"/>
      <c r="AB47" s="1720"/>
      <c r="AC47" s="1720"/>
    </row>
    <row r="48" spans="1:29" ht="15.75" thickBot="1">
      <c r="A48" s="1722" t="s">
        <v>2132</v>
      </c>
      <c r="B48" s="1723"/>
      <c r="C48" s="1724">
        <f>R49</f>
        <v>41056</v>
      </c>
      <c r="D48" s="1725" t="s">
        <v>2503</v>
      </c>
      <c r="E48" s="1726">
        <f>R48</f>
        <v>40691</v>
      </c>
      <c r="F48" s="1727"/>
      <c r="G48" s="1724">
        <f>T48</f>
        <v>41863</v>
      </c>
      <c r="H48" s="1727"/>
      <c r="I48" s="1726">
        <f>V48</f>
        <v>40614</v>
      </c>
      <c r="J48" s="1727"/>
      <c r="K48" s="2429">
        <f>F48+H48+J48</f>
        <v>0</v>
      </c>
      <c r="L48" s="2921"/>
      <c r="N48" s="2916"/>
      <c r="P48" s="3599" t="str">
        <f>A48</f>
        <v>比较价值（元/平方米）</v>
      </c>
      <c r="Q48" s="3599"/>
      <c r="R48" s="3600">
        <f>IF(E1="售价",ROUND(PRODUCT(R47,AA7:AA46),0),ROUND(PRODUCT(R47,AA7:AA46),1))</f>
        <v>40691</v>
      </c>
      <c r="S48" s="3600"/>
      <c r="T48" s="3600">
        <f>IF(E1="售价",ROUND(PRODUCT(T47,AB7:AB46),0),ROUND(PRODUCT(T47,AB7:AB46),1))</f>
        <v>41863</v>
      </c>
      <c r="U48" s="3600"/>
      <c r="V48" s="3600">
        <f>IF(E1="售价",ROUND(PRODUCT(V47,AC7:AC46),0),ROUND(PRODUCT(V47,AC7:AC46),1))</f>
        <v>40614</v>
      </c>
      <c r="W48" s="3600"/>
      <c r="X48" s="1720"/>
      <c r="Y48" s="1720"/>
      <c r="Z48" s="1720"/>
      <c r="AA48" s="1720"/>
      <c r="AB48" s="1720"/>
      <c r="AC48" s="1720"/>
    </row>
    <row r="49" spans="1:29" ht="15.75" thickBot="1">
      <c r="A49" s="1728" t="s">
        <v>2133</v>
      </c>
      <c r="B49" s="1729"/>
      <c r="C49" s="1731">
        <f>R49</f>
        <v>41056</v>
      </c>
      <c r="D49" s="1731"/>
      <c r="E49" s="1731"/>
      <c r="F49" s="1731"/>
      <c r="G49" s="1731"/>
      <c r="H49" s="1731"/>
      <c r="I49" s="1731"/>
      <c r="J49" s="1731"/>
      <c r="K49" s="1947"/>
      <c r="L49" s="2921"/>
      <c r="N49" s="2916"/>
      <c r="P49" s="3601" t="str">
        <f>A49</f>
        <v>估价对象XX用房的比较价值（楼面单价，元/平方米）</v>
      </c>
      <c r="Q49" s="3602"/>
      <c r="R49" s="3603">
        <f>IF(E1="售价",ROUND(IF(D48="简单平均",AVERAGE(R48:V48),R48*F48+T48*H48+V48*J48),0),ROUND(IF(D48="简单平均",AVERAGE(R48:V48),R48*F48+T48*H48+V48*J48),1))</f>
        <v>41056</v>
      </c>
      <c r="S49" s="3603"/>
      <c r="T49" s="3603"/>
      <c r="U49" s="3603"/>
      <c r="V49" s="3603"/>
      <c r="W49" s="3603"/>
      <c r="X49" s="1720"/>
      <c r="Y49" s="1720"/>
      <c r="Z49" s="1720"/>
      <c r="AA49" s="1720"/>
      <c r="AB49" s="1720"/>
      <c r="AC49" s="1720"/>
    </row>
    <row r="50" spans="1:29">
      <c r="E50" s="1595">
        <v>2005</v>
      </c>
      <c r="G50" s="3325">
        <v>2013</v>
      </c>
      <c r="I50" s="1595">
        <v>2006</v>
      </c>
      <c r="P50" s="2398"/>
      <c r="Q50" s="1719"/>
      <c r="R50" s="1719"/>
      <c r="S50" s="1719"/>
      <c r="T50" s="1719"/>
      <c r="U50" s="1719"/>
      <c r="V50" s="1719"/>
      <c r="W50" s="1719"/>
      <c r="X50" s="1719"/>
      <c r="Y50" s="1719"/>
      <c r="Z50" s="1719"/>
      <c r="AA50" s="1719"/>
      <c r="AB50" s="1719"/>
      <c r="AC50" s="1719"/>
    </row>
    <row r="51" spans="1:29">
      <c r="E51" s="1595">
        <f>40-(2022-E50+2)</f>
        <v>21</v>
      </c>
      <c r="G51" s="1595">
        <f>40-(2022-G50+2)</f>
        <v>29</v>
      </c>
      <c r="I51" s="1595">
        <f>40-(2022-I50+2)</f>
        <v>22</v>
      </c>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6.1217468236219208E-2</v>
      </c>
      <c r="F52" s="1738" t="str">
        <f>IF(OR(E52&gt;=0.3,E52&lt;=-0.3),"超过30%","")</f>
        <v/>
      </c>
      <c r="G52" s="1737">
        <f>IF(G47&lt;G48,G48/G47-1,G47/G48-1)</f>
        <v>8.2435563624202679E-2</v>
      </c>
      <c r="H52" s="1738" t="str">
        <f>IF(OR(G52&gt;=0.3,G52&lt;=-0.3),"超过30%","")</f>
        <v/>
      </c>
      <c r="I52" s="1737">
        <f>IF(I47&lt;I48,I48/I47-1,I47/I48-1)</f>
        <v>6.1210420052198788E-2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2.880243788552761E-2</v>
      </c>
      <c r="F53" s="1738" t="str">
        <f>IF(OR(E53&gt;=0.2,E53&lt;=-0.2),"超过20%","")</f>
        <v/>
      </c>
      <c r="G53" s="1737">
        <f>IF(G48&lt;I48,I48/G48-1,G48/I48-1)</f>
        <v>3.0752942335155353E-2</v>
      </c>
      <c r="H53" s="1738" t="str">
        <f>IF(OR(G53&gt;=0.2,G53&lt;=-0.2),"超过20%","")</f>
        <v/>
      </c>
      <c r="I53" s="1737">
        <f>IF(I48&lt;E48,E48/I48-1,I48/E48-1)</f>
        <v>1.8958979662184738E-3</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4.9372423695058121E-2</v>
      </c>
      <c r="F54" s="1738" t="str">
        <f>IF(OR(E54&gt;=0.3,E54&lt;=-0.3),"超过30%","")</f>
        <v/>
      </c>
      <c r="G54" s="1737">
        <f>IF(G47&lt;I47,I47/G47-1,G47/I47-1)</f>
        <v>5.1368909512760963E-2</v>
      </c>
      <c r="H54" s="1738" t="str">
        <f>IF(OR(G54&gt;=0.3,G54&lt;=-0.3),"超过30%","")</f>
        <v/>
      </c>
      <c r="I54" s="1737">
        <f>IF(I47&lt;E47,E47/I47-1,I47/E47-1)</f>
        <v>1.9025522041762333E-3</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200</v>
      </c>
      <c r="G103" s="1830">
        <v>300</v>
      </c>
      <c r="H103" s="1830"/>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269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23181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228981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228695</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116.03</v>
      </c>
      <c r="G7" s="909"/>
      <c r="H7" s="237"/>
      <c r="I7" s="238"/>
      <c r="J7" s="239"/>
      <c r="K7" s="240"/>
      <c r="L7" s="235" t="s">
        <v>1777</v>
      </c>
      <c r="M7" s="236">
        <f>IF('数据-取费表'!B42="",IF(D1="仅计算典型户型",'数据-取费表'!E5,'数据-取费表'!B5),'数据-取费表'!B42)</f>
        <v>116.03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286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368833</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324884</v>
      </c>
      <c r="D14" s="1256" t="s">
        <v>1795</v>
      </c>
      <c r="E14" s="1257"/>
      <c r="F14" s="757"/>
      <c r="G14" s="910"/>
      <c r="H14" s="253" t="s">
        <v>1774</v>
      </c>
      <c r="I14" s="235" t="s">
        <v>1796</v>
      </c>
      <c r="J14" s="13">
        <f ca="1">C29</f>
        <v>498423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9747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4984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23206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4873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362710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7254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4984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15539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-4984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73993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498423</v>
      </c>
      <c r="D29" s="1034"/>
      <c r="E29" s="1032"/>
      <c r="F29" s="1035"/>
      <c r="G29" s="652"/>
      <c r="H29" s="271" t="s">
        <v>24</v>
      </c>
      <c r="I29" s="272" t="s">
        <v>1869</v>
      </c>
      <c r="J29" s="273">
        <f ca="1">ROUND(J26/(1+F40)^F41,0)</f>
        <v>0</v>
      </c>
      <c r="K29" s="274" t="s">
        <v>1870</v>
      </c>
      <c r="L29" s="275"/>
      <c r="M29" s="276">
        <f>IF(D1="仅计算典型户型",'数据-取费表'!E5,'数据-取费表'!B5)</f>
        <v>116.03</v>
      </c>
    </row>
    <row r="30" spans="1:37" ht="18" customHeight="1" thickTop="1">
      <c r="A30" s="1021" t="s">
        <v>14</v>
      </c>
      <c r="B30" s="1022" t="s">
        <v>1871</v>
      </c>
      <c r="C30" s="243">
        <f ca="1">ROUND(C31+C36+C37+C38,0)</f>
        <v>22889</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15246</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25818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4984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369</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2290</v>
      </c>
      <c r="D38" s="1034" t="s">
        <v>1846</v>
      </c>
      <c r="E38" s="1032" t="s">
        <v>1842</v>
      </c>
      <c r="F38" s="1027">
        <f>'数据-取费表'!B47</f>
        <v>0.01</v>
      </c>
      <c r="G38" s="652"/>
      <c r="H38" s="901"/>
      <c r="I38" s="280" t="s">
        <v>1884</v>
      </c>
      <c r="J38" s="136">
        <f ca="1">ROUND(J34/C39,3)</f>
        <v>0.125</v>
      </c>
      <c r="K38" s="906"/>
      <c r="L38" s="901"/>
      <c r="M38" s="901"/>
    </row>
    <row r="39" spans="1:18" ht="18" customHeight="1" thickTop="1">
      <c r="A39" s="1021" t="s">
        <v>22</v>
      </c>
      <c r="B39" s="1036" t="s">
        <v>1885</v>
      </c>
      <c r="C39" s="243">
        <f ca="1">C5-C30</f>
        <v>206092</v>
      </c>
      <c r="D39" s="1037" t="s">
        <v>1886</v>
      </c>
      <c r="E39" s="1038"/>
      <c r="F39" s="1039"/>
      <c r="G39" s="652"/>
      <c r="H39" s="901"/>
      <c r="I39" s="280" t="s">
        <v>1887</v>
      </c>
      <c r="J39" s="136">
        <f ca="1">1-J38</f>
        <v>0.875</v>
      </c>
      <c r="K39" s="906"/>
      <c r="L39" s="901"/>
      <c r="M39" s="901"/>
    </row>
    <row r="40" spans="1:18" s="652" customFormat="1" ht="18" customHeight="1">
      <c r="A40" s="232" t="s">
        <v>23</v>
      </c>
      <c r="B40" s="233" t="s">
        <v>1888</v>
      </c>
      <c r="C40" s="234">
        <f ca="1">ROUND(C39*(1-((1+F42)/(1+F40))^F41)/(F40-F42),0)</f>
        <v>2627030</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16</v>
      </c>
      <c r="H41" s="908"/>
      <c r="I41" s="135" t="s">
        <v>1762</v>
      </c>
      <c r="J41" s="136">
        <f ca="1">ROUND(C13/C40,3)</f>
        <v>0.14000000000000001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v>
      </c>
      <c r="K42" s="905"/>
      <c r="L42" s="908"/>
      <c r="M42" s="908"/>
      <c r="Q42" s="656"/>
    </row>
    <row r="43" spans="1:18" s="652" customFormat="1" ht="18" customHeight="1" thickBot="1">
      <c r="A43" s="271" t="s">
        <v>24</v>
      </c>
      <c r="B43" s="272" t="s">
        <v>1891</v>
      </c>
      <c r="C43" s="273">
        <f ca="1">ROUND(C40/F43,0)</f>
        <v>22641</v>
      </c>
      <c r="D43" s="274" t="s">
        <v>1892</v>
      </c>
      <c r="E43" s="275" t="s">
        <v>1893</v>
      </c>
      <c r="F43" s="276">
        <f>IF(D1="仅计算典型户型",'数据-取费表'!E5,'数据-取费表'!B5)</f>
        <v>116.03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2627030</v>
      </c>
      <c r="R45" s="1008" t="s">
        <v>1900</v>
      </c>
    </row>
    <row r="46" spans="1:18" s="652" customFormat="1" ht="18" customHeight="1" thickBot="1">
      <c r="A46" s="649"/>
      <c r="D46" s="649"/>
      <c r="E46" s="649"/>
      <c r="F46" s="649"/>
      <c r="K46" s="653"/>
      <c r="O46" s="1005" t="s">
        <v>768</v>
      </c>
      <c r="P46" s="1006" t="s">
        <v>1901</v>
      </c>
      <c r="Q46" s="1007">
        <f ca="1">J61</f>
        <v>62679</v>
      </c>
      <c r="R46" s="1008" t="s">
        <v>1902</v>
      </c>
    </row>
    <row r="47" spans="1:18" s="652" customFormat="1" ht="21.75" thickBot="1">
      <c r="A47" s="1455" t="s">
        <v>1903</v>
      </c>
      <c r="C47" s="950">
        <f ca="1">IF(C2="元",C69-C40,ROUND((C69-C40)/10000,0))</f>
        <v>-268</v>
      </c>
      <c r="D47" s="1456" t="str">
        <f>C2</f>
        <v>万元</v>
      </c>
      <c r="E47" s="649"/>
      <c r="F47" s="649"/>
      <c r="I47" s="1457" t="s">
        <v>1904</v>
      </c>
      <c r="J47" s="981"/>
      <c r="K47" s="982"/>
      <c r="L47" s="995">
        <f ca="1">IF(M48="住宅",0,IF(L49&gt;J52,L61,J61))</f>
        <v>62679</v>
      </c>
      <c r="O47" s="1009" t="s">
        <v>769</v>
      </c>
      <c r="P47" s="1006" t="s">
        <v>1905</v>
      </c>
      <c r="Q47" s="1007">
        <f ca="1">C29</f>
        <v>498423</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16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16</v>
      </c>
      <c r="R50" s="1008" t="s">
        <v>1923</v>
      </c>
    </row>
    <row r="51" spans="1:18" s="652" customFormat="1" ht="15.75" thickBot="1">
      <c r="A51" s="237"/>
      <c r="B51" s="238"/>
      <c r="C51" s="239"/>
      <c r="D51" s="240"/>
      <c r="E51" s="255" t="s">
        <v>1777</v>
      </c>
      <c r="F51" s="943">
        <f>F7</f>
        <v>116.03</v>
      </c>
      <c r="I51" s="1461" t="s">
        <v>1924</v>
      </c>
      <c r="J51" s="985">
        <f>SUMPRODUCT((I64:I66=J48)*(J63:L63=J49)*(J64:L66))</f>
        <v>50</v>
      </c>
      <c r="K51" s="1465" t="s">
        <v>1925</v>
      </c>
      <c r="L51" s="984"/>
      <c r="O51" s="1005" t="s">
        <v>773</v>
      </c>
      <c r="P51" s="1006" t="str">
        <f>IF(C2="元","收益价值(元)","收益价值(万元)")</f>
        <v>收益价值(万元)</v>
      </c>
      <c r="Q51" s="1007">
        <f ca="1">ROUND(IF(C2="元",Q45+Q46,(Q45+Q46)/10000),0)</f>
        <v>269</v>
      </c>
      <c r="R51" s="1008" t="s">
        <v>774</v>
      </c>
    </row>
    <row r="52" spans="1:18" s="652" customFormat="1" ht="16.5" thickBot="1">
      <c r="A52" s="237"/>
      <c r="B52" s="238"/>
      <c r="C52" s="239"/>
      <c r="D52" s="240"/>
      <c r="E52" s="235" t="s">
        <v>1779</v>
      </c>
      <c r="F52" s="236">
        <f>F8</f>
        <v>365</v>
      </c>
      <c r="I52" s="1466" t="s">
        <v>1926</v>
      </c>
      <c r="J52" s="986">
        <f>IF(J50="",J51,J50+J51-YEAR('数据-取费表'!B2))</f>
        <v>28</v>
      </c>
      <c r="K52" s="1467" t="s">
        <v>1927</v>
      </c>
      <c r="L52" s="987">
        <f ca="1">ROUND(-PV('数据-取费表'!B15,J52,(C40-C13*J35)),0)</f>
        <v>38753183</v>
      </c>
      <c r="O52" s="999" t="s">
        <v>1928</v>
      </c>
      <c r="P52" s="1000"/>
      <c r="Q52" s="996"/>
      <c r="R52" s="1000"/>
    </row>
    <row r="53" spans="1:18" s="652" customFormat="1" ht="15.75" thickBot="1">
      <c r="A53" s="241"/>
      <c r="B53" s="242"/>
      <c r="C53" s="243"/>
      <c r="D53" s="244"/>
      <c r="E53" s="235" t="s">
        <v>1780</v>
      </c>
      <c r="F53" s="994"/>
      <c r="I53" s="1468" t="s">
        <v>1929</v>
      </c>
      <c r="J53" s="988">
        <f>'数据-取费表'!B16+0.02</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16</v>
      </c>
      <c r="K54" s="3604" t="s">
        <v>2460</v>
      </c>
      <c r="L54" s="3605"/>
      <c r="O54" s="1005" t="s">
        <v>767</v>
      </c>
      <c r="P54" s="1006" t="s">
        <v>1899</v>
      </c>
      <c r="Q54" s="1007">
        <f ca="1">C40+J29</f>
        <v>2627030</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0.255</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368833</v>
      </c>
      <c r="D57" s="941"/>
      <c r="E57" s="942"/>
      <c r="F57" s="949"/>
      <c r="I57" s="1475" t="s">
        <v>1936</v>
      </c>
      <c r="J57" s="993" t="s">
        <v>3039</v>
      </c>
      <c r="K57" s="1461" t="s">
        <v>1937</v>
      </c>
      <c r="L57" s="821" t="str">
        <f>IF(L49&lt;J52,"——",L49-J52)</f>
        <v>——</v>
      </c>
      <c r="O57" s="1009" t="s">
        <v>770</v>
      </c>
      <c r="P57" s="1006" t="s">
        <v>1938</v>
      </c>
      <c r="Q57" s="1010">
        <f>L53</f>
        <v>0</v>
      </c>
      <c r="R57" s="1008"/>
    </row>
    <row r="58" spans="1:18" s="652" customFormat="1" ht="29.25" thickBot="1">
      <c r="A58" s="948"/>
      <c r="B58" s="235" t="s">
        <v>1868</v>
      </c>
      <c r="C58" s="104">
        <f ca="1">C29</f>
        <v>498423</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5353</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199369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263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62679</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2627030</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4984</v>
      </c>
      <c r="D65" s="1259" t="s">
        <v>1881</v>
      </c>
      <c r="E65" s="235" t="s">
        <v>1825</v>
      </c>
      <c r="F65" s="265">
        <f t="shared" si="0"/>
        <v>0.01</v>
      </c>
      <c r="I65" s="1479" t="s">
        <v>1961</v>
      </c>
      <c r="J65" s="1251">
        <v>50</v>
      </c>
      <c r="K65" s="1251">
        <v>35</v>
      </c>
      <c r="L65" s="1251">
        <v>60</v>
      </c>
      <c r="M65" s="1250">
        <v>0</v>
      </c>
      <c r="O65" s="1009" t="s">
        <v>769</v>
      </c>
      <c r="P65" s="1006" t="s">
        <v>1935</v>
      </c>
      <c r="Q65" s="1011">
        <f ca="1">L52</f>
        <v>38753183</v>
      </c>
      <c r="R65" s="1012" t="s">
        <v>1962</v>
      </c>
    </row>
    <row r="66" spans="1:18" s="652" customFormat="1" ht="20.25" thickBot="1">
      <c r="A66" s="253" t="s">
        <v>20</v>
      </c>
      <c r="B66" s="235" t="s">
        <v>1840</v>
      </c>
      <c r="C66" s="13">
        <f ca="1">ROUND(C57*F66,0)</f>
        <v>369</v>
      </c>
      <c r="D66" s="1259" t="s">
        <v>1841</v>
      </c>
      <c r="E66" s="235" t="s">
        <v>1842</v>
      </c>
      <c r="F66" s="266">
        <f t="shared" si="0"/>
        <v>1E-3</v>
      </c>
      <c r="I66" s="1479" t="s">
        <v>1963</v>
      </c>
      <c r="J66" s="1251">
        <v>40</v>
      </c>
      <c r="K66" s="1251">
        <v>30</v>
      </c>
      <c r="L66" s="1251">
        <v>50</v>
      </c>
      <c r="M66" s="1249">
        <v>0.02</v>
      </c>
      <c r="O66" s="1009" t="s">
        <v>770</v>
      </c>
      <c r="P66" s="1013" t="s">
        <v>1964</v>
      </c>
      <c r="Q66" s="1007">
        <f ca="1">ROUND(Q67-Q68*Q69,0)</f>
        <v>180274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206092</v>
      </c>
      <c r="R67" s="1008" t="s">
        <v>1900</v>
      </c>
    </row>
    <row r="68" spans="1:18" ht="15.75" thickBot="1">
      <c r="A68" s="248" t="s">
        <v>22</v>
      </c>
      <c r="B68" s="41" t="s">
        <v>1850</v>
      </c>
      <c r="C68" s="250">
        <f ca="1">C49-C59</f>
        <v>-5353</v>
      </c>
      <c r="D68" s="1256" t="s">
        <v>1851</v>
      </c>
      <c r="E68" s="1258"/>
      <c r="F68" s="268"/>
      <c r="H68" s="652"/>
      <c r="I68" s="652"/>
      <c r="J68" s="652"/>
      <c r="K68" s="652"/>
      <c r="L68" s="652"/>
      <c r="M68" s="652"/>
      <c r="O68" s="1009" t="s">
        <v>776</v>
      </c>
      <c r="P68" s="1013" t="s">
        <v>1966</v>
      </c>
      <c r="Q68" s="1007">
        <f ca="1">C13</f>
        <v>368833</v>
      </c>
      <c r="R68" s="1008" t="s">
        <v>1900</v>
      </c>
    </row>
    <row r="69" spans="1:18" ht="15.75" thickBot="1">
      <c r="A69" s="232" t="s">
        <v>23</v>
      </c>
      <c r="B69" s="233" t="s">
        <v>1888</v>
      </c>
      <c r="C69" s="234">
        <f ca="1">ROUND(C68*(1-((1+F71)/(1+F69))^F70)/(F69-F71),0)</f>
        <v>-56004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-483</v>
      </c>
      <c r="D72" s="274" t="s">
        <v>1892</v>
      </c>
      <c r="E72" s="275" t="s">
        <v>1893</v>
      </c>
      <c r="F72" s="276">
        <f>F43</f>
        <v>116.03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263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0" t="s">
        <v>2669</v>
      </c>
      <c r="B6" s="3621"/>
      <c r="C6" s="3622"/>
      <c r="D6" s="3154"/>
      <c r="E6" s="3098"/>
      <c r="F6" s="3099"/>
      <c r="G6" s="3199"/>
      <c r="H6" s="3185"/>
      <c r="I6" s="3186"/>
      <c r="J6" s="3606">
        <v>1</v>
      </c>
      <c r="K6" s="360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6"/>
      <c r="K7" s="360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3" t="s">
        <v>2682</v>
      </c>
      <c r="C8" s="3624"/>
      <c r="D8" s="3108" t="s">
        <v>2683</v>
      </c>
      <c r="E8" s="3109" t="s">
        <v>2684</v>
      </c>
      <c r="F8" s="3092" t="s">
        <v>2685</v>
      </c>
      <c r="G8" s="3262" t="s">
        <v>2793</v>
      </c>
      <c r="H8" s="3185"/>
      <c r="I8" s="3186"/>
      <c r="J8" s="3606"/>
      <c r="K8" s="360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3" t="s">
        <v>2687</v>
      </c>
      <c r="C9" s="3624"/>
      <c r="D9" s="3108">
        <f>ROUND(D6*E9,0)</f>
        <v>0</v>
      </c>
      <c r="E9" s="3155"/>
      <c r="F9" s="3110" t="s">
        <v>2688</v>
      </c>
      <c r="G9" s="3208" t="s">
        <v>2791</v>
      </c>
      <c r="H9" s="3185"/>
      <c r="I9" s="3186"/>
      <c r="J9" s="3606"/>
      <c r="K9" s="3608"/>
      <c r="L9" s="3203" t="s">
        <v>2781</v>
      </c>
      <c r="M9" s="3204"/>
      <c r="N9" s="3204"/>
      <c r="O9" s="3205"/>
      <c r="P9" s="3205"/>
      <c r="Q9" s="3206">
        <v>365</v>
      </c>
      <c r="R9" s="3207">
        <f t="shared" si="0"/>
        <v>0</v>
      </c>
      <c r="S9" s="3183"/>
      <c r="T9" s="3183"/>
      <c r="U9" s="3183"/>
      <c r="V9" s="3186"/>
      <c r="W9" s="3185"/>
    </row>
    <row r="10" spans="1:23" s="3091" customFormat="1" ht="13.15" customHeight="1">
      <c r="A10" s="3107">
        <v>2</v>
      </c>
      <c r="B10" s="3623" t="s">
        <v>2689</v>
      </c>
      <c r="C10" s="3624"/>
      <c r="D10" s="3108">
        <f>ROUND(D6*E10,0)</f>
        <v>0</v>
      </c>
      <c r="E10" s="3155"/>
      <c r="F10" s="3110" t="s">
        <v>2690</v>
      </c>
      <c r="G10" s="3208" t="s">
        <v>2792</v>
      </c>
      <c r="H10" s="3185"/>
      <c r="I10" s="3186"/>
      <c r="J10" s="3606"/>
      <c r="K10" s="360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3" t="s">
        <v>2691</v>
      </c>
      <c r="C11" s="3624"/>
      <c r="D11" s="3108">
        <f>D12+D14+D15+D16</f>
        <v>0</v>
      </c>
      <c r="E11" s="3111" t="e">
        <f>D11/D6</f>
        <v>#DIV/0!</v>
      </c>
      <c r="F11" s="3092"/>
      <c r="G11" s="3208"/>
      <c r="H11" s="3185"/>
      <c r="I11" s="3186"/>
      <c r="J11" s="3606"/>
      <c r="K11" s="360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6" t="s">
        <v>2693</v>
      </c>
      <c r="C12" s="3617"/>
      <c r="D12" s="3113">
        <f>ROUND(D13*1.2%*(1-30%),0)</f>
        <v>0</v>
      </c>
      <c r="E12" s="3114">
        <v>1.2E-2</v>
      </c>
      <c r="F12" s="3092" t="s">
        <v>2694</v>
      </c>
      <c r="G12" s="3208"/>
      <c r="H12" s="3185"/>
      <c r="I12" s="3186"/>
      <c r="J12" s="3606"/>
      <c r="K12" s="360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6"/>
      <c r="K13" s="360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6" t="s">
        <v>2697</v>
      </c>
      <c r="C14" s="3617"/>
      <c r="D14" s="3113">
        <f>ROUND(E14*B5/10000,0)</f>
        <v>0</v>
      </c>
      <c r="E14" s="3157"/>
      <c r="F14" s="3092" t="s">
        <v>2698</v>
      </c>
      <c r="G14" s="3208"/>
      <c r="H14" s="3185"/>
      <c r="I14" s="3186"/>
      <c r="J14" s="3606"/>
      <c r="K14" s="360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6" t="s">
        <v>2701</v>
      </c>
      <c r="C15" s="3617"/>
      <c r="D15" s="3113">
        <f>ROUND(D6*E15,0)</f>
        <v>0</v>
      </c>
      <c r="E15" s="3114">
        <v>5.5E-2</v>
      </c>
      <c r="F15" s="3092" t="s">
        <v>2702</v>
      </c>
      <c r="G15" s="3208"/>
      <c r="H15" s="3185"/>
      <c r="I15" s="3186"/>
      <c r="J15" s="3606">
        <v>2</v>
      </c>
      <c r="K15" s="360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6" t="s">
        <v>2712</v>
      </c>
      <c r="C16" s="3617"/>
      <c r="D16" s="3158">
        <f>D6*E16</f>
        <v>0</v>
      </c>
      <c r="E16" s="3159"/>
      <c r="F16" s="3110" t="s">
        <v>2713</v>
      </c>
      <c r="G16" s="3208"/>
      <c r="H16" s="3185"/>
      <c r="I16" s="3186"/>
      <c r="J16" s="3606"/>
      <c r="K16" s="360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8" t="s">
        <v>2714</v>
      </c>
      <c r="C17" s="3619"/>
      <c r="D17" s="3119">
        <f>ROUND(D6*E17,0)</f>
        <v>0</v>
      </c>
      <c r="E17" s="3160"/>
      <c r="F17" s="3120" t="s">
        <v>2715</v>
      </c>
      <c r="G17" s="3261">
        <v>0.1</v>
      </c>
      <c r="H17" s="3185"/>
      <c r="I17" s="3186"/>
      <c r="J17" s="3606"/>
      <c r="K17" s="360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6"/>
      <c r="K18" s="360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6"/>
      <c r="K19" s="360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6">
        <v>3</v>
      </c>
      <c r="K20" s="360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6"/>
      <c r="K21" s="360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6"/>
      <c r="K22" s="360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6"/>
      <c r="K23" s="360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6"/>
      <c r="K24" s="360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0">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6">
        <v>1</v>
      </c>
      <c r="K36" s="360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6"/>
      <c r="K37" s="360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6"/>
      <c r="K38" s="360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6"/>
      <c r="K39" s="360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6"/>
      <c r="K40" s="360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0">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116.03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0" t="s">
        <v>2007</v>
      </c>
      <c r="D4" s="3571"/>
      <c r="E4" s="3572" t="s">
        <v>2008</v>
      </c>
      <c r="F4" s="3573"/>
      <c r="G4" s="3570" t="s">
        <v>2009</v>
      </c>
      <c r="H4" s="3571"/>
      <c r="I4" s="3570" t="s">
        <v>2010</v>
      </c>
      <c r="J4" s="3571"/>
      <c r="K4" s="1593"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7" t="s">
        <v>2009</v>
      </c>
      <c r="AC4" s="3567" t="s">
        <v>2010</v>
      </c>
    </row>
    <row r="5" spans="1:29" ht="15">
      <c r="A5" s="1596"/>
      <c r="B5" s="1597"/>
      <c r="C5" s="3563" t="s">
        <v>2013</v>
      </c>
      <c r="D5" s="3564"/>
      <c r="E5" s="3587" t="s">
        <v>2014</v>
      </c>
      <c r="F5" s="3588"/>
      <c r="G5" s="3563" t="s">
        <v>2015</v>
      </c>
      <c r="H5" s="3564"/>
      <c r="I5" s="3563" t="s">
        <v>2016</v>
      </c>
      <c r="J5" s="3564"/>
      <c r="K5" s="1598"/>
      <c r="L5" s="2915"/>
      <c r="M5" s="2916"/>
      <c r="N5" s="2916"/>
      <c r="O5" s="2916"/>
      <c r="P5" s="3576"/>
      <c r="Q5" s="3577"/>
      <c r="R5" s="3582"/>
      <c r="S5" s="3583"/>
      <c r="T5" s="3582"/>
      <c r="U5" s="3583"/>
      <c r="V5" s="3586"/>
      <c r="W5" s="3586"/>
      <c r="X5" s="1594"/>
      <c r="Y5" s="3582"/>
      <c r="Z5" s="3583"/>
      <c r="AA5" s="3568"/>
      <c r="AB5" s="3568"/>
      <c r="AC5" s="3568"/>
    </row>
    <row r="6" spans="1:29" ht="15.75" thickBot="1">
      <c r="A6" s="1599"/>
      <c r="B6" s="1600"/>
      <c r="C6" s="3560" t="s">
        <v>2017</v>
      </c>
      <c r="D6" s="3561"/>
      <c r="E6" s="3558" t="s">
        <v>2017</v>
      </c>
      <c r="F6" s="3559"/>
      <c r="G6" s="3560" t="s">
        <v>2017</v>
      </c>
      <c r="H6" s="3561"/>
      <c r="I6" s="3560" t="s">
        <v>2017</v>
      </c>
      <c r="J6" s="3561"/>
      <c r="K6" s="1598" t="s">
        <v>2018</v>
      </c>
      <c r="L6" s="2915"/>
      <c r="M6" s="2916"/>
      <c r="N6" s="2916"/>
      <c r="O6" s="2916"/>
      <c r="P6" s="3578"/>
      <c r="Q6" s="3579"/>
      <c r="R6" s="3582"/>
      <c r="S6" s="3583"/>
      <c r="T6" s="3584"/>
      <c r="U6" s="3585"/>
      <c r="V6" s="3586"/>
      <c r="W6" s="3586"/>
      <c r="X6" s="1594"/>
      <c r="Y6" s="3584"/>
      <c r="Z6" s="3585"/>
      <c r="AA6" s="3569"/>
      <c r="AB6" s="3569"/>
      <c r="AC6" s="3569"/>
    </row>
    <row r="7" spans="1:29" s="1613" customFormat="1" ht="15.75" thickBot="1">
      <c r="A7" s="1601" t="s">
        <v>2019</v>
      </c>
      <c r="B7" s="1602"/>
      <c r="C7" s="1603">
        <f>'数据-取费表'!B2</f>
        <v>44720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5" t="s">
        <v>2020</v>
      </c>
      <c r="Q7" s="3589"/>
      <c r="R7" s="1609" t="s">
        <v>34</v>
      </c>
      <c r="S7" s="1610">
        <f t="shared" ref="S7:S15" si="0">F7</f>
        <v>0</v>
      </c>
      <c r="T7" s="1609" t="s">
        <v>34</v>
      </c>
      <c r="U7" s="1610">
        <f t="shared" ref="U7:U15" si="1">H7</f>
        <v>0</v>
      </c>
      <c r="V7" s="1609" t="s">
        <v>34</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5" t="s">
        <v>2023</v>
      </c>
      <c r="Q8" s="3566"/>
      <c r="R8" s="1609" t="s">
        <v>34</v>
      </c>
      <c r="S8" s="1610">
        <f t="shared" si="0"/>
        <v>0</v>
      </c>
      <c r="T8" s="1609" t="s">
        <v>34</v>
      </c>
      <c r="U8" s="1610">
        <f t="shared" si="1"/>
        <v>0</v>
      </c>
      <c r="V8" s="1609" t="s">
        <v>34</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6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62"/>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62"/>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62"/>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62"/>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62"/>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9" t="str">
        <f>A47</f>
        <v>成交单价（元/平方米）</v>
      </c>
      <c r="Q47" s="3599"/>
      <c r="R47" s="3600">
        <f>E47</f>
        <v>0</v>
      </c>
      <c r="S47" s="3600"/>
      <c r="T47" s="3600">
        <f>G47</f>
        <v>0</v>
      </c>
      <c r="U47" s="3600"/>
      <c r="V47" s="3600">
        <f>I47</f>
        <v>0</v>
      </c>
      <c r="W47" s="360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9" t="str">
        <f>A48</f>
        <v>比较价值（元/平方米）</v>
      </c>
      <c r="Q48" s="3599"/>
      <c r="R48" s="3600" t="e">
        <f>IF(E1="售价",ROUND(PRODUCT(R47,AA7:AA46),0),ROUND(PRODUCT(R47,AA7:AA46),1))</f>
        <v>#DIV/0!</v>
      </c>
      <c r="S48" s="3600"/>
      <c r="T48" s="3631" t="e">
        <f>IF(E1="售价",ROUND(PRODUCT(T47,AB7:AB46),0),ROUND(PRODUCT(T47,AB7:AB46),1))</f>
        <v>#DIV/0!</v>
      </c>
      <c r="U48" s="3632"/>
      <c r="V48" s="3600" t="e">
        <f>IF(E1="售价",ROUND(PRODUCT(V47,AC7:AC46),0),ROUND(PRODUCT(V47,AC7:AC46),1))</f>
        <v>#DIV/0!</v>
      </c>
      <c r="W48" s="360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116.03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67" t="s">
        <v>2009</v>
      </c>
      <c r="AC4" s="3567" t="s">
        <v>2010</v>
      </c>
    </row>
    <row r="5" spans="1:29" ht="15">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2003"/>
      <c r="Y5" s="3582"/>
      <c r="Z5" s="3583"/>
      <c r="AA5" s="3568"/>
      <c r="AB5" s="3568"/>
      <c r="AC5" s="3568"/>
    </row>
    <row r="6" spans="1:29"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69"/>
      <c r="AC6" s="3569"/>
    </row>
    <row r="7" spans="1:29" s="1613" customFormat="1" ht="15.75" thickBot="1">
      <c r="A7" s="1601" t="s">
        <v>2019</v>
      </c>
      <c r="B7" s="1602"/>
      <c r="C7" s="1603">
        <f>'数据-取费表'!B2</f>
        <v>44720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9"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9"/>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9"/>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9"/>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9"/>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9"/>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7"/>
      <c r="Q37" s="2834"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9" t="str">
        <f>A48</f>
        <v>成交单价（元/平方米）</v>
      </c>
      <c r="Q48" s="3599"/>
      <c r="R48" s="3600">
        <f>E48</f>
        <v>0</v>
      </c>
      <c r="S48" s="3600"/>
      <c r="T48" s="3600">
        <f>G48</f>
        <v>0</v>
      </c>
      <c r="U48" s="3600"/>
      <c r="V48" s="3600">
        <f>I48</f>
        <v>0</v>
      </c>
      <c r="W48" s="3600"/>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9" t="str">
        <f>A49</f>
        <v>比较价值（元/平方米）</v>
      </c>
      <c r="Q49" s="3599"/>
      <c r="R49" s="3600" t="e">
        <f>IF(E1="售价",ROUND(PRODUCT(R48,AA7:AA47),0),ROUND(PRODUCT(R48,AA7:AA47),1))</f>
        <v>#DIV/0!</v>
      </c>
      <c r="S49" s="3600"/>
      <c r="T49" s="3600" t="e">
        <f>IF(E1="售价",ROUND(PRODUCT(T48,AB7:AB47),0),ROUND(PRODUCT(T48,AB7:AB47),1))</f>
        <v>#DIV/0!</v>
      </c>
      <c r="U49" s="3600"/>
      <c r="V49" s="3600" t="e">
        <f>IF(E1="售价",ROUND(PRODUCT(V48,AC7:AC47),0),ROUND(PRODUCT(V48,AC7:AC47),1))</f>
        <v>#DIV/0!</v>
      </c>
      <c r="W49" s="3600"/>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01" t="str">
        <f>A50</f>
        <v>估价对象XX用房的比较价值（楼面单价，元/平方米）</v>
      </c>
      <c r="Q50" s="3602"/>
      <c r="R50" s="3603" t="e">
        <f>IF(E1="售价",ROUND(IF(D49="简单平均",AVERAGE(R49:V49),R49*F49+T49*H49+V49*J49),0),ROUND(IF(D49="简单平均",AVERAGE(R49:V49),R49*F49+T49*H49+V49*J49),1))</f>
        <v>#DIV/0!</v>
      </c>
      <c r="S50" s="3603"/>
      <c r="T50" s="3603"/>
      <c r="U50" s="3603"/>
      <c r="V50" s="3603"/>
      <c r="W50" s="3603"/>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116.03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116.03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116.03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8" t="s">
        <v>2009</v>
      </c>
      <c r="AC4" s="3567" t="s">
        <v>2010</v>
      </c>
    </row>
    <row r="5" spans="1:30" ht="15">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1594"/>
      <c r="Y5" s="3582"/>
      <c r="Z5" s="3583"/>
      <c r="AA5" s="3568"/>
      <c r="AB5" s="3568"/>
      <c r="AC5" s="3568"/>
    </row>
    <row r="6" spans="1:30" ht="15.7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1594"/>
      <c r="Y6" s="3584"/>
      <c r="Z6" s="3585"/>
      <c r="AA6" s="3569"/>
      <c r="AB6" s="3569"/>
      <c r="AC6" s="3569"/>
    </row>
    <row r="7" spans="1:30" s="1613" customFormat="1" ht="15.75" thickBot="1">
      <c r="A7" s="1601" t="s">
        <v>2019</v>
      </c>
      <c r="B7" s="1602"/>
      <c r="C7" s="1603">
        <f>'数据-取费表'!B2</f>
        <v>44720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9"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158</v>
      </c>
      <c r="G10" s="1686"/>
      <c r="H10" s="1626">
        <f>ROUND(100/'数据-取费表'!B14,0)</f>
        <v>158</v>
      </c>
      <c r="I10" s="1686"/>
      <c r="J10" s="1626">
        <f>ROUND(100/'数据-取费表'!B14,0)</f>
        <v>158</v>
      </c>
      <c r="K10" s="1898"/>
      <c r="L10" s="2917"/>
      <c r="M10" s="2918"/>
      <c r="N10" s="2918"/>
      <c r="O10" s="2963"/>
      <c r="P10" s="3599"/>
      <c r="Q10" s="1563" t="str">
        <f t="shared" si="6"/>
        <v>土地使用年限（年）</v>
      </c>
      <c r="R10" s="1609" t="s">
        <v>25</v>
      </c>
      <c r="S10" s="1610">
        <f t="shared" si="0"/>
        <v>158</v>
      </c>
      <c r="T10" s="1609" t="s">
        <v>25</v>
      </c>
      <c r="U10" s="1610">
        <f t="shared" si="1"/>
        <v>158</v>
      </c>
      <c r="V10" s="1609" t="s">
        <v>25</v>
      </c>
      <c r="W10" s="1610">
        <f t="shared" si="2"/>
        <v>158</v>
      </c>
      <c r="X10" s="1611"/>
      <c r="Y10" s="3488"/>
      <c r="Z10" s="1622" t="str">
        <f t="shared" si="7"/>
        <v>土地使用年限（年）</v>
      </c>
      <c r="AA10" s="1612">
        <f t="shared" si="3"/>
        <v>0.63291139240506333</v>
      </c>
      <c r="AB10" s="1612">
        <f t="shared" si="4"/>
        <v>0.63291139240506333</v>
      </c>
      <c r="AC10" s="1612">
        <f t="shared" si="5"/>
        <v>0.63291139240506333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9"/>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9"/>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9"/>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9"/>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9" t="str">
        <f>A46</f>
        <v>成交单价</v>
      </c>
      <c r="Q46" s="3599"/>
      <c r="R46" s="3586">
        <f>E46</f>
        <v>0</v>
      </c>
      <c r="S46" s="3586"/>
      <c r="T46" s="3586">
        <f>G46</f>
        <v>0</v>
      </c>
      <c r="U46" s="3586"/>
      <c r="V46" s="3586">
        <f>I46</f>
        <v>0</v>
      </c>
      <c r="W46" s="358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9" t="str">
        <f>A47</f>
        <v>比较价值（元/平方米）</v>
      </c>
      <c r="Q47" s="3599"/>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1" t="str">
        <f>A48</f>
        <v>估价对象XX用房的比较价值（楼面单价，元/平方米）</v>
      </c>
      <c r="Q48" s="3602"/>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158</v>
      </c>
      <c r="G10" s="322"/>
      <c r="H10" s="29">
        <f>ROUND(100/'数据-取费表'!B14,0)</f>
        <v>158</v>
      </c>
      <c r="I10" s="322"/>
      <c r="J10" s="29">
        <f>ROUND(100/'数据-取费表'!B14,0)</f>
        <v>158</v>
      </c>
      <c r="K10" s="553"/>
      <c r="L10" s="2948"/>
      <c r="M10" s="2949"/>
      <c r="N10" s="2949"/>
      <c r="O10" s="2950"/>
      <c r="P10" s="3638"/>
      <c r="Q10" s="1255" t="str">
        <f t="shared" si="6"/>
        <v>土地使用年限（年）</v>
      </c>
      <c r="R10" s="627" t="s">
        <v>25</v>
      </c>
      <c r="S10" s="628">
        <f t="shared" si="0"/>
        <v>158</v>
      </c>
      <c r="T10" s="627" t="s">
        <v>25</v>
      </c>
      <c r="U10" s="628">
        <f t="shared" si="1"/>
        <v>158</v>
      </c>
      <c r="V10" s="627" t="s">
        <v>25</v>
      </c>
      <c r="W10" s="628">
        <f t="shared" si="2"/>
        <v>158</v>
      </c>
      <c r="X10" s="629"/>
      <c r="Y10" s="3668"/>
      <c r="Z10" s="19" t="str">
        <f t="shared" si="7"/>
        <v>土地使用年限（年）</v>
      </c>
      <c r="AA10" s="630">
        <f t="shared" si="3"/>
        <v>0.63291139240506333</v>
      </c>
      <c r="AB10" s="630">
        <f t="shared" si="4"/>
        <v>0.63291139240506333</v>
      </c>
      <c r="AC10" s="630">
        <f t="shared" si="5"/>
        <v>0.63291139240506333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估价对象为北京市房地产，为XX所有。根据《》[]，估价对象建筑面积为116.03平方米。根据《》[]，估价对象（分摊）出让国有建设用地使用权面积为平方米。估价对象用途为。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116.03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44720</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0.56030000000000002</v>
      </c>
      <c r="D20" s="2130" t="s">
        <v>2354</v>
      </c>
      <c r="E20" s="3072">
        <f>存贷款利率!E21/100</f>
        <v>4.3499999999999997E-2</v>
      </c>
      <c r="F20" s="2130" t="s">
        <v>2343</v>
      </c>
      <c r="G20" s="3073">
        <f>SUMIF(M26:P26,E2,M28:P28)</f>
        <v>0.05</v>
      </c>
      <c r="H20" s="2130" t="s">
        <v>2355</v>
      </c>
      <c r="I20" s="2131">
        <f>'数据-取费表'!B13</f>
        <v>16</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116.03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2"/>
      <c r="C21" s="740" t="s">
        <v>2814</v>
      </c>
      <c r="D21" s="741"/>
      <c r="E21" s="3294">
        <v>1</v>
      </c>
      <c r="F21" s="3293" t="s">
        <v>2815</v>
      </c>
      <c r="G21" s="3293"/>
    </row>
    <row r="22" spans="1:13" ht="19.5" customHeight="1">
      <c r="A22" s="3714"/>
      <c r="B22" s="3712"/>
      <c r="C22" s="740" t="s">
        <v>2816</v>
      </c>
      <c r="D22" s="741"/>
      <c r="E22" s="3294">
        <v>0.9</v>
      </c>
      <c r="F22" s="3293" t="s">
        <v>2817</v>
      </c>
      <c r="G22" s="3293"/>
    </row>
    <row r="23" spans="1:13" ht="19.5" customHeight="1">
      <c r="A23" s="3714"/>
      <c r="B23" s="3712"/>
      <c r="C23" s="740" t="s">
        <v>2818</v>
      </c>
      <c r="D23" s="741"/>
      <c r="E23" s="3294">
        <v>0.9</v>
      </c>
      <c r="F23" s="3293" t="s">
        <v>2819</v>
      </c>
      <c r="G23" s="3293"/>
    </row>
    <row r="24" spans="1:13" ht="19.5" customHeight="1">
      <c r="A24" s="3714"/>
      <c r="B24" s="3712"/>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2"/>
      <c r="C28" s="740" t="s">
        <v>2826</v>
      </c>
      <c r="D28" s="741"/>
      <c r="E28" s="3294">
        <v>1</v>
      </c>
      <c r="F28" s="3293" t="s">
        <v>2867</v>
      </c>
      <c r="G28" s="3293"/>
    </row>
    <row r="29" spans="1:13" ht="19.5" customHeight="1">
      <c r="A29" s="3719"/>
      <c r="B29" s="3712"/>
      <c r="C29" s="740" t="s">
        <v>2827</v>
      </c>
      <c r="D29" s="741"/>
      <c r="E29" s="3294">
        <v>0.8</v>
      </c>
      <c r="F29" s="3293" t="s">
        <v>2868</v>
      </c>
      <c r="G29" s="3293"/>
    </row>
    <row r="30" spans="1:13" ht="19.5" customHeight="1">
      <c r="A30" s="3719"/>
      <c r="B30" s="3712"/>
      <c r="C30" s="740" t="s">
        <v>2828</v>
      </c>
      <c r="D30" s="741"/>
      <c r="E30" s="3294">
        <v>0.8</v>
      </c>
      <c r="F30" s="3293" t="s">
        <v>2869</v>
      </c>
      <c r="G30" s="3293"/>
    </row>
    <row r="31" spans="1:13" ht="19.5" customHeight="1">
      <c r="A31" s="3719"/>
      <c r="B31" s="3712"/>
      <c r="C31" s="740" t="s">
        <v>2829</v>
      </c>
      <c r="D31" s="741"/>
      <c r="E31" s="3294">
        <v>0.8</v>
      </c>
      <c r="F31" s="3293" t="s">
        <v>2870</v>
      </c>
      <c r="G31" s="3293"/>
    </row>
    <row r="32" spans="1:13" ht="19.5" customHeight="1">
      <c r="A32" s="3719"/>
      <c r="B32" s="3712"/>
      <c r="C32" s="740" t="s">
        <v>2830</v>
      </c>
      <c r="D32" s="741"/>
      <c r="E32" s="3294">
        <v>0.7</v>
      </c>
      <c r="F32" s="3293" t="s">
        <v>2871</v>
      </c>
      <c r="G32" s="3293"/>
    </row>
    <row r="33" spans="1:7" ht="19.5" customHeight="1">
      <c r="A33" s="3719"/>
      <c r="B33" s="3712"/>
      <c r="C33" s="740" t="s">
        <v>2831</v>
      </c>
      <c r="D33" s="741"/>
      <c r="E33" s="3294">
        <v>0.8</v>
      </c>
      <c r="F33" s="3293" t="s">
        <v>2872</v>
      </c>
      <c r="G33" s="3293"/>
    </row>
    <row r="34" spans="1:7" ht="19.5" customHeight="1">
      <c r="A34" s="3719"/>
      <c r="B34" s="3712"/>
      <c r="C34" s="740" t="s">
        <v>2832</v>
      </c>
      <c r="D34" s="741"/>
      <c r="E34" s="3294">
        <v>0.6</v>
      </c>
      <c r="F34" s="3293" t="s">
        <v>2873</v>
      </c>
      <c r="G34" s="3293"/>
    </row>
    <row r="35" spans="1:7" ht="19.5" customHeight="1">
      <c r="A35" s="3719"/>
      <c r="B35" s="3712"/>
      <c r="C35" s="740" t="s">
        <v>2833</v>
      </c>
      <c r="D35" s="741"/>
      <c r="E35" s="3294">
        <v>0.2</v>
      </c>
      <c r="F35" s="3293" t="s">
        <v>2874</v>
      </c>
      <c r="G35" s="3293"/>
    </row>
    <row r="36" spans="1:7" ht="19.5" customHeight="1">
      <c r="A36" s="3719"/>
      <c r="B36" s="3712"/>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2"/>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2"/>
      <c r="C42" s="740" t="s">
        <v>2845</v>
      </c>
      <c r="D42" s="741"/>
      <c r="E42" s="3294">
        <v>1</v>
      </c>
      <c r="F42" s="3293" t="s">
        <v>2846</v>
      </c>
      <c r="G42" s="3293"/>
    </row>
    <row r="43" spans="1:7" ht="19.5" customHeight="1">
      <c r="A43" s="3714"/>
      <c r="B43" s="3711"/>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2"/>
      <c r="C46" s="740" t="s">
        <v>2853</v>
      </c>
      <c r="D46" s="741"/>
      <c r="E46" s="3294">
        <v>1</v>
      </c>
      <c r="F46" s="3293" t="s">
        <v>2854</v>
      </c>
      <c r="G46" s="3293"/>
    </row>
    <row r="47" spans="1:7" ht="19.5" customHeight="1">
      <c r="A47" s="3714"/>
      <c r="B47" s="3712"/>
      <c r="C47" s="740" t="s">
        <v>2855</v>
      </c>
      <c r="D47" s="741"/>
      <c r="E47" s="3294">
        <v>1</v>
      </c>
      <c r="F47" s="3293" t="s">
        <v>2856</v>
      </c>
      <c r="G47" s="3293"/>
    </row>
    <row r="48" spans="1:7" ht="19.5" customHeight="1">
      <c r="A48" s="3714"/>
      <c r="B48" s="3712"/>
      <c r="C48" s="740" t="s">
        <v>2857</v>
      </c>
      <c r="D48" s="741"/>
      <c r="E48" s="3294">
        <v>1</v>
      </c>
      <c r="F48" s="3293" t="s">
        <v>2858</v>
      </c>
      <c r="G48" s="3293"/>
    </row>
    <row r="49" spans="1:7" ht="19.5" customHeight="1">
      <c r="A49" s="3714"/>
      <c r="B49" s="3712"/>
      <c r="C49" s="740" t="s">
        <v>2859</v>
      </c>
      <c r="D49" s="741"/>
      <c r="E49" s="3294">
        <v>1</v>
      </c>
      <c r="F49" s="3293" t="s">
        <v>2860</v>
      </c>
      <c r="G49" s="3293"/>
    </row>
    <row r="50" spans="1:7" ht="19.5" customHeight="1">
      <c r="A50" s="3714"/>
      <c r="B50" s="3712"/>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0" t="s">
        <v>2881</v>
      </c>
      <c r="C73" s="3284" t="s">
        <v>2882</v>
      </c>
      <c r="D73" s="3284" t="s">
        <v>2883</v>
      </c>
      <c r="E73" s="3309">
        <v>0.2</v>
      </c>
      <c r="F73" s="3303">
        <v>25</v>
      </c>
    </row>
    <row r="74" spans="1:7" ht="24">
      <c r="A74" s="3303">
        <v>2</v>
      </c>
      <c r="B74" s="3712"/>
      <c r="C74" s="3284" t="s">
        <v>2884</v>
      </c>
      <c r="D74" s="3284" t="s">
        <v>2885</v>
      </c>
      <c r="E74" s="3309">
        <v>0.2</v>
      </c>
      <c r="F74" s="3303">
        <v>25</v>
      </c>
    </row>
    <row r="75" spans="1:7" ht="24">
      <c r="A75" s="3303">
        <v>3</v>
      </c>
      <c r="B75" s="3712"/>
      <c r="C75" s="3284" t="s">
        <v>2886</v>
      </c>
      <c r="D75" s="3284" t="s">
        <v>2887</v>
      </c>
      <c r="E75" s="3309">
        <v>0.2</v>
      </c>
      <c r="F75" s="3303">
        <v>25</v>
      </c>
    </row>
    <row r="76" spans="1:7" ht="13.5">
      <c r="A76" s="3303">
        <v>4</v>
      </c>
      <c r="B76" s="3712"/>
      <c r="C76" s="3284" t="s">
        <v>2888</v>
      </c>
      <c r="D76" s="3284" t="s">
        <v>2889</v>
      </c>
      <c r="E76" s="3309">
        <v>0.15</v>
      </c>
      <c r="F76" s="3303">
        <v>20</v>
      </c>
    </row>
    <row r="77" spans="1:7" ht="24">
      <c r="A77" s="3303">
        <v>5</v>
      </c>
      <c r="B77" s="3712"/>
      <c r="C77" s="3284" t="s">
        <v>2890</v>
      </c>
      <c r="D77" s="3284" t="s">
        <v>2891</v>
      </c>
      <c r="E77" s="3309">
        <v>0.15</v>
      </c>
      <c r="F77" s="3303">
        <v>20</v>
      </c>
    </row>
    <row r="78" spans="1:7" ht="24">
      <c r="A78" s="3303">
        <v>6</v>
      </c>
      <c r="B78" s="3712"/>
      <c r="C78" s="3284" t="s">
        <v>2892</v>
      </c>
      <c r="D78" s="3284" t="s">
        <v>2893</v>
      </c>
      <c r="E78" s="3309">
        <v>0.15</v>
      </c>
      <c r="F78" s="3303">
        <v>20</v>
      </c>
    </row>
    <row r="79" spans="1:7" ht="24">
      <c r="A79" s="3303">
        <v>7</v>
      </c>
      <c r="B79" s="3712"/>
      <c r="C79" s="3284" t="s">
        <v>2894</v>
      </c>
      <c r="D79" s="3284" t="s">
        <v>2895</v>
      </c>
      <c r="E79" s="3309">
        <v>0.15</v>
      </c>
      <c r="F79" s="3303">
        <v>20</v>
      </c>
    </row>
    <row r="80" spans="1:7" ht="24">
      <c r="A80" s="3303">
        <v>8</v>
      </c>
      <c r="B80" s="3712"/>
      <c r="C80" s="3284" t="s">
        <v>2896</v>
      </c>
      <c r="D80" s="3284" t="s">
        <v>2897</v>
      </c>
      <c r="E80" s="3309">
        <v>0.1</v>
      </c>
      <c r="F80" s="3303">
        <v>15</v>
      </c>
    </row>
    <row r="81" spans="1:6" ht="24">
      <c r="A81" s="3303">
        <v>9</v>
      </c>
      <c r="B81" s="3712"/>
      <c r="C81" s="3284" t="s">
        <v>2898</v>
      </c>
      <c r="D81" s="3284" t="s">
        <v>2899</v>
      </c>
      <c r="E81" s="3309">
        <v>0.1</v>
      </c>
      <c r="F81" s="3303">
        <v>15</v>
      </c>
    </row>
    <row r="82" spans="1:6" ht="24">
      <c r="A82" s="3303">
        <v>10</v>
      </c>
      <c r="B82" s="3712"/>
      <c r="C82" s="3284" t="s">
        <v>2900</v>
      </c>
      <c r="D82" s="3284" t="s">
        <v>2901</v>
      </c>
      <c r="E82" s="3309">
        <v>0.1</v>
      </c>
      <c r="F82" s="3303">
        <v>15</v>
      </c>
    </row>
    <row r="83" spans="1:6" ht="24">
      <c r="A83" s="3303">
        <v>11</v>
      </c>
      <c r="B83" s="3712"/>
      <c r="C83" s="3284" t="s">
        <v>2902</v>
      </c>
      <c r="D83" s="3284" t="s">
        <v>2903</v>
      </c>
      <c r="E83" s="3309">
        <v>0.1</v>
      </c>
      <c r="F83" s="3303">
        <v>15</v>
      </c>
    </row>
    <row r="84" spans="1:6" ht="24">
      <c r="A84" s="3303">
        <v>12</v>
      </c>
      <c r="B84" s="3712"/>
      <c r="C84" s="3284" t="s">
        <v>2904</v>
      </c>
      <c r="D84" s="3284" t="s">
        <v>2905</v>
      </c>
      <c r="E84" s="3309">
        <v>0.1</v>
      </c>
      <c r="F84" s="3303">
        <v>15</v>
      </c>
    </row>
    <row r="85" spans="1:6" ht="13.5">
      <c r="A85" s="3303">
        <v>13</v>
      </c>
      <c r="B85" s="3712"/>
      <c r="C85" s="3284" t="s">
        <v>2906</v>
      </c>
      <c r="D85" s="3284" t="s">
        <v>2907</v>
      </c>
      <c r="E85" s="3309">
        <v>0.1</v>
      </c>
      <c r="F85" s="3303">
        <v>15</v>
      </c>
    </row>
    <row r="86" spans="1:6" ht="13.5">
      <c r="A86" s="3303">
        <v>14</v>
      </c>
      <c r="B86" s="3712"/>
      <c r="C86" s="3284" t="s">
        <v>2908</v>
      </c>
      <c r="D86" s="3284" t="s">
        <v>2909</v>
      </c>
      <c r="E86" s="3309">
        <v>0.1</v>
      </c>
      <c r="F86" s="3303">
        <v>15</v>
      </c>
    </row>
    <row r="87" spans="1:6" ht="13.5">
      <c r="A87" s="3303">
        <v>15</v>
      </c>
      <c r="B87" s="3712"/>
      <c r="C87" s="3284" t="s">
        <v>2910</v>
      </c>
      <c r="D87" s="3284" t="s">
        <v>2911</v>
      </c>
      <c r="E87" s="3309">
        <v>0.1</v>
      </c>
      <c r="F87" s="3303">
        <v>15</v>
      </c>
    </row>
    <row r="88" spans="1:6" ht="24">
      <c r="A88" s="3303">
        <v>16</v>
      </c>
      <c r="B88" s="3712"/>
      <c r="C88" s="3284" t="s">
        <v>2912</v>
      </c>
      <c r="D88" s="3284" t="s">
        <v>2913</v>
      </c>
      <c r="E88" s="3309">
        <v>0.1</v>
      </c>
      <c r="F88" s="3303">
        <v>15</v>
      </c>
    </row>
    <row r="89" spans="1:6" ht="24">
      <c r="A89" s="3303">
        <v>17</v>
      </c>
      <c r="B89" s="3711"/>
      <c r="C89" s="3284" t="s">
        <v>2914</v>
      </c>
      <c r="D89" s="3284" t="s">
        <v>2915</v>
      </c>
      <c r="E89" s="3309">
        <v>0.1</v>
      </c>
      <c r="F89" s="3303">
        <v>15</v>
      </c>
    </row>
    <row r="90" spans="1:6" ht="13.5">
      <c r="A90" s="3303">
        <v>18</v>
      </c>
      <c r="B90" s="3710" t="s">
        <v>2916</v>
      </c>
      <c r="C90" s="3284" t="s">
        <v>2917</v>
      </c>
      <c r="D90" s="3284" t="s">
        <v>2918</v>
      </c>
      <c r="E90" s="3309">
        <v>0.2</v>
      </c>
      <c r="F90" s="3303">
        <v>25</v>
      </c>
    </row>
    <row r="91" spans="1:6" ht="24">
      <c r="A91" s="3303">
        <v>19</v>
      </c>
      <c r="B91" s="3712"/>
      <c r="C91" s="3284" t="s">
        <v>2919</v>
      </c>
      <c r="D91" s="3284" t="s">
        <v>2920</v>
      </c>
      <c r="E91" s="3309">
        <v>0.2</v>
      </c>
      <c r="F91" s="3303">
        <v>25</v>
      </c>
    </row>
    <row r="92" spans="1:6" ht="13.5">
      <c r="A92" s="3303">
        <v>20</v>
      </c>
      <c r="B92" s="3712"/>
      <c r="C92" s="3284" t="s">
        <v>2921</v>
      </c>
      <c r="D92" s="3284" t="s">
        <v>2922</v>
      </c>
      <c r="E92" s="3309">
        <v>0.15</v>
      </c>
      <c r="F92" s="3303">
        <v>20</v>
      </c>
    </row>
    <row r="93" spans="1:6" ht="24">
      <c r="A93" s="3303">
        <v>21</v>
      </c>
      <c r="B93" s="3712"/>
      <c r="C93" s="3284" t="s">
        <v>2923</v>
      </c>
      <c r="D93" s="3284" t="s">
        <v>2924</v>
      </c>
      <c r="E93" s="3309">
        <v>0.15</v>
      </c>
      <c r="F93" s="3303">
        <v>20</v>
      </c>
    </row>
    <row r="94" spans="1:6" ht="24">
      <c r="A94" s="3303">
        <v>22</v>
      </c>
      <c r="B94" s="3712"/>
      <c r="C94" s="3284" t="s">
        <v>2925</v>
      </c>
      <c r="D94" s="3284" t="s">
        <v>2926</v>
      </c>
      <c r="E94" s="3309">
        <v>0.15</v>
      </c>
      <c r="F94" s="3303">
        <v>20</v>
      </c>
    </row>
    <row r="95" spans="1:6" ht="36">
      <c r="A95" s="3303">
        <v>23</v>
      </c>
      <c r="B95" s="3712"/>
      <c r="C95" s="3284" t="s">
        <v>2927</v>
      </c>
      <c r="D95" s="3284" t="s">
        <v>2928</v>
      </c>
      <c r="E95" s="3309">
        <v>0.15</v>
      </c>
      <c r="F95" s="3303">
        <v>20</v>
      </c>
    </row>
    <row r="96" spans="1:6" ht="13.5">
      <c r="A96" s="3303">
        <v>24</v>
      </c>
      <c r="B96" s="3712"/>
      <c r="C96" s="3284" t="s">
        <v>2929</v>
      </c>
      <c r="D96" s="3284" t="s">
        <v>2930</v>
      </c>
      <c r="E96" s="3309">
        <v>0.1</v>
      </c>
      <c r="F96" s="3303">
        <v>15</v>
      </c>
    </row>
    <row r="97" spans="1:6" ht="24">
      <c r="A97" s="3303">
        <v>25</v>
      </c>
      <c r="B97" s="3712"/>
      <c r="C97" s="3284" t="s">
        <v>2931</v>
      </c>
      <c r="D97" s="3284" t="s">
        <v>2932</v>
      </c>
      <c r="E97" s="3309">
        <v>0.1</v>
      </c>
      <c r="F97" s="3303">
        <v>15</v>
      </c>
    </row>
    <row r="98" spans="1:6" ht="24">
      <c r="A98" s="3303">
        <v>26</v>
      </c>
      <c r="B98" s="3712"/>
      <c r="C98" s="3284" t="s">
        <v>2933</v>
      </c>
      <c r="D98" s="3284" t="s">
        <v>2934</v>
      </c>
      <c r="E98" s="3309">
        <v>0.1</v>
      </c>
      <c r="F98" s="3303">
        <v>15</v>
      </c>
    </row>
    <row r="99" spans="1:6" ht="24">
      <c r="A99" s="3303">
        <v>27</v>
      </c>
      <c r="B99" s="3712"/>
      <c r="C99" s="3284" t="s">
        <v>2935</v>
      </c>
      <c r="D99" s="3284" t="s">
        <v>2936</v>
      </c>
      <c r="E99" s="3309">
        <v>0.1</v>
      </c>
      <c r="F99" s="3303">
        <v>15</v>
      </c>
    </row>
    <row r="100" spans="1:6" ht="24">
      <c r="A100" s="3303">
        <v>28</v>
      </c>
      <c r="B100" s="3712"/>
      <c r="C100" s="3284" t="s">
        <v>2937</v>
      </c>
      <c r="D100" s="3284" t="s">
        <v>2938</v>
      </c>
      <c r="E100" s="3309">
        <v>0.1</v>
      </c>
      <c r="F100" s="3303">
        <v>15</v>
      </c>
    </row>
    <row r="101" spans="1:6" ht="24">
      <c r="A101" s="3303">
        <v>29</v>
      </c>
      <c r="B101" s="3712"/>
      <c r="C101" s="3284" t="s">
        <v>2939</v>
      </c>
      <c r="D101" s="3284" t="s">
        <v>2940</v>
      </c>
      <c r="E101" s="3309">
        <v>0.1</v>
      </c>
      <c r="F101" s="3303">
        <v>15</v>
      </c>
    </row>
    <row r="102" spans="1:6" ht="24">
      <c r="A102" s="3303">
        <v>30</v>
      </c>
      <c r="B102" s="3712"/>
      <c r="C102" s="3284" t="s">
        <v>2941</v>
      </c>
      <c r="D102" s="3284" t="s">
        <v>2942</v>
      </c>
      <c r="E102" s="3309">
        <v>0.1</v>
      </c>
      <c r="F102" s="3303">
        <v>15</v>
      </c>
    </row>
    <row r="103" spans="1:6" ht="24">
      <c r="A103" s="3303">
        <v>31</v>
      </c>
      <c r="B103" s="3712"/>
      <c r="C103" s="3284" t="s">
        <v>2943</v>
      </c>
      <c r="D103" s="3284" t="s">
        <v>2944</v>
      </c>
      <c r="E103" s="3309">
        <v>0.1</v>
      </c>
      <c r="F103" s="3303">
        <v>15</v>
      </c>
    </row>
    <row r="104" spans="1:6" ht="24">
      <c r="A104" s="3303">
        <v>32</v>
      </c>
      <c r="B104" s="3712"/>
      <c r="C104" s="3284" t="s">
        <v>2945</v>
      </c>
      <c r="D104" s="3284" t="s">
        <v>2946</v>
      </c>
      <c r="E104" s="3309">
        <v>0.1</v>
      </c>
      <c r="F104" s="3303">
        <v>15</v>
      </c>
    </row>
    <row r="105" spans="1:6" ht="24">
      <c r="A105" s="3303">
        <v>33</v>
      </c>
      <c r="B105" s="3712"/>
      <c r="C105" s="3284" t="s">
        <v>2947</v>
      </c>
      <c r="D105" s="3284" t="s">
        <v>2948</v>
      </c>
      <c r="E105" s="3309">
        <v>0.1</v>
      </c>
      <c r="F105" s="3303">
        <v>15</v>
      </c>
    </row>
    <row r="106" spans="1:6" ht="24">
      <c r="A106" s="3303">
        <v>34</v>
      </c>
      <c r="B106" s="3711"/>
      <c r="C106" s="3284" t="s">
        <v>2949</v>
      </c>
      <c r="D106" s="3284" t="s">
        <v>2950</v>
      </c>
      <c r="E106" s="3309">
        <v>0.1</v>
      </c>
      <c r="F106" s="3303">
        <v>15</v>
      </c>
    </row>
    <row r="107" spans="1:6" ht="24">
      <c r="A107" s="3303">
        <v>35</v>
      </c>
      <c r="B107" s="3710" t="s">
        <v>2951</v>
      </c>
      <c r="C107" s="3303" t="s">
        <v>2952</v>
      </c>
      <c r="D107" s="3284" t="s">
        <v>2953</v>
      </c>
      <c r="E107" s="3309">
        <v>0.15</v>
      </c>
      <c r="F107" s="3303">
        <v>20</v>
      </c>
    </row>
    <row r="108" spans="1:6" ht="24">
      <c r="A108" s="3303">
        <v>36</v>
      </c>
      <c r="B108" s="3712"/>
      <c r="C108" s="3303" t="s">
        <v>2954</v>
      </c>
      <c r="D108" s="3284" t="s">
        <v>2955</v>
      </c>
      <c r="E108" s="3309">
        <v>0.15</v>
      </c>
      <c r="F108" s="3303">
        <v>20</v>
      </c>
    </row>
    <row r="109" spans="1:6" ht="24">
      <c r="A109" s="3303">
        <v>37</v>
      </c>
      <c r="B109" s="3712"/>
      <c r="C109" s="3303" t="s">
        <v>2956</v>
      </c>
      <c r="D109" s="3284" t="s">
        <v>2957</v>
      </c>
      <c r="E109" s="3309">
        <v>0.15</v>
      </c>
      <c r="F109" s="3303">
        <v>20</v>
      </c>
    </row>
    <row r="110" spans="1:6" ht="13.5">
      <c r="A110" s="3303">
        <v>38</v>
      </c>
      <c r="B110" s="3712"/>
      <c r="C110" s="3303" t="s">
        <v>2958</v>
      </c>
      <c r="D110" s="3284" t="s">
        <v>2959</v>
      </c>
      <c r="E110" s="3309">
        <v>0.1</v>
      </c>
      <c r="F110" s="3303">
        <v>15</v>
      </c>
    </row>
    <row r="111" spans="1:6" ht="24">
      <c r="A111" s="3303">
        <v>39</v>
      </c>
      <c r="B111" s="3712"/>
      <c r="C111" s="3303" t="s">
        <v>2960</v>
      </c>
      <c r="D111" s="3284" t="s">
        <v>2961</v>
      </c>
      <c r="E111" s="3309">
        <v>0.1</v>
      </c>
      <c r="F111" s="3303">
        <v>15</v>
      </c>
    </row>
    <row r="112" spans="1:6" ht="24">
      <c r="A112" s="3303">
        <v>40</v>
      </c>
      <c r="B112" s="3711"/>
      <c r="C112" s="3303" t="s">
        <v>2962</v>
      </c>
      <c r="D112" s="3284" t="s">
        <v>2963</v>
      </c>
      <c r="E112" s="3309">
        <v>0.1</v>
      </c>
      <c r="F112" s="3303">
        <v>15</v>
      </c>
    </row>
    <row r="113" spans="1:6" ht="24">
      <c r="A113" s="3303">
        <v>41</v>
      </c>
      <c r="B113" s="3709" t="s">
        <v>2964</v>
      </c>
      <c r="C113" s="3303" t="s">
        <v>2965</v>
      </c>
      <c r="D113" s="3284" t="s">
        <v>2966</v>
      </c>
      <c r="E113" s="3309">
        <v>0.1</v>
      </c>
      <c r="F113" s="3303">
        <v>15</v>
      </c>
    </row>
    <row r="114" spans="1:6" ht="13.5">
      <c r="A114" s="3303">
        <v>42</v>
      </c>
      <c r="B114" s="3709"/>
      <c r="C114" s="3303" t="s">
        <v>2967</v>
      </c>
      <c r="D114" s="3284" t="s">
        <v>2968</v>
      </c>
      <c r="E114" s="3309">
        <v>0.1</v>
      </c>
      <c r="F114" s="3303">
        <v>15</v>
      </c>
    </row>
    <row r="115" spans="1:6" ht="24">
      <c r="A115" s="3303">
        <v>43</v>
      </c>
      <c r="B115" s="3709"/>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1"/>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1"/>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13.5">
      <c r="A121" s="3303">
        <v>49</v>
      </c>
      <c r="B121" s="3711"/>
      <c r="C121" s="3303" t="s">
        <v>2984</v>
      </c>
      <c r="D121" s="3284" t="s">
        <v>2985</v>
      </c>
      <c r="E121" s="3309">
        <v>0.1</v>
      </c>
      <c r="F121" s="3303">
        <v>15</v>
      </c>
    </row>
    <row r="122" spans="1:6" ht="24">
      <c r="A122" s="3303">
        <v>50</v>
      </c>
      <c r="B122" s="3709" t="s">
        <v>2986</v>
      </c>
      <c r="C122" s="3303" t="s">
        <v>2987</v>
      </c>
      <c r="D122" s="3284" t="s">
        <v>2988</v>
      </c>
      <c r="E122" s="3309">
        <v>0.1</v>
      </c>
      <c r="F122" s="3303">
        <v>15</v>
      </c>
    </row>
    <row r="123" spans="1:6" ht="24">
      <c r="A123" s="3303">
        <v>51</v>
      </c>
      <c r="B123" s="3709"/>
      <c r="C123" s="3303" t="s">
        <v>2989</v>
      </c>
      <c r="D123" s="3284" t="s">
        <v>2990</v>
      </c>
      <c r="E123" s="3309">
        <v>0.1</v>
      </c>
      <c r="F123" s="3303">
        <v>15</v>
      </c>
    </row>
    <row r="124" spans="1:6" ht="24">
      <c r="A124" s="3303">
        <v>52</v>
      </c>
      <c r="B124" s="3709" t="s">
        <v>2991</v>
      </c>
      <c r="C124" s="3303" t="s">
        <v>2992</v>
      </c>
      <c r="D124" s="3284" t="s">
        <v>2993</v>
      </c>
      <c r="E124" s="3309">
        <v>0.1</v>
      </c>
      <c r="F124" s="3303">
        <v>15</v>
      </c>
    </row>
    <row r="125" spans="1:6" ht="24">
      <c r="A125" s="3303">
        <v>53</v>
      </c>
      <c r="B125" s="370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9" t="s">
        <v>2999</v>
      </c>
      <c r="C127" s="3303" t="s">
        <v>3000</v>
      </c>
      <c r="D127" s="3284" t="s">
        <v>3001</v>
      </c>
      <c r="E127" s="3309">
        <v>0.1</v>
      </c>
      <c r="F127" s="3303">
        <v>15</v>
      </c>
    </row>
    <row r="128" spans="1:6" ht="13.5">
      <c r="A128" s="3303">
        <v>56</v>
      </c>
      <c r="B128" s="3709"/>
      <c r="C128" s="3303" t="s">
        <v>3002</v>
      </c>
      <c r="D128" s="3284" t="s">
        <v>3003</v>
      </c>
      <c r="E128" s="3309">
        <v>0.1</v>
      </c>
      <c r="F128" s="3303">
        <v>15</v>
      </c>
    </row>
    <row r="129" spans="1:6" ht="24">
      <c r="A129" s="3303">
        <v>57</v>
      </c>
      <c r="B129" s="3709"/>
      <c r="C129" s="3303" t="s">
        <v>3004</v>
      </c>
      <c r="D129" s="3284" t="s">
        <v>3005</v>
      </c>
      <c r="E129" s="3309">
        <v>0.1</v>
      </c>
      <c r="F129" s="3303">
        <v>15</v>
      </c>
    </row>
    <row r="130" spans="1:6" ht="24">
      <c r="A130" s="3303">
        <v>58</v>
      </c>
      <c r="B130" s="3709" t="s">
        <v>3006</v>
      </c>
      <c r="C130" s="3303" t="s">
        <v>3007</v>
      </c>
      <c r="D130" s="3284" t="s">
        <v>3008</v>
      </c>
      <c r="E130" s="3309">
        <v>0.1</v>
      </c>
      <c r="F130" s="3303">
        <v>15</v>
      </c>
    </row>
    <row r="131" spans="1:6" ht="24">
      <c r="A131" s="3303">
        <v>59</v>
      </c>
      <c r="B131" s="3709"/>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9" t="s">
        <v>3019</v>
      </c>
      <c r="C135" s="3303" t="s">
        <v>3020</v>
      </c>
      <c r="D135" s="3284" t="s">
        <v>3021</v>
      </c>
      <c r="E135" s="3309">
        <v>0.1</v>
      </c>
      <c r="F135" s="3303">
        <v>15</v>
      </c>
    </row>
    <row r="136" spans="1:6" ht="13.5">
      <c r="A136" s="3303">
        <v>64</v>
      </c>
      <c r="B136" s="370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44720</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F9"/>
  <sheetViews>
    <sheetView workbookViewId="0">
      <selection activeCell="I9" sqref="I9"/>
    </sheetView>
  </sheetViews>
  <sheetFormatPr defaultRowHeight="13.5"/>
  <sheetData>
    <row r="7" spans="3:6">
      <c r="C7" s="1269" t="s">
        <v>3045</v>
      </c>
      <c r="D7">
        <v>88</v>
      </c>
      <c r="E7">
        <v>380</v>
      </c>
      <c r="F7">
        <f>ROUND(E7/D7*10000,0)</f>
        <v>43182</v>
      </c>
    </row>
    <row r="8" spans="3:6">
      <c r="C8" s="1269" t="s">
        <v>3048</v>
      </c>
      <c r="D8">
        <v>77.239999999999995</v>
      </c>
      <c r="F8">
        <v>45314</v>
      </c>
    </row>
    <row r="9" spans="3:6">
      <c r="C9" s="1269" t="s">
        <v>3046</v>
      </c>
      <c r="D9">
        <v>76.52</v>
      </c>
      <c r="F9">
        <v>43100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116.03</v>
      </c>
      <c r="D6" s="3332"/>
      <c r="E6" s="1287"/>
    </row>
    <row r="7" spans="1:5" ht="14.25">
      <c r="A7" s="1287"/>
      <c r="B7" s="3326" t="s">
        <v>594</v>
      </c>
      <c r="C7" s="1293" t="str">
        <f>IF('数据-取费表'!B3="万元","总价（万元）","总价（元）")</f>
        <v>总价（万元）</v>
      </c>
      <c r="D7" s="1294">
        <f ca="1">IF('数据-取费表'!E3="否",结果表!I102,'结果表 (1修多)'!I104)</f>
        <v>414</v>
      </c>
      <c r="E7" s="1287"/>
    </row>
    <row r="8" spans="1:5" ht="14.25">
      <c r="A8" s="1287"/>
      <c r="B8" s="3326"/>
      <c r="C8" s="1295" t="s">
        <v>924</v>
      </c>
      <c r="D8" s="1296" t="str">
        <f ca="1">IF('数据-取费表'!B3="万元",NUMBERSTRING(INT(D7*10000),2)&amp;"元整",NUMBERSTRING(INT(D7),2)&amp;"元整")</f>
        <v>肆佰壹拾肆万元整</v>
      </c>
      <c r="E8" s="1287"/>
    </row>
    <row r="9" spans="1:5" ht="14.25">
      <c r="A9" s="1287"/>
      <c r="B9" s="3326"/>
      <c r="C9" s="1297" t="s">
        <v>1020</v>
      </c>
      <c r="D9" s="1294">
        <f ca="1">IF('数据-取费表'!E3="否",结果表!I103,'结果表 (1修多)'!I105)</f>
        <v>35694</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414</v>
      </c>
      <c r="E15" s="1287"/>
    </row>
    <row r="16" spans="1:5" ht="14.25">
      <c r="A16" s="1287"/>
      <c r="B16" s="3333"/>
      <c r="C16" s="1295" t="s">
        <v>924</v>
      </c>
      <c r="D16" s="1294" t="str">
        <f ca="1">IF('数据-取费表'!B3="万元",NUMBERSTRING(INT(D15*10000),2)&amp;"元整",NUMBERSTRING(INT(D15),2)&amp;"元整")</f>
        <v>肆佰壹拾肆万元整</v>
      </c>
      <c r="E16" s="1287"/>
    </row>
    <row r="17" spans="1:5" ht="14.25">
      <c r="A17" s="1287"/>
      <c r="B17" s="3333"/>
      <c r="C17" s="1297" t="s">
        <v>1020</v>
      </c>
      <c r="D17" s="1294">
        <f ca="1">IF('数据-取费表'!E3="否",结果表!I111,'结果表 (1修多)'!I113)</f>
        <v>35694</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414</v>
      </c>
      <c r="E28" s="1287"/>
    </row>
    <row r="29" spans="1:5" ht="14.25">
      <c r="A29" s="1287"/>
      <c r="B29" s="3335"/>
      <c r="C29" s="1306" t="s">
        <v>924</v>
      </c>
      <c r="D29" s="1307" t="str">
        <f ca="1">IF('数据-取费表'!B3="万元",NUMBERSTRING(INT(D28*10000),2)&amp;"元整",NUMBERSTRING(INT(D28),2)&amp;"元整")</f>
        <v>肆佰壹拾肆万元整</v>
      </c>
      <c r="E29" s="1287"/>
    </row>
    <row r="30" spans="1:5" ht="14.25">
      <c r="A30" s="1287"/>
      <c r="B30" s="3336"/>
      <c r="C30" s="1297" t="s">
        <v>927</v>
      </c>
      <c r="D30" s="1308">
        <f ca="1">IF('数据-取费表'!E3="否",结果表!I103,'结果表 (1修多)'!I105)</f>
        <v>35694</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414</v>
      </c>
      <c r="E36" s="1287"/>
    </row>
    <row r="37" spans="1:5" ht="14.25">
      <c r="A37" s="1287"/>
      <c r="B37" s="3337"/>
      <c r="C37" s="1306" t="s">
        <v>924</v>
      </c>
      <c r="D37" s="1311" t="str">
        <f ca="1">IF('数据-取费表'!B3="万元",NUMBERSTRING(INT(D36*10000),2)&amp;"元整",NUMBERSTRING(INT(D36),2)&amp;"元整")</f>
        <v>肆佰壹拾肆万元整</v>
      </c>
      <c r="E37" s="1287"/>
    </row>
    <row r="38" spans="1:5" ht="14.25">
      <c r="A38" s="1287"/>
      <c r="B38" s="3337"/>
      <c r="C38" s="1297" t="s">
        <v>928</v>
      </c>
      <c r="D38" s="1308">
        <f ca="1">IF('数据-取费表'!E3="否",结果表!D113,'结果表 (1修多)'!D117)</f>
        <v>35694</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116.03</v>
      </c>
      <c r="C4" s="776">
        <f>结果表!C121</f>
        <v>0</v>
      </c>
      <c r="D4" s="776">
        <f ca="1">IF('数据-取费表'!E3="否",结果表!D121,'结果表 (1修多)'!D125)</f>
        <v>356</v>
      </c>
      <c r="E4" s="776">
        <f ca="1">IF('数据-取费表'!E3="否",结果表!E121,'结果表 (1修多)'!E125)</f>
        <v>30697</v>
      </c>
      <c r="F4" s="776">
        <f ca="1">IF('数据-取费表'!E3="否",结果表!F121,'结果表 (1修多)'!F125)</f>
        <v>58</v>
      </c>
      <c r="G4" s="776">
        <f ca="1">IF('数据-取费表'!E3="否",结果表!G121,'结果表 (1修多)'!G125)</f>
        <v>4997</v>
      </c>
      <c r="H4" s="776">
        <f ca="1">IF('数据-取费表'!E3="否",结果表!H121,'结果表 (1修多)'!H125)</f>
        <v>414</v>
      </c>
      <c r="I4" s="776">
        <f ca="1">IF('数据-取费表'!E3="否",结果表!I121,'结果表 (1修多)'!I125)</f>
        <v>35694</v>
      </c>
    </row>
    <row r="5" spans="1:9" ht="15">
      <c r="A5" s="3351" t="s">
        <v>1030</v>
      </c>
      <c r="B5" s="3351"/>
      <c r="C5" s="3351"/>
      <c r="D5" s="3349" t="str">
        <f ca="1">IF('数据-取费表'!E3="否",结果表!D122,'结果表 (1修多)'!D126)</f>
        <v>叁佰伍拾陆万元整</v>
      </c>
      <c r="E5" s="3349"/>
      <c r="F5" s="3349" t="str">
        <f ca="1">IF('数据-取费表'!E3="否",结果表!F122,'结果表 (1修多)'!F126)</f>
        <v>伍拾捌万元整</v>
      </c>
      <c r="G5" s="3349"/>
      <c r="H5" s="3349" t="str">
        <f ca="1">IF('数据-取费表'!E3="否",结果表!H122,'结果表 (1修多)'!H126)</f>
        <v>肆佰壹拾肆万元整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414</v>
      </c>
      <c r="E8" s="3350"/>
      <c r="F8" s="3350"/>
      <c r="G8" s="3350"/>
      <c r="H8" s="3350"/>
      <c r="I8" s="3350"/>
    </row>
    <row r="9" spans="1:9" ht="15">
      <c r="A9" s="3351" t="s">
        <v>1030</v>
      </c>
      <c r="B9" s="3351"/>
      <c r="C9" s="3351"/>
      <c r="D9" s="3349">
        <f ca="1">IF('数据-取费表'!E3="否",结果表!D126,'结果表 (1修多)'!D130)</f>
        <v>35694</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44721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2022-06-09T03:24:22Z</dcterms:modified>
</cp:coreProperties>
</file>