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3" i="68" l="1"/>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C13" i="39"/>
  <c r="C12" i="39"/>
  <c r="F19" i="6"/>
  <c r="I13" i="3"/>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I4" i="6"/>
  <c r="G3" i="46"/>
  <c r="AZ15" i="3"/>
  <c r="G5" i="3"/>
  <c r="B3" i="3"/>
  <c r="BK5" i="3"/>
  <c r="BO5" i="3"/>
  <c r="BP5" i="3"/>
  <c r="BN5" i="3"/>
  <c r="BL18" i="3"/>
  <c r="AZ18" i="3"/>
  <c r="BC5" i="3"/>
  <c r="E8" i="6"/>
  <c r="E53" i="40"/>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C59" i="34"/>
  <c r="D59" i="34"/>
  <c r="E59" i="34"/>
  <c r="C48" i="35"/>
  <c r="D48" i="35"/>
  <c r="C52" i="37"/>
  <c r="D52" i="37"/>
  <c r="E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K20" i="6"/>
  <c r="AZ13" i="3"/>
  <c r="AZ5" i="3"/>
  <c r="G29" i="6"/>
  <c r="G30" i="6"/>
  <c r="G31" i="6"/>
  <c r="AZ16" i="3"/>
  <c r="E10" i="6"/>
  <c r="H16" i="1"/>
  <c r="E28" i="6"/>
  <c r="E11" i="6"/>
  <c r="H70" i="46"/>
  <c r="H72" i="46"/>
  <c r="A9" i="64"/>
  <c r="A9" i="51"/>
  <c r="B9" i="63"/>
  <c r="F52" i="37"/>
  <c r="G52" i="37"/>
  <c r="H52" i="37"/>
  <c r="F59" i="34"/>
  <c r="G59" i="34"/>
  <c r="H59" i="34"/>
  <c r="I59" i="34"/>
  <c r="J59" i="34"/>
  <c r="E48" i="35"/>
  <c r="F48" i="35"/>
  <c r="G48" i="35"/>
  <c r="E46" i="36"/>
  <c r="D72" i="39"/>
  <c r="E70" i="39"/>
  <c r="G66" i="36"/>
  <c r="J18" i="36"/>
  <c r="AE8" i="1"/>
  <c r="AE7" i="1"/>
  <c r="W18" i="36"/>
  <c r="AC18" i="36"/>
  <c r="AG6" i="1"/>
  <c r="F31" i="6"/>
  <c r="D21" i="12"/>
  <c r="C21" i="12"/>
  <c r="C12" i="11"/>
  <c r="E29" i="6"/>
  <c r="L20" i="6"/>
  <c r="L27" i="6"/>
  <c r="K14" i="1"/>
  <c r="M14" i="1"/>
  <c r="L19" i="6"/>
  <c r="K15" i="1"/>
  <c r="F7" i="21"/>
  <c r="J7" i="21"/>
  <c r="H7" i="21"/>
  <c r="U7" i="21"/>
  <c r="E72" i="39"/>
  <c r="F70" i="39"/>
  <c r="G70" i="39"/>
  <c r="J22" i="46"/>
  <c r="S7" i="1"/>
  <c r="S8" i="1"/>
  <c r="S9" i="1"/>
  <c r="AC7" i="21"/>
  <c r="V48" i="21"/>
  <c r="I48" i="21"/>
  <c r="I52" i="21"/>
  <c r="J52" i="21"/>
  <c r="W7" i="21"/>
  <c r="AB7" i="21"/>
  <c r="T48" i="21"/>
  <c r="G48" i="21"/>
  <c r="S7" i="21"/>
  <c r="AA7" i="21"/>
  <c r="R48" i="21"/>
  <c r="F72" i="39"/>
  <c r="E48" i="21"/>
  <c r="R49" i="21"/>
  <c r="C49" i="21"/>
  <c r="B3" i="21"/>
  <c r="B2" i="21"/>
  <c r="G72" i="39"/>
  <c r="H70" i="39"/>
  <c r="H72" i="39"/>
  <c r="R9" i="1"/>
  <c r="E52" i="21"/>
  <c r="F52" i="21"/>
  <c r="C48" i="21"/>
  <c r="I53" i="21"/>
  <c r="J53" i="21"/>
  <c r="I70" i="39"/>
  <c r="J70" i="39"/>
  <c r="R7" i="1"/>
  <c r="R8" i="1"/>
  <c r="I72" i="39"/>
  <c r="C45" i="9"/>
  <c r="H14" i="66"/>
  <c r="B7" i="66"/>
  <c r="O40" i="9"/>
  <c r="K31" i="9"/>
  <c r="K32" i="9"/>
  <c r="R7" i="54"/>
  <c r="B52" i="63"/>
  <c r="N76" i="9"/>
  <c r="C46" i="9"/>
  <c r="K33" i="9"/>
  <c r="K34" i="9"/>
  <c r="O41" i="9"/>
  <c r="I14" i="66"/>
  <c r="B8" i="66"/>
  <c r="R8" i="54"/>
  <c r="B54" i="63"/>
  <c r="E14" i="52"/>
  <c r="E6" i="52"/>
  <c r="B6" i="52"/>
  <c r="E7" i="52"/>
  <c r="C4" i="4"/>
  <c r="B20" i="55"/>
  <c r="F33" i="44"/>
  <c r="B11" i="67"/>
  <c r="F13" i="15"/>
  <c r="M27" i="15"/>
  <c r="J17" i="44"/>
  <c r="E12" i="67"/>
  <c r="F37" i="44"/>
  <c r="M6" i="15"/>
  <c r="F11" i="67"/>
  <c r="M31" i="44"/>
  <c r="F28" i="44"/>
  <c r="N5" i="65"/>
  <c r="F10" i="67"/>
  <c r="M10" i="44"/>
  <c r="B12" i="67"/>
  <c r="F13" i="67"/>
  <c r="F38" i="15"/>
  <c r="M24" i="15"/>
  <c r="F9" i="15"/>
  <c r="L47" i="15"/>
  <c r="J3" i="65"/>
  <c r="F11" i="44"/>
  <c r="M21" i="15"/>
  <c r="M26" i="44"/>
  <c r="F40" i="44"/>
  <c r="M26" i="15"/>
  <c r="F38" i="44"/>
  <c r="F6" i="15"/>
  <c r="M23" i="15"/>
  <c r="E10" i="67"/>
  <c r="F43" i="15"/>
  <c r="J36" i="15"/>
  <c r="C19" i="44"/>
  <c r="M8" i="15"/>
  <c r="E11" i="67"/>
  <c r="F26" i="15"/>
  <c r="B9" i="67"/>
  <c r="B10" i="67"/>
  <c r="J7" i="65"/>
  <c r="M24" i="44"/>
  <c r="M28" i="15"/>
  <c r="F37" i="15"/>
  <c r="J4" i="65"/>
  <c r="J6" i="65"/>
  <c r="F10" i="44"/>
  <c r="E9" i="67"/>
  <c r="M9" i="15"/>
  <c r="L48" i="15"/>
  <c r="F8" i="67"/>
  <c r="I7" i="65"/>
  <c r="E8" i="67"/>
  <c r="M28" i="44"/>
  <c r="F7" i="15"/>
  <c r="I4" i="65"/>
  <c r="F39" i="44"/>
  <c r="F18" i="44"/>
  <c r="N7" i="65"/>
  <c r="L49" i="44"/>
  <c r="F9" i="67"/>
  <c r="B14" i="67"/>
  <c r="M30" i="44"/>
  <c r="M8" i="44"/>
  <c r="M11" i="44"/>
  <c r="N4" i="65"/>
  <c r="N6" i="65"/>
  <c r="J5" i="65"/>
  <c r="E14" i="67"/>
  <c r="F8" i="15"/>
  <c r="M29" i="44"/>
  <c r="F40" i="15"/>
  <c r="I3" i="65"/>
  <c r="I5" i="65"/>
  <c r="F15" i="44"/>
  <c r="M25" i="44"/>
  <c r="F35" i="15"/>
  <c r="F9" i="44"/>
  <c r="F12" i="67"/>
  <c r="M23" i="44"/>
  <c r="M22" i="15"/>
  <c r="F45" i="44"/>
  <c r="B8" i="67"/>
  <c r="F46" i="44"/>
  <c r="I6" i="65"/>
  <c r="F42" i="15"/>
  <c r="M29" i="15"/>
  <c r="B13" i="67"/>
  <c r="L48" i="44"/>
  <c r="E13" i="67"/>
  <c r="F8" i="44"/>
  <c r="J15" i="15"/>
  <c r="F14" i="67"/>
  <c r="F16" i="15"/>
  <c r="F43" i="44"/>
  <c r="N3" i="65"/>
  <c r="F36" i="15"/>
  <c r="B70" i="63"/>
  <c r="W40" i="39"/>
  <c r="U40" i="39"/>
  <c r="C18" i="9"/>
  <c r="D18" i="9"/>
  <c r="M44" i="9"/>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E4" i="52"/>
  <c r="B7" i="52"/>
  <c r="E5"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c r="A30" i="64"/>
  <c r="D23" i="15"/>
  <c r="K19" i="6"/>
  <c r="S6" i="1"/>
  <c r="S16" i="1"/>
  <c r="M20" i="6"/>
  <c r="I20" i="6"/>
  <c r="S20" i="6"/>
  <c r="A18" i="51"/>
  <c r="B14" i="63"/>
  <c r="K5" i="54"/>
  <c r="A18" i="64"/>
  <c r="B74" i="63"/>
  <c r="C53" i="10"/>
  <c r="L5" i="54"/>
  <c r="B39" i="63"/>
  <c r="T41" i="4"/>
  <c r="A17" i="64"/>
  <c r="A11" i="55"/>
  <c r="B62" i="63"/>
  <c r="K17" i="4"/>
  <c r="A22" i="51"/>
  <c r="B16" i="63"/>
  <c r="AP16" i="1"/>
  <c r="F22" i="11"/>
  <c r="K76" i="9"/>
  <c r="K77" i="9"/>
  <c r="K79" i="9"/>
  <c r="K81" i="9"/>
  <c r="K70" i="39"/>
  <c r="J72" i="39"/>
  <c r="G52" i="21"/>
  <c r="H52" i="21"/>
  <c r="G53" i="21"/>
  <c r="H53" i="21"/>
  <c r="E53" i="21"/>
  <c r="F53" i="21"/>
  <c r="K59" i="34"/>
  <c r="L59" i="34"/>
  <c r="M59" i="34"/>
  <c r="N59" i="34"/>
  <c r="O59" i="34"/>
  <c r="H7" i="34"/>
  <c r="I52" i="37"/>
  <c r="J52" i="37"/>
  <c r="K52" i="37"/>
  <c r="L52" i="37"/>
  <c r="M52" i="37"/>
  <c r="N52" i="37"/>
  <c r="O52" i="37"/>
  <c r="J7" i="37"/>
  <c r="H7" i="37"/>
  <c r="F7" i="37"/>
  <c r="H48" i="35"/>
  <c r="I48" i="35"/>
  <c r="J48" i="35"/>
  <c r="K48" i="35"/>
  <c r="L48" i="35"/>
  <c r="M48" i="35"/>
  <c r="N48" i="35"/>
  <c r="O48" i="35"/>
  <c r="J7" i="35"/>
  <c r="H7" i="35"/>
  <c r="F46" i="36"/>
  <c r="F7" i="35"/>
  <c r="D65" i="40"/>
  <c r="C67" i="40"/>
  <c r="C39" i="46"/>
  <c r="C37" i="46"/>
  <c r="C38" i="46"/>
  <c r="C35" i="46"/>
  <c r="G35" i="46"/>
  <c r="I35" i="46"/>
  <c r="C33" i="46"/>
  <c r="T8" i="46"/>
  <c r="V8" i="46"/>
  <c r="T10" i="46"/>
  <c r="V10" i="46"/>
  <c r="T12" i="46"/>
  <c r="V12" i="46"/>
  <c r="T14" i="46"/>
  <c r="V14" i="46"/>
  <c r="T16" i="46"/>
  <c r="V16" i="46"/>
  <c r="T9" i="46"/>
  <c r="V9" i="46"/>
  <c r="T11" i="46"/>
  <c r="V11" i="46"/>
  <c r="T13" i="46"/>
  <c r="V13" i="46"/>
  <c r="T15" i="46"/>
  <c r="V15" i="46"/>
  <c r="C36" i="46"/>
  <c r="C34" i="46"/>
  <c r="F7" i="34"/>
  <c r="D58" i="33"/>
  <c r="E58" i="33"/>
  <c r="F58" i="33"/>
  <c r="G58" i="33"/>
  <c r="H58" i="33"/>
  <c r="I58" i="33"/>
  <c r="J58" i="33"/>
  <c r="K58" i="33"/>
  <c r="L58" i="33"/>
  <c r="M58" i="33"/>
  <c r="N58" i="33"/>
  <c r="O58" i="33"/>
  <c r="H7"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M19" i="6"/>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3" i="6"/>
  <c r="AY6" i="3"/>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D22" i="46"/>
  <c r="H101" i="46"/>
  <c r="M101" i="46"/>
  <c r="D101" i="46"/>
  <c r="I101" i="46"/>
  <c r="G22" i="46"/>
  <c r="E22" i="52"/>
  <c r="B22" i="52"/>
  <c r="B10" i="52"/>
  <c r="B11" i="52"/>
  <c r="B4" i="52"/>
  <c r="E9" i="52"/>
  <c r="E35" i="46"/>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14" i="52"/>
  <c r="E8" i="52"/>
  <c r="E16" i="52"/>
  <c r="B5" i="52"/>
  <c r="B9" i="52"/>
  <c r="B16" i="52"/>
  <c r="B8" i="52"/>
  <c r="B13" i="52"/>
  <c r="E10" i="52"/>
  <c r="E21" i="52"/>
  <c r="F58" i="15"/>
  <c r="M17" i="15"/>
  <c r="M19" i="44"/>
  <c r="C16" i="15"/>
  <c r="C17" i="15"/>
  <c r="C18" i="44"/>
  <c r="E2" i="65"/>
  <c r="E3" i="65"/>
  <c r="B72" i="63"/>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64"/>
  <c r="A25" i="51"/>
  <c r="B18" i="63"/>
  <c r="A17" i="51"/>
  <c r="B13" i="63"/>
  <c r="B38" i="63"/>
  <c r="A3" i="55"/>
  <c r="B56" i="63"/>
  <c r="F7" i="33"/>
  <c r="J7" i="33"/>
  <c r="AA7" i="34"/>
  <c r="R49" i="34"/>
  <c r="S7" i="34"/>
  <c r="G36" i="46"/>
  <c r="I36" i="46"/>
  <c r="E36" i="46"/>
  <c r="E33" i="46"/>
  <c r="G33" i="46"/>
  <c r="I33" i="46"/>
  <c r="G38" i="46"/>
  <c r="I38" i="46"/>
  <c r="E38" i="46"/>
  <c r="G39" i="46"/>
  <c r="I39" i="46"/>
  <c r="E39" i="46"/>
  <c r="E65" i="40"/>
  <c r="D67" i="40"/>
  <c r="AB7" i="35"/>
  <c r="T38" i="35"/>
  <c r="G38" i="35"/>
  <c r="U7" i="35"/>
  <c r="U7" i="37"/>
  <c r="AB7" i="37"/>
  <c r="T42" i="37"/>
  <c r="G42" i="37"/>
  <c r="J7" i="34"/>
  <c r="K72" i="39"/>
  <c r="L70" i="39"/>
  <c r="AB7" i="33"/>
  <c r="T48" i="33"/>
  <c r="G48" i="33"/>
  <c r="U7" i="33"/>
  <c r="G34" i="46"/>
  <c r="I34" i="46"/>
  <c r="E34" i="46"/>
  <c r="G37" i="46"/>
  <c r="I37" i="46"/>
  <c r="E37" i="46"/>
  <c r="S7" i="35"/>
  <c r="AA7" i="35"/>
  <c r="R38" i="35"/>
  <c r="G46" i="36"/>
  <c r="H46" i="36"/>
  <c r="I46" i="36"/>
  <c r="J46" i="36"/>
  <c r="K46" i="36"/>
  <c r="L46" i="36"/>
  <c r="M46" i="36"/>
  <c r="N46" i="36"/>
  <c r="O46" i="36"/>
  <c r="J7" i="36"/>
  <c r="H7" i="36"/>
  <c r="AC7" i="35"/>
  <c r="V38" i="35"/>
  <c r="I38" i="35"/>
  <c r="W7" i="35"/>
  <c r="AA7" i="37"/>
  <c r="R42" i="37"/>
  <c r="S7" i="37"/>
  <c r="AC7" i="37"/>
  <c r="V42" i="37"/>
  <c r="I42" i="37"/>
  <c r="W7" i="37"/>
  <c r="AB7" i="34"/>
  <c r="T49" i="34"/>
  <c r="G49" i="34"/>
  <c r="U7" i="34"/>
  <c r="E6" i="3"/>
  <c r="E62" i="40"/>
  <c r="E67" i="39"/>
  <c r="D16" i="43"/>
  <c r="C16" i="43"/>
  <c r="C21" i="4"/>
  <c r="O5" i="54"/>
  <c r="B45" i="63"/>
  <c r="D10" i="11"/>
  <c r="D16" i="12"/>
  <c r="E6" i="6"/>
  <c r="L38" i="9"/>
  <c r="B14" i="66"/>
  <c r="B1" i="66"/>
  <c r="D45" i="9"/>
  <c r="D46" i="9"/>
  <c r="E16" i="6"/>
  <c r="I19" i="6"/>
  <c r="M27" i="6"/>
  <c r="E65" i="39"/>
  <c r="E60" i="40"/>
  <c r="E66" i="39"/>
  <c r="E61" i="40"/>
  <c r="D3" i="6"/>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c r="D24" i="43"/>
  <c r="F18" i="11"/>
  <c r="C18" i="11"/>
  <c r="F33" i="12"/>
  <c r="C34" i="12"/>
  <c r="D33" i="12"/>
  <c r="L16" i="1"/>
  <c r="C13" i="43"/>
  <c r="N16" i="1"/>
  <c r="C29" i="43"/>
  <c r="T16" i="1"/>
  <c r="H12" i="40"/>
  <c r="F12" i="40"/>
  <c r="J12" i="39"/>
  <c r="J12" i="40"/>
  <c r="F12" i="39"/>
  <c r="H12" i="39"/>
  <c r="O16" i="1"/>
  <c r="P6" i="1"/>
  <c r="P16" i="1"/>
  <c r="C13" i="12"/>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C48" i="15"/>
  <c r="L47" i="44"/>
  <c r="F17" i="11"/>
  <c r="C17" i="11"/>
  <c r="C19"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6" i="1"/>
  <c r="C14" i="15"/>
  <c r="C16" i="44"/>
  <c r="C15" i="15"/>
  <c r="C18" i="15"/>
  <c r="C17" i="44"/>
  <c r="C20" i="44"/>
  <c r="AB7" i="36"/>
  <c r="T36" i="36"/>
  <c r="G36" i="36"/>
  <c r="U7" i="36"/>
  <c r="G47" i="37"/>
  <c r="H47" i="37"/>
  <c r="G46" i="37"/>
  <c r="H46" i="37"/>
  <c r="AC7" i="33"/>
  <c r="V48" i="33"/>
  <c r="I48" i="33"/>
  <c r="W7" i="33"/>
  <c r="F7" i="36"/>
  <c r="G53" i="34"/>
  <c r="H53" i="34"/>
  <c r="G54" i="34"/>
  <c r="H54" i="34"/>
  <c r="I46" i="37"/>
  <c r="J46" i="37"/>
  <c r="I47" i="37"/>
  <c r="J47" i="37"/>
  <c r="E42" i="37"/>
  <c r="R43" i="37"/>
  <c r="I42" i="35"/>
  <c r="J42" i="35"/>
  <c r="W7" i="36"/>
  <c r="AC7" i="36"/>
  <c r="V36" i="36"/>
  <c r="I36" i="36"/>
  <c r="R39" i="35"/>
  <c r="E38" i="35"/>
  <c r="G52" i="33"/>
  <c r="H52" i="33"/>
  <c r="G53" i="33"/>
  <c r="H53" i="33"/>
  <c r="L72" i="39"/>
  <c r="M70" i="39"/>
  <c r="AC7" i="34"/>
  <c r="V49" i="34"/>
  <c r="I49" i="34"/>
  <c r="W7" i="34"/>
  <c r="G42" i="35"/>
  <c r="H42" i="35"/>
  <c r="G43" i="35"/>
  <c r="H43" i="35"/>
  <c r="E67" i="40"/>
  <c r="F65" i="40"/>
  <c r="R50" i="34"/>
  <c r="E49" i="34"/>
  <c r="AA7" i="33"/>
  <c r="R48" i="33"/>
  <c r="S7" i="33"/>
  <c r="I27" i="6"/>
  <c r="S19" i="6"/>
  <c r="S27" i="6"/>
  <c r="D13" i="11"/>
  <c r="C13" i="11"/>
  <c r="D22" i="12"/>
  <c r="C22" i="12"/>
  <c r="C20" i="12"/>
  <c r="E68" i="39"/>
  <c r="K38" i="9"/>
  <c r="C14" i="66"/>
  <c r="B2" i="66"/>
  <c r="D26" i="6"/>
  <c r="D11" i="6"/>
  <c r="H20" i="6"/>
  <c r="D9" i="6"/>
  <c r="D29" i="6"/>
  <c r="D15" i="6"/>
  <c r="C22" i="4"/>
  <c r="D21" i="6"/>
  <c r="D10" i="6"/>
  <c r="H21" i="6"/>
  <c r="D6" i="6"/>
  <c r="D14" i="6"/>
  <c r="D20" i="6"/>
  <c r="R20" i="6"/>
  <c r="H23" i="6"/>
  <c r="F46" i="9"/>
  <c r="H19" i="6"/>
  <c r="D24" i="6"/>
  <c r="D22" i="6"/>
  <c r="D12" i="6"/>
  <c r="H25" i="6"/>
  <c r="D5" i="6"/>
  <c r="H22" i="6"/>
  <c r="H26" i="6"/>
  <c r="F45" i="9"/>
  <c r="E63" i="40"/>
  <c r="D19" i="6"/>
  <c r="D25" i="6"/>
  <c r="D13" i="6"/>
  <c r="H24" i="6"/>
  <c r="D23" i="6"/>
  <c r="R23" i="6"/>
  <c r="D28" i="6"/>
  <c r="D30" i="6"/>
  <c r="D8" i="6"/>
  <c r="D16" i="6"/>
  <c r="E45" i="9"/>
  <c r="E46" i="9"/>
  <c r="C7" i="66"/>
  <c r="C8" i="66"/>
  <c r="D19" i="12"/>
  <c r="C19" i="12"/>
  <c r="C16" i="12"/>
  <c r="AA12" i="39"/>
  <c r="S12" i="39"/>
  <c r="W12" i="39"/>
  <c r="AC12" i="39"/>
  <c r="AB12" i="40"/>
  <c r="U12" i="40"/>
  <c r="C14" i="12"/>
  <c r="C17" i="12"/>
  <c r="U12" i="39"/>
  <c r="AB12" i="39"/>
  <c r="AC12" i="40"/>
  <c r="W12" i="40"/>
  <c r="S12" i="40"/>
  <c r="AA12" i="40"/>
  <c r="C14" i="43"/>
  <c r="C17" i="43"/>
  <c r="C30" i="46"/>
  <c r="E30" i="46"/>
  <c r="C27" i="46"/>
  <c r="E29" i="46"/>
  <c r="C115" i="46"/>
  <c r="D113" i="46"/>
  <c r="S6" i="46"/>
  <c r="T6" i="46"/>
  <c r="V6" i="46"/>
  <c r="S2" i="46"/>
  <c r="T2" i="46"/>
  <c r="V2" i="46"/>
  <c r="S5" i="46"/>
  <c r="T5" i="46"/>
  <c r="V5" i="46"/>
  <c r="S3" i="46"/>
  <c r="T3" i="46"/>
  <c r="V3" i="46"/>
  <c r="S4" i="46"/>
  <c r="T4" i="46"/>
  <c r="V4" i="46"/>
  <c r="S7" i="46"/>
  <c r="T7" i="46"/>
  <c r="V7" i="46"/>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F41" i="15"/>
  <c r="L52" i="44"/>
  <c r="F7" i="67"/>
  <c r="F68" i="15"/>
  <c r="J29" i="15"/>
  <c r="C19" i="15"/>
  <c r="C20" i="15"/>
  <c r="C26" i="15"/>
  <c r="C21" i="44"/>
  <c r="C22" i="44"/>
  <c r="H27" i="6"/>
  <c r="R25" i="6"/>
  <c r="E54" i="34"/>
  <c r="F54" i="34"/>
  <c r="E53" i="34"/>
  <c r="F53" i="34"/>
  <c r="G65" i="40"/>
  <c r="F67" i="40"/>
  <c r="N70" i="39"/>
  <c r="N72" i="39"/>
  <c r="H9" i="39"/>
  <c r="M72" i="39"/>
  <c r="E42" i="35"/>
  <c r="F42" i="35"/>
  <c r="E43" i="35"/>
  <c r="F43" i="35"/>
  <c r="I40" i="36"/>
  <c r="J40" i="36"/>
  <c r="I43" i="35"/>
  <c r="J43" i="35"/>
  <c r="C42" i="37"/>
  <c r="C43" i="37"/>
  <c r="B3" i="37"/>
  <c r="B2" i="37"/>
  <c r="R49" i="33"/>
  <c r="E48" i="33"/>
  <c r="I53" i="33"/>
  <c r="J53" i="33"/>
  <c r="C50" i="34"/>
  <c r="B3" i="34"/>
  <c r="B2" i="34"/>
  <c r="C49" i="34"/>
  <c r="I53" i="34"/>
  <c r="J53" i="34"/>
  <c r="I54" i="34"/>
  <c r="J54" i="34"/>
  <c r="F9" i="39"/>
  <c r="C38" i="35"/>
  <c r="C39" i="35"/>
  <c r="B3" i="35"/>
  <c r="B2" i="35"/>
  <c r="E46" i="37"/>
  <c r="F46" i="37"/>
  <c r="E47" i="37"/>
  <c r="F47" i="37"/>
  <c r="S7" i="36"/>
  <c r="AA7" i="36"/>
  <c r="R36" i="36"/>
  <c r="I52" i="33"/>
  <c r="J52" i="33"/>
  <c r="G41" i="36"/>
  <c r="H41" i="36"/>
  <c r="G40" i="36"/>
  <c r="H40" i="36"/>
  <c r="C18" i="12"/>
  <c r="C23" i="12"/>
  <c r="D27" i="6"/>
  <c r="D31" i="6"/>
  <c r="R19" i="6"/>
  <c r="R22" i="6"/>
  <c r="R21" i="6"/>
  <c r="D7" i="66"/>
  <c r="D8" i="66"/>
  <c r="R24" i="6"/>
  <c r="A20" i="64"/>
  <c r="A6" i="51"/>
  <c r="B7" i="63"/>
  <c r="N5" i="54"/>
  <c r="B43" i="63"/>
  <c r="A20" i="51"/>
  <c r="B15" i="63"/>
  <c r="A6" i="64"/>
  <c r="R26" i="6"/>
  <c r="C18" i="43"/>
  <c r="C19" i="43"/>
  <c r="C25" i="43"/>
  <c r="C24" i="43"/>
  <c r="E4" i="67"/>
  <c r="C26" i="46"/>
  <c r="C25" i="44"/>
  <c r="C23" i="15"/>
  <c r="C29" i="15"/>
  <c r="C36" i="15"/>
  <c r="C28" i="44"/>
  <c r="C31" i="44"/>
  <c r="Q51" i="44"/>
  <c r="Q69" i="44"/>
  <c r="L58" i="44"/>
  <c r="L61" i="44"/>
  <c r="C32" i="15"/>
  <c r="C38" i="15"/>
  <c r="B5" i="11"/>
  <c r="B3" i="11"/>
  <c r="B4" i="11"/>
  <c r="C59" i="15"/>
  <c r="C65" i="15"/>
  <c r="C27" i="12"/>
  <c r="D26" i="12"/>
  <c r="C32" i="12"/>
  <c r="D30" i="12"/>
  <c r="C22" i="43"/>
  <c r="C21" i="43"/>
  <c r="C28" i="43"/>
  <c r="C30" i="43"/>
  <c r="C32" i="43"/>
  <c r="B2" i="43"/>
  <c r="Q49" i="44"/>
  <c r="Q55" i="44"/>
  <c r="Q67" i="44"/>
  <c r="Q58" i="44"/>
  <c r="E7" i="67"/>
  <c r="R27" i="6"/>
  <c r="R6" i="1"/>
  <c r="R16" i="1"/>
  <c r="S9" i="39"/>
  <c r="AA9" i="39"/>
  <c r="R49" i="39"/>
  <c r="AB9" i="39"/>
  <c r="T49" i="39"/>
  <c r="G49" i="39"/>
  <c r="U9" i="39"/>
  <c r="G67" i="40"/>
  <c r="H65" i="40"/>
  <c r="E36" i="36"/>
  <c r="R37" i="36"/>
  <c r="J9" i="39"/>
  <c r="C48" i="33"/>
  <c r="C49" i="33"/>
  <c r="B3" i="33"/>
  <c r="B2" i="33"/>
  <c r="E52" i="33"/>
  <c r="F52" i="33"/>
  <c r="E53" i="33"/>
  <c r="F53" i="33"/>
  <c r="I5" i="6"/>
  <c r="I6" i="6"/>
  <c r="E3" i="67"/>
  <c r="B2" i="46"/>
  <c r="J21" i="44"/>
  <c r="J19" i="44"/>
  <c r="Q50" i="15"/>
  <c r="C13" i="15"/>
  <c r="J35" i="15"/>
  <c r="C56" i="15"/>
  <c r="C60" i="15"/>
  <c r="C58" i="15"/>
  <c r="J19" i="15"/>
  <c r="J17" i="15"/>
  <c r="C38" i="44"/>
  <c r="C35" i="44"/>
  <c r="C33" i="44"/>
  <c r="J16" i="44"/>
  <c r="J24" i="44"/>
  <c r="C15" i="44"/>
  <c r="Q72" i="44"/>
  <c r="J59" i="15"/>
  <c r="J60" i="15"/>
  <c r="Q49" i="15"/>
  <c r="C33" i="15"/>
  <c r="C31" i="15"/>
  <c r="J14" i="15"/>
  <c r="J22" i="15"/>
  <c r="B5" i="43"/>
  <c r="B4" i="43"/>
  <c r="B3" i="43"/>
  <c r="Q68" i="44"/>
  <c r="Q77" i="44"/>
  <c r="Q59" i="44"/>
  <c r="Q64" i="44"/>
  <c r="B7" i="67"/>
  <c r="AC9" i="39"/>
  <c r="V49" i="39"/>
  <c r="I49" i="39"/>
  <c r="G54" i="39"/>
  <c r="H54" i="39"/>
  <c r="W9" i="39"/>
  <c r="E40" i="36"/>
  <c r="F40" i="36"/>
  <c r="E41" i="36"/>
  <c r="F41" i="36"/>
  <c r="I41" i="36"/>
  <c r="J41" i="36"/>
  <c r="H67" i="40"/>
  <c r="I65" i="40"/>
  <c r="E49" i="39"/>
  <c r="C36" i="36"/>
  <c r="C37" i="36"/>
  <c r="B3" i="36"/>
  <c r="B2" i="36"/>
  <c r="G53" i="39"/>
  <c r="H53" i="39"/>
  <c r="B2" i="67"/>
  <c r="D4" i="46"/>
  <c r="B4" i="46"/>
  <c r="B3" i="46"/>
  <c r="J15" i="44"/>
  <c r="J25" i="44"/>
  <c r="C37" i="15"/>
  <c r="C30" i="15"/>
  <c r="C39" i="15"/>
  <c r="C40" i="15"/>
  <c r="C55" i="15"/>
  <c r="C64" i="15"/>
  <c r="C63" i="15"/>
  <c r="Q71" i="15"/>
  <c r="J13" i="15"/>
  <c r="J23" i="15"/>
  <c r="J16" i="15"/>
  <c r="J25" i="15"/>
  <c r="C39" i="44"/>
  <c r="C32" i="44"/>
  <c r="C42" i="44"/>
  <c r="Q71" i="44"/>
  <c r="Q70" i="44"/>
  <c r="C43" i="44"/>
  <c r="J18" i="44"/>
  <c r="J27" i="44"/>
  <c r="L51" i="15"/>
  <c r="R50" i="39"/>
  <c r="C50" i="39"/>
  <c r="E53" i="39"/>
  <c r="F53" i="39"/>
  <c r="E54" i="39"/>
  <c r="F54" i="39"/>
  <c r="J65" i="40"/>
  <c r="I67" i="40"/>
  <c r="I54" i="39"/>
  <c r="J54" i="39"/>
  <c r="I53" i="39"/>
  <c r="J53" i="39"/>
  <c r="B4" i="67"/>
  <c r="B3" i="67"/>
  <c r="C57" i="15"/>
  <c r="C66" i="15"/>
  <c r="C67" i="15"/>
  <c r="C70" i="15"/>
  <c r="J39" i="15"/>
  <c r="J40" i="15"/>
  <c r="Q70" i="15"/>
  <c r="Q69" i="15"/>
  <c r="C44" i="44"/>
  <c r="C45" i="44"/>
  <c r="B2" i="44"/>
  <c r="B3" i="44"/>
  <c r="Q68" i="15"/>
  <c r="L57" i="15"/>
  <c r="L60" i="15"/>
  <c r="L46" i="15"/>
  <c r="B2" i="15"/>
  <c r="C43" i="15"/>
  <c r="Q48" i="15"/>
  <c r="Q54" i="15"/>
  <c r="Q66" i="15"/>
  <c r="Q57" i="15"/>
  <c r="J42" i="15"/>
  <c r="J43" i="15"/>
  <c r="B4" i="44"/>
  <c r="C46" i="15"/>
  <c r="C49" i="39"/>
  <c r="B3" i="15"/>
  <c r="C8" i="12"/>
  <c r="C10" i="12"/>
  <c r="C6" i="12"/>
  <c r="K65" i="40"/>
  <c r="J67" i="40"/>
  <c r="B66" i="39"/>
  <c r="F66" i="39"/>
  <c r="B61" i="39"/>
  <c r="F61" i="39"/>
  <c r="B59" i="39"/>
  <c r="F59" i="39"/>
  <c r="B67" i="39"/>
  <c r="F67" i="39"/>
  <c r="B62" i="39"/>
  <c r="F62" i="39"/>
  <c r="B64" i="39"/>
  <c r="F64" i="39"/>
  <c r="B65" i="39"/>
  <c r="F65" i="39"/>
  <c r="B58" i="39"/>
  <c r="F58" i="39"/>
  <c r="B60" i="39"/>
  <c r="F60" i="39"/>
  <c r="B63" i="39"/>
  <c r="F63" i="39"/>
  <c r="B5" i="44"/>
  <c r="Q58" i="15"/>
  <c r="Q63" i="15"/>
  <c r="Q67" i="15"/>
  <c r="Q76" i="15"/>
  <c r="F68" i="39"/>
  <c r="B2" i="39"/>
  <c r="B3" i="39"/>
  <c r="C24" i="12"/>
  <c r="C29" i="12"/>
  <c r="K67" i="40"/>
  <c r="L65" i="40"/>
  <c r="C20" i="9"/>
  <c r="C19" i="9"/>
  <c r="B4" i="39"/>
  <c r="B5" i="39"/>
  <c r="L43" i="9"/>
  <c r="C35" i="12"/>
  <c r="C33" i="12"/>
  <c r="C28" i="12"/>
  <c r="C26" i="12"/>
  <c r="C31" i="12"/>
  <c r="C30" i="12"/>
  <c r="M65" i="40"/>
  <c r="L67" i="40"/>
  <c r="C21" i="9"/>
  <c r="C36" i="12"/>
  <c r="B2" i="12"/>
  <c r="B4" i="12"/>
  <c r="N65" i="40"/>
  <c r="N67" i="40"/>
  <c r="M67" i="40"/>
  <c r="D19" i="9"/>
  <c r="D21" i="9"/>
  <c r="B3" i="12"/>
  <c r="B5" i="12"/>
  <c r="G19" i="9"/>
  <c r="C32" i="9"/>
  <c r="D22" i="9"/>
  <c r="L44" i="9"/>
  <c r="G21" i="9"/>
  <c r="G22" i="9"/>
  <c r="J9" i="40"/>
  <c r="F9" i="40"/>
  <c r="H9" i="40"/>
  <c r="D20" i="9"/>
  <c r="N43" i="9"/>
  <c r="G20" i="9"/>
  <c r="C42" i="9"/>
  <c r="C33" i="9"/>
  <c r="C34" i="9"/>
  <c r="O38" i="9"/>
  <c r="C35" i="9"/>
  <c r="F42" i="9"/>
  <c r="O43" i="9"/>
  <c r="AA9" i="40"/>
  <c r="R44" i="40"/>
  <c r="S9" i="40"/>
  <c r="AB9" i="40"/>
  <c r="T44" i="40"/>
  <c r="G44" i="40"/>
  <c r="U9" i="40"/>
  <c r="AC9" i="40"/>
  <c r="V44" i="40"/>
  <c r="I44" i="40"/>
  <c r="W9" i="40"/>
  <c r="K26" i="9"/>
  <c r="K25" i="9"/>
  <c r="D42" i="9"/>
  <c r="Q5" i="54"/>
  <c r="N38" i="9"/>
  <c r="K28" i="9"/>
  <c r="M38" i="9"/>
  <c r="K27" i="9"/>
  <c r="E42" i="9"/>
  <c r="P5" i="54"/>
  <c r="C44" i="9"/>
  <c r="D14" i="66"/>
  <c r="N68" i="9"/>
  <c r="D63" i="9"/>
  <c r="R5" i="54"/>
  <c r="I48" i="40"/>
  <c r="J48" i="40"/>
  <c r="R45" i="40"/>
  <c r="E44" i="40"/>
  <c r="G48" i="40"/>
  <c r="H48" i="40"/>
  <c r="G49" i="40"/>
  <c r="H49" i="40"/>
  <c r="B48" i="63"/>
  <c r="B47" i="63"/>
  <c r="B46" i="63"/>
  <c r="D71" i="9"/>
  <c r="D66" i="9"/>
  <c r="N72" i="9"/>
  <c r="C111" i="9"/>
  <c r="C104" i="9"/>
  <c r="C103" i="9"/>
  <c r="D70" i="9"/>
  <c r="C96" i="9"/>
  <c r="C91" i="9"/>
  <c r="D77" i="9"/>
  <c r="N75" i="9"/>
  <c r="C82" i="9"/>
  <c r="C81" i="9"/>
  <c r="C85" i="9"/>
  <c r="C86" i="9"/>
  <c r="D72" i="9"/>
  <c r="C90" i="9"/>
  <c r="B5" i="66"/>
  <c r="F14" i="66"/>
  <c r="E14" i="66"/>
  <c r="G14" i="66"/>
  <c r="B6" i="66"/>
  <c r="F44" i="9"/>
  <c r="D44" i="9"/>
  <c r="N69" i="9"/>
  <c r="E44" i="9"/>
  <c r="O39" i="9"/>
  <c r="E48" i="40"/>
  <c r="F48" i="40"/>
  <c r="E49" i="40"/>
  <c r="F49" i="40"/>
  <c r="C44" i="40"/>
  <c r="C45" i="40"/>
  <c r="I49" i="40"/>
  <c r="J49" i="40"/>
  <c r="C113" i="9"/>
  <c r="C114" i="9"/>
  <c r="E114" i="9"/>
  <c r="E115" i="9"/>
  <c r="C6" i="66"/>
  <c r="D6" i="66"/>
  <c r="C97" i="9"/>
  <c r="K29" i="9"/>
  <c r="K30" i="9"/>
  <c r="R6" i="54"/>
  <c r="M86" i="9"/>
  <c r="N86" i="9"/>
  <c r="M85" i="9"/>
  <c r="N85" i="9"/>
  <c r="M87" i="9"/>
  <c r="N87" i="9"/>
  <c r="M88" i="9"/>
  <c r="N88" i="9"/>
  <c r="M84" i="9"/>
  <c r="N84" i="9"/>
  <c r="M83" i="9"/>
  <c r="N83" i="9"/>
  <c r="D5" i="66"/>
  <c r="C5" i="66"/>
  <c r="C115" i="9"/>
  <c r="D76" i="9"/>
  <c r="D74" i="9"/>
  <c r="N74" i="9"/>
  <c r="O77" i="9"/>
  <c r="O79" i="9"/>
  <c r="B61" i="40"/>
  <c r="F61" i="40"/>
  <c r="B54" i="40"/>
  <c r="F54" i="40"/>
  <c r="B53" i="40"/>
  <c r="F53" i="40"/>
  <c r="B56" i="40"/>
  <c r="F56" i="40"/>
  <c r="B58" i="40"/>
  <c r="F58" i="40"/>
  <c r="B55" i="40"/>
  <c r="F55" i="40"/>
  <c r="B57" i="40"/>
  <c r="F57" i="40"/>
  <c r="B60" i="40"/>
  <c r="F60" i="40"/>
  <c r="B59" i="40"/>
  <c r="F59" i="40"/>
  <c r="B62" i="40"/>
  <c r="F62" i="40"/>
  <c r="F63" i="40"/>
  <c r="B2" i="40"/>
  <c r="B50" i="63"/>
  <c r="N89" i="9"/>
  <c r="O89" i="9"/>
  <c r="O80" i="9"/>
  <c r="O81" i="9"/>
  <c r="O78" i="9"/>
  <c r="Q77" i="9"/>
  <c r="C98" i="9"/>
  <c r="E98" i="9"/>
  <c r="E99" i="9"/>
  <c r="B3" i="40"/>
  <c r="B5" i="40"/>
  <c r="B4" i="40"/>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<sst xmlns="http://schemas.openxmlformats.org/spreadsheetml/2006/main" count="7822" uniqueCount="3275">
  <si>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</si>
  <si>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</si>
  <si>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</si>
  <si>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</si>
  <si>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</si>
  <si>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</si>
  <si>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</si>
  <si>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</si>
  <si>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</si>
  <si>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</si>
  <si>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</si>
  <si>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</si>
  <si>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</si>
  <si>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</si>
  <si>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</si>
  <si>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</si>
  <si>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</si>
  <si>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</si>
  <si>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</si>
  <si>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</si>
  <si>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</si>
  <si>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</si>
  <si>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</si>
  <si>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</si>
  <si>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</si>
  <si>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</si>
  <si>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</si>
  <si>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</si>
  <si>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</si>
  <si>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</si>
  <si>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</si>
  <si>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</si>
  <si>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</si>
  <si>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</si>
  <si>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</si>
  <si>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</si>
  <si>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</si>
  <si>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</si>
  <si>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</si>
  <si>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</si>
  <si>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</si>
  <si>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</si>
  <si>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</si>
  <si>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</si>
  <si>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</si>
  <si>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</si>
  <si>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</si>
  <si>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</si>
  <si>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</si>
  <si>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</si>
  <si>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</si>
  <si>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</si>
  <si>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</si>
  <si>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</si>
  <si>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</si>
  <si>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</si>
  <si>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</si>
  <si>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</si>
  <si>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</si>
  <si>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</si>
  <si>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</si>
  <si>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</si>
  <si>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</si>
  <si>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</si>
  <si>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</si>
  <si>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</si>
  <si>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</si>
  <si>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</si>
  <si>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</si>
  <si>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</si>
  <si>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</si>
  <si>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</si>
  <si>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</si>
  <si>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</si>
  <si>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</si>
  <si>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</si>
  <si>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</si>
  <si>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</si>
  <si>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</si>
  <si>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</si>
  <si>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</si>
  <si>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</si>
  <si>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</si>
  <si>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</si>
  <si>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</si>
  <si>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</si>
  <si>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</si>
  <si>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</si>
  <si>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</si>
  <si>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</si>
  <si>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</si>
  <si>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</si>
  <si>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</si>
  <si>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</si>
  <si>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</si>
  <si>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</si>
  <si>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</si>
  <si>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</si>
  <si>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</si>
  <si>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</si>
  <si>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</si>
  <si>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</si>
  <si>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</si>
  <si>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</si>
  <si>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</si>
  <si>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</si>
  <si>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</si>
  <si>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</si>
  <si>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</si>
  <si>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</si>
  <si>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</si>
  <si>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</si>
  <si>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</si>
  <si>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</si>
  <si>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</si>
  <si>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</si>
  <si>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</si>
  <si>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</si>
  <si>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</si>
  <si>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</si>
  <si>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</si>
  <si>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</si>
  <si>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</si>
  <si>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</si>
  <si>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</si>
  <si>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</si>
  <si>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</si>
  <si>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</si>
  <si>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</si>
  <si>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</si>
  <si>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</si>
  <si>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</si>
  <si>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</si>
  <si>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</si>
  <si>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</si>
  <si>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</si>
  <si>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</si>
  <si>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</si>
  <si>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</si>
  <si>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</si>
  <si>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</si>
  <si>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</si>
  <si>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</si>
  <si>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</si>
  <si>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</si>
  <si>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</si>
  <si>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</si>
  <si>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</si>
  <si>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</si>
  <si>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</si>
  <si>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</si>
  <si>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</si>
  <si>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</si>
  <si>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</si>
  <si>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</si>
  <si>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</si>
  <si>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</si>
  <si>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</si>
  <si>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</si>
  <si>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</si>
  <si>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</si>
  <si>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</si>
  <si>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</si>
  <si>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</si>
  <si>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</si>
  <si>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</si>
  <si>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</si>
  <si>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</si>
  <si>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</si>
  <si>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</si>
  <si>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</si>
  <si>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</si>
  <si>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</si>
  <si>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</si>
  <si>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</si>
  <si>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</si>
  <si>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</si>
  <si>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</si>
  <si>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</si>
  <si>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</si>
  <si>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</si>
  <si>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</si>
  <si>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</si>
  <si>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</si>
  <si>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</si>
  <si>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</si>
  <si>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</si>
  <si>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</si>
  <si>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</si>
  <si>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</si>
  <si>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</si>
  <si>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</si>
  <si>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</si>
  <si>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</si>
  <si>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</si>
  <si>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</si>
  <si>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</si>
  <si>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</si>
  <si>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</si>
  <si>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</si>
  <si>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</si>
  <si>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</si>
  <si>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</si>
  <si>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</si>
  <si>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</si>
  <si>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</si>
  <si>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</si>
  <si>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</si>
  <si>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</si>
  <si>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</si>
  <si>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</si>
  <si>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</si>
  <si>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</si>
  <si>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</si>
  <si>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</si>
  <si>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</si>
  <si>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</si>
  <si>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</si>
  <si>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</si>
  <si>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</si>
  <si>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</si>
  <si>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</si>
  <si>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</si>
  <si>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</si>
  <si>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</si>
  <si>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</si>
  <si>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</si>
  <si>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</si>
  <si>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</si>
  <si>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</si>
  <si>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</si>
  <si>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</si>
  <si>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</si>
  <si>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</si>
  <si>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</si>
  <si>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</si>
  <si>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</si>
  <si>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</si>
  <si>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</si>
  <si>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</si>
  <si>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</si>
  <si>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</si>
  <si>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</si>
  <si>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</si>
  <si>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</si>
  <si>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</si>
  <si>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</si>
  <si>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</si>
  <si>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</si>
  <si>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</si>
  <si>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</si>
  <si>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</si>
  <si>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</si>
  <si>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</si>
  <si>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</si>
  <si>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</si>
  <si>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</si>
  <si>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</si>
  <si>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</si>
  <si>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</si>
  <si>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</si>
  <si>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</si>
  <si>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</si>
  <si>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</si>
  <si>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</si>
  <si>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</si>
  <si>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</si>
  <si>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</si>
  <si>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</si>
  <si>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</si>
  <si>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</si>
  <si>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</si>
  <si>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</si>
  <si>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</si>
  <si>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</si>
  <si>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</si>
  <si>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</si>
  <si>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</si>
  <si>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</si>
  <si>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</si>
  <si>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</si>
  <si>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</si>
  <si>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</si>
  <si>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</si>
  <si>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</si>
  <si>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</si>
  <si>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</si>
  <si>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</si>
  <si>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</si>
  <si>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</si>
  <si>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</si>
  <si>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</si>
  <si>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</si>
  <si>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</si>
  <si>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</si>
  <si>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</si>
  <si>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</si>
  <si>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</si>
  <si>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</si>
  <si>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</si>
  <si>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</si>
  <si>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</si>
  <si>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</si>
  <si>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</si>
  <si>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</si>
  <si>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</si>
  <si>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</si>
  <si>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</si>
  <si>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</si>
  <si>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</si>
  <si>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</si>
  <si>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</si>
  <si>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</si>
  <si>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</si>
  <si>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</si>
  <si>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</si>
  <si>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</si>
  <si>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</si>
  <si>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</si>
  <si>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</si>
  <si>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</si>
  <si>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</si>
  <si>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</si>
  <si>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</si>
  <si>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</si>
  <si>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</si>
  <si>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</si>
  <si>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</si>
  <si>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</si>
  <si>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</si>
  <si>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</si>
  <si>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</si>
  <si>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</si>
  <si>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</si>
  <si>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</si>
  <si>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</si>
  <si>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</si>
  <si>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</si>
  <si>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</si>
  <si>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</si>
  <si>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</si>
  <si>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</si>
  <si>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</si>
  <si>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</si>
  <si>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</si>
  <si>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</si>
  <si>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</si>
  <si>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</si>
  <si>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</si>
  <si>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</si>
  <si>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</si>
  <si>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</si>
  <si>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</si>
  <si>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</si>
  <si>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</si>
  <si>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</si>
  <si>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</si>
  <si>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</si>
  <si>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</si>
  <si>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</si>
  <si>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</si>
  <si>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</si>
  <si>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</si>
  <si>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</si>
  <si>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</si>
  <si>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</si>
  <si>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</si>
  <si>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</si>
  <si>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</si>
  <si>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</si>
  <si>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</si>
  <si>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</si>
  <si>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</si>
  <si>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</si>
  <si>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</si>
  <si>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</si>
  <si>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</si>
  <si>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</si>
  <si>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</si>
  <si>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</si>
  <si>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</si>
  <si>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</si>
  <si>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</si>
  <si>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</si>
  <si>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</si>
  <si>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</si>
  <si>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</si>
  <si>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</si>
  <si>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</si>
  <si>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</si>
  <si>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</si>
  <si>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</si>
  <si>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</si>
  <si>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</si>
  <si>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</si>
  <si>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</si>
  <si>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</si>
  <si>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</si>
  <si>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</si>
  <si>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</si>
  <si>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</si>
  <si>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</si>
  <si>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</si>
  <si>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</si>
  <si>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</si>
  <si>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</si>
  <si>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</si>
  <si>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</si>
  <si>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</si>
  <si>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</si>
  <si>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</si>
  <si>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</si>
  <si>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</si>
  <si>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</si>
  <si>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</si>
  <si>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</si>
  <si>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</si>
  <si>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</si>
  <si>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</si>
  <si>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</si>
  <si>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</si>
  <si>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</si>
  <si>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</si>
  <si>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</si>
  <si>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</si>
  <si>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</si>
  <si>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</si>
  <si>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</si>
  <si>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</si>
  <si>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</si>
  <si>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</si>
  <si>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</si>
  <si>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</si>
  <si>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</si>
  <si>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</si>
  <si>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</si>
  <si>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</si>
  <si>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</si>
  <si>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</si>
  <si>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</si>
  <si>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</si>
  <si>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</si>
  <si>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</si>
  <si>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</si>
  <si>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</si>
  <si>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</si>
  <si>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</si>
  <si>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</si>
  <si>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</si>
  <si>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</si>
  <si>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</si>
  <si>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</si>
  <si>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</si>
  <si>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</si>
  <si>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</si>
  <si>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</si>
  <si>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</si>
  <si>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</si>
  <si>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</si>
  <si>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</si>
  <si>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</si>
  <si>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</si>
  <si>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</si>
  <si>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</si>
  <si>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</si>
  <si>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</si>
  <si>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</si>
  <si>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</si>
  <si>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</si>
  <si>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</si>
  <si>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</si>
  <si>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</si>
  <si>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</si>
  <si>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</si>
  <si>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</si>
  <si>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</si>
  <si>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</si>
  <si>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</si>
  <si>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</si>
  <si>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</si>
  <si>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</si>
  <si>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</si>
  <si>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</si>
  <si>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</si>
  <si>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</si>
  <si>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</si>
  <si>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</si>
  <si>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</si>
  <si>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</si>
  <si>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</si>
  <si>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</si>
  <si>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</si>
  <si>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</si>
  <si>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</si>
  <si>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</si>
  <si>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</si>
  <si>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</si>
  <si>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</si>
  <si>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</si>
  <si>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</si>
  <si>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</si>
  <si>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</si>
  <si>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</si>
  <si>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</si>
  <si>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</si>
  <si>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</si>
  <si>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</si>
  <si>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</si>
  <si>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</si>
  <si>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</si>
  <si>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</si>
  <si>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</si>
  <si>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</si>
  <si>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</si>
  <si>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</si>
  <si>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</si>
  <si>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</si>
  <si>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</si>
  <si>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</si>
  <si>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</si>
  <si>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</si>
  <si>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</si>
  <si>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</si>
  <si>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</si>
  <si>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</si>
  <si>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</si>
  <si>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</si>
  <si>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</si>
  <si>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</si>
  <si>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</si>
  <si>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</si>
  <si>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</si>
  <si>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</si>
  <si>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</si>
  <si>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</si>
  <si>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</si>
  <si>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</si>
  <si>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</si>
  <si>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</si>
  <si>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</si>
  <si>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</si>
  <si>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</si>
  <si>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</si>
  <si>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</si>
  <si>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</si>
  <si>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</si>
  <si>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</si>
  <si>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</si>
  <si>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</si>
  <si>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</si>
  <si>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</si>
  <si>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</si>
  <si>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</si>
  <si>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</si>
  <si>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</si>
  <si>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</si>
  <si>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</si>
  <si>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</si>
  <si>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</si>
  <si>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</si>
  <si>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</si>
  <si>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</si>
  <si>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</si>
  <si>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</si>
  <si>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</si>
  <si>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</si>
  <si>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</si>
  <si>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</si>
  <si>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</si>
  <si>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</si>
  <si>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</si>
  <si>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</si>
  <si>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</si>
  <si>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</si>
  <si>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</si>
  <si>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</si>
  <si>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</si>
  <si>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</si>
  <si>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</si>
  <si>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</si>
  <si>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</si>
  <si>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</si>
  <si>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</si>
  <si>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</si>
  <si>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</si>
  <si>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</si>
  <si>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</si>
  <si>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</si>
  <si>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</si>
  <si>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</si>
  <si>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</si>
  <si>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</si>
  <si>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</si>
  <si>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</si>
  <si>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</si>
  <si>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</si>
  <si>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</si>
  <si>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</si>
  <si>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</si>
  <si>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</si>
  <si>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</si>
  <si>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</si>
  <si>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</si>
  <si>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</si>
  <si>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</si>
  <si>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</si>
  <si>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</si>
  <si>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</si>
  <si>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</si>
  <si>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</si>
  <si>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</si>
  <si>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</si>
  <si>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</si>
  <si>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</si>
  <si>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</si>
  <si>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</si>
  <si>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</si>
  <si>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</si>
  <si>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</si>
  <si>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</si>
  <si>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</si>
  <si>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</si>
  <si>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</si>
  <si>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</si>
  <si>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</si>
  <si>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</si>
  <si>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</si>
  <si>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</si>
  <si>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</si>
  <si>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</si>
  <si>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</si>
  <si>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</si>
  <si>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</si>
  <si>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</si>
  <si>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</si>
  <si>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</si>
  <si>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</si>
  <si>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</si>
  <si>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</si>
  <si>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</si>
  <si>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</si>
  <si>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</si>
  <si>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</si>
  <si>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</si>
  <si>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</si>
  <si>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</si>
  <si>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</si>
  <si>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</si>
  <si>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</si>
  <si>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</si>
  <si>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</si>
  <si>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</si>
  <si>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</si>
  <si>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</si>
  <si>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</si>
  <si>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</si>
  <si>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</si>
  <si>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</si>
  <si>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</si>
  <si>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</si>
  <si>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</si>
  <si>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</si>
  <si>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</si>
  <si>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</si>
  <si>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</si>
  <si>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</si>
  <si>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</si>
  <si>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</si>
  <si>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</si>
  <si>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</si>
  <si>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</si>
  <si>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</si>
  <si>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</si>
  <si>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</si>
  <si>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</si>
  <si>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</si>
  <si>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</si>
  <si>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</si>
  <si>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</si>
  <si>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</si>
  <si>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</si>
  <si>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</si>
  <si>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</si>
  <si>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</si>
  <si>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</si>
  <si>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</si>
  <si>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</si>
  <si>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</si>
  <si>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</si>
  <si>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</si>
  <si>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</si>
  <si>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</si>
  <si>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</si>
  <si>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</si>
  <si>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</si>
  <si>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</si>
  <si>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</si>
  <si>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</si>
  <si>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</si>
  <si>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</si>
  <si>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</si>
  <si>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</si>
  <si>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</si>
  <si>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</si>
  <si>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</si>
  <si>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</si>
  <si>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</si>
  <si>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</si>
  <si>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</si>
  <si>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</si>
  <si>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</si>
  <si>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</si>
  <si>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</si>
  <si>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</si>
  <si>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</si>
  <si>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</si>
  <si>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</si>
  <si>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</si>
  <si>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</si>
  <si>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</si>
  <si>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</si>
  <si>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</si>
  <si>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</si>
  <si>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</si>
  <si>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</si>
  <si>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</si>
  <si>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</si>
  <si>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</si>
  <si>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</si>
  <si>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</si>
  <si>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</si>
  <si>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</si>
  <si>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</si>
  <si>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</si>
  <si>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</si>
  <si>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</si>
  <si>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</si>
  <si>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</si>
  <si>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</si>
  <si>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</si>
  <si>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</si>
  <si>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</si>
  <si>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</si>
  <si>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</si>
  <si>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</si>
  <si>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</si>
  <si>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</si>
  <si>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</si>
  <si>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</si>
  <si>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</si>
  <si>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</si>
  <si>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</si>
  <si>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</si>
  <si>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</si>
  <si>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</si>
  <si>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</si>
  <si>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</si>
  <si>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</si>
  <si>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</si>
  <si>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</si>
  <si>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</si>
  <si>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</si>
  <si>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</si>
  <si>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</si>
  <si>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</si>
  <si>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</si>
  <si>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</si>
  <si>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</si>
  <si>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</si>
  <si>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</si>
  <si>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</si>
  <si>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</si>
  <si>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</si>
  <si>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</si>
  <si>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</si>
  <si>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</si>
  <si>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</si>
  <si>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</si>
  <si>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</si>
  <si>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</si>
  <si>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</si>
  <si>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</si>
  <si>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</si>
  <si>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</si>
  <si>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</si>
  <si>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</si>
  <si>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</si>
  <si>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</si>
  <si>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</si>
  <si>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</si>
  <si>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</si>
  <si>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</si>
  <si>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</si>
  <si>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</si>
  <si>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</si>
  <si>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</si>
  <si>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</si>
  <si>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</si>
  <si>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</si>
  <si>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</si>
  <si>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</si>
  <si>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</si>
  <si>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</si>
  <si>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</si>
  <si>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</si>
  <si>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</si>
  <si>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</si>
  <si>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</si>
  <si>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</si>
  <si>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</si>
  <si>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</si>
  <si>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</si>
  <si>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</si>
  <si>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</si>
  <si>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</si>
  <si>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</si>
  <si>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</si>
  <si>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</si>
  <si>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</si>
  <si>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</si>
  <si>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</si>
  <si>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</si>
  <si>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</si>
  <si>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</si>
  <si>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</si>
  <si>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</si>
  <si>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</si>
  <si>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</si>
  <si>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</si>
  <si>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</si>
  <si>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</si>
  <si>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</si>
  <si>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</si>
  <si>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</si>
  <si>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</si>
  <si>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</si>
  <si>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</si>
  <si>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</si>
  <si>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</si>
  <si>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</si>
  <si>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</si>
  <si>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</si>
  <si>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</si>
  <si>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</si>
  <si>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</si>
  <si>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</si>
  <si>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</si>
  <si>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</si>
  <si>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</si>
  <si>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</si>
  <si>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</si>
  <si>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</si>
  <si>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</si>
  <si>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</si>
  <si>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</si>
  <si>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</si>
  <si>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</si>
  <si>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</si>
  <si>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</si>
  <si>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</si>
  <si>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</si>
  <si>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</si>
  <si>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</si>
  <si>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</si>
  <si>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</si>
  <si>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</si>
  <si>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</si>
  <si>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</si>
  <si>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</si>
  <si>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</si>
  <si>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</si>
  <si>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</si>
  <si>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</si>
  <si>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</si>
  <si>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</si>
  <si>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</si>
  <si>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</si>
  <si>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</si>
  <si>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</si>
  <si>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</si>
  <si>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</si>
  <si>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</si>
  <si>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</si>
  <si>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</si>
  <si>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</si>
  <si>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</si>
  <si>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</si>
  <si>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</si>
  <si>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</si>
  <si>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</si>
  <si>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</si>
  <si>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</si>
  <si>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</si>
  <si>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</si>
  <si>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</si>
  <si>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</si>
  <si>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</si>
  <si>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</si>
  <si>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</si>
  <si>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</si>
  <si>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</si>
  <si>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</si>
  <si>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</si>
  <si>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</si>
  <si>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</si>
  <si>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</si>
  <si>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</si>
  <si>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</si>
  <si>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</si>
  <si>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</si>
  <si>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</si>
  <si>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</si>
  <si>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</si>
  <si>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</si>
  <si>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</si>
  <si>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</si>
  <si>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</si>
  <si>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</si>
  <si>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</si>
  <si>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</si>
  <si>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</si>
  <si>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</si>
  <si>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</si>
  <si>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</si>
  <si>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</si>
  <si>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</si>
  <si>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</si>
  <si>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</si>
  <si>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</si>
  <si>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</si>
  <si>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</si>
  <si>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</si>
  <si>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</si>
  <si>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</si>
  <si>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</si>
  <si>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</si>
  <si>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</si>
  <si>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</si>
  <si>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</si>
  <si>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</si>
  <si>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</si>
  <si>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</si>
  <si>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</si>
  <si>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</si>
  <si>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</si>
  <si>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</si>
  <si>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</si>
  <si>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</si>
  <si>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</si>
  <si>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</si>
  <si>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</si>
  <si>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</si>
  <si>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</si>
  <si>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</si>
  <si>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</si>
  <si>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</si>
  <si>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</si>
  <si>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</si>
  <si>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</si>
  <si>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</si>
  <si>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</si>
  <si>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</si>
  <si>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</si>
  <si>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</si>
  <si>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</si>
  <si>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</si>
  <si>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</si>
  <si>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</si>
  <si>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</si>
  <si>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</si>
  <si>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</si>
  <si>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</si>
  <si>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</si>
  <si>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</si>
  <si>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</si>
  <si>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</si>
  <si>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</si>
  <si>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</si>
  <si>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</si>
  <si>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</si>
  <si>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</si>
  <si>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</si>
  <si>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</si>
  <si>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</si>
  <si>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</si>
  <si>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</si>
  <si>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</si>
  <si>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</si>
  <si>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</si>
  <si>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</si>
  <si>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</si>
  <si>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</si>
  <si>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</si>
  <si>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</si>
  <si>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</si>
  <si>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</si>
  <si>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</si>
  <si>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</si>
  <si>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</si>
  <si>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</si>
  <si>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</si>
  <si>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</si>
  <si>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</si>
  <si>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</si>
  <si>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</si>
  <si>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</si>
  <si>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</si>
  <si>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</si>
  <si>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</si>
  <si>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</si>
  <si>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</si>
  <si>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</si>
  <si>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</si>
  <si>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</si>
  <si>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</si>
  <si>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</si>
  <si>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</si>
  <si>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</si>
  <si>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</si>
  <si>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</si>
  <si>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</si>
  <si>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</si>
  <si>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</si>
  <si>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</si>
  <si>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</si>
  <si>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</si>
  <si>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</si>
  <si>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</si>
  <si>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</si>
  <si>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</si>
  <si>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</si>
  <si>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</si>
  <si>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</si>
  <si>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</si>
  <si>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</si>
  <si>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</si>
  <si>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</si>
  <si>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</si>
  <si>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</si>
  <si>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</si>
  <si>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</si>
  <si>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</si>
  <si>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</si>
  <si>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</si>
  <si>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</si>
  <si>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</si>
  <si>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</si>
  <si>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</si>
  <si>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</si>
  <si>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</si>
  <si>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</si>
  <si>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</si>
  <si>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</si>
  <si>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</si>
  <si>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</si>
  <si>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</si>
  <si>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</si>
  <si>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</si>
  <si>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</si>
  <si>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</si>
  <si>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</si>
  <si>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</si>
  <si>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</si>
  <si>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</si>
  <si>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</si>
  <si>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</si>
  <si>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</si>
  <si>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</si>
  <si>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</si>
  <si>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</si>
  <si>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</si>
  <si>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</si>
  <si>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</si>
  <si>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</si>
  <si>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</si>
  <si>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</si>
  <si>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</si>
  <si>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</si>
  <si>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</si>
  <si>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</si>
  <si>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</si>
  <si>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</si>
  <si>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</si>
  <si>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</si>
  <si>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</si>
  <si>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</si>
  <si>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</si>
  <si>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</si>
  <si>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</si>
  <si>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</si>
  <si>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</si>
  <si>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</si>
  <si>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</si>
  <si>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</si>
  <si>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</si>
  <si>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</si>
  <si>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</si>
  <si>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</si>
  <si>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</si>
  <si>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</si>
  <si>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</si>
  <si>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</si>
  <si>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</si>
  <si>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</si>
  <si>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</si>
  <si>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</si>
  <si>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</si>
  <si>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</si>
  <si>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</si>
  <si>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</si>
  <si>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</si>
  <si>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</si>
  <si>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</si>
  <si>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</si>
  <si>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</si>
  <si>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</si>
  <si>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</si>
  <si>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</si>
  <si>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</si>
  <si>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</si>
  <si>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</si>
  <si>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</si>
  <si>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</si>
  <si>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</si>
  <si>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</si>
  <si>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</si>
  <si>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</si>
  <si>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</si>
  <si>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</si>
  <si>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</si>
  <si>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</si>
  <si>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</si>
  <si>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</si>
  <si>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</si>
  <si>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</si>
  <si>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</si>
  <si>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</si>
  <si>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</si>
  <si>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</si>
  <si>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</si>
  <si>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</si>
  <si>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</si>
  <si>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</si>
  <si>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</si>
  <si>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</si>
  <si>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</si>
  <si>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</si>
  <si>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</si>
  <si>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</si>
  <si>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</si>
  <si>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</si>
  <si>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</si>
  <si>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</si>
  <si>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</si>
  <si>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</si>
  <si>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</si>
  <si>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</si>
  <si>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</si>
  <si>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</si>
  <si>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</si>
  <si>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</si>
  <si>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</si>
  <si>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</si>
  <si>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</si>
  <si>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</si>
  <si>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</si>
  <si>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</si>
  <si>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</si>
  <si>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</si>
  <si>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</si>
  <si>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</si>
  <si>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</si>
  <si>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</si>
  <si>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</si>
  <si>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</si>
  <si>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</si>
  <si>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</si>
  <si>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</si>
  <si>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</si>
  <si>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</si>
  <si>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</si>
  <si>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</si>
  <si>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</si>
  <si>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</si>
  <si>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</si>
  <si>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</si>
  <si>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</si>
  <si>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</si>
  <si>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</si>
  <si>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</si>
  <si>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</si>
  <si>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</si>
  <si>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</si>
  <si>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</si>
  <si>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</si>
  <si>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</si>
  <si>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</si>
  <si>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</si>
  <si>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</si>
  <si>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</si>
  <si>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</si>
  <si>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</si>
  <si>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</si>
  <si>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</si>
  <si>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</si>
  <si>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</si>
  <si>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</si>
  <si>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</si>
  <si>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</si>
  <si>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</si>
  <si>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</si>
  <si>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</si>
  <si>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</si>
  <si>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</si>
  <si>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</si>
  <si>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</si>
  <si>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</si>
  <si>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</si>
  <si>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</si>
  <si>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</si>
  <si>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</si>
  <si>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</si>
  <si>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</si>
  <si>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</si>
  <si>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</si>
  <si>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</si>
  <si>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</si>
  <si>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</si>
  <si>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</si>
  <si>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</si>
  <si>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</si>
  <si>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</si>
  <si>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</si>
  <si>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</si>
  <si>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</si>
  <si>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</si>
  <si>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</si>
  <si>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</si>
  <si>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</si>
  <si>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</si>
  <si>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</si>
  <si>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</si>
  <si>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</si>
  <si>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</si>
  <si>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</si>
  <si>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</si>
  <si>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</si>
  <si>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</si>
  <si>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</si>
  <si>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</si>
  <si>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</si>
  <si>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</si>
  <si>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</si>
  <si>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</si>
  <si>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</si>
  <si>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</si>
  <si>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</si>
  <si>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</si>
  <si>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</si>
  <si>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</si>
  <si>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</si>
  <si>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</si>
  <si>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</si>
  <si>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</si>
  <si>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</si>
  <si>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</si>
  <si>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</si>
  <si>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</si>
  <si>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</si>
  <si>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</si>
  <si>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</si>
  <si>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</si>
  <si>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</si>
  <si>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</si>
  <si>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</si>
  <si>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</si>
  <si>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</si>
  <si>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</si>
  <si>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</si>
  <si>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</si>
  <si>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</si>
  <si>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</si>
  <si>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</si>
  <si>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</si>
  <si>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</si>
  <si>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</si>
  <si>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</si>
  <si>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</si>
  <si>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</si>
  <si>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</si>
  <si>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</si>
  <si>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</si>
  <si>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</si>
  <si>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</si>
  <si>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</si>
  <si>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</si>
  <si>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</si>
  <si>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</si>
  <si>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</si>
  <si>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</si>
  <si>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</si>
  <si>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</si>
  <si>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</si>
  <si>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</si>
  <si>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</si>
  <si>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</si>
  <si>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</si>
  <si>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</si>
  <si>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</si>
  <si>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</si>
  <si>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</si>
  <si>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</si>
  <si>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</si>
  <si>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</si>
  <si>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</si>
  <si>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</si>
  <si>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</si>
  <si>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</si>
  <si>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</si>
  <si>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</si>
  <si>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</si>
  <si>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</si>
  <si>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</si>
  <si>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</si>
  <si>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</si>
  <si>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</si>
  <si>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</si>
  <si>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</si>
  <si>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</si>
  <si>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</si>
  <si>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</si>
  <si>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</si>
  <si>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</si>
  <si>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</si>
  <si>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</si>
  <si>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</si>
  <si>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</si>
  <si>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</si>
  <si>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</si>
  <si>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</si>
  <si>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</si>
  <si>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</si>
  <si>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</si>
  <si>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</si>
  <si>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</si>
  <si>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</si>
  <si>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</si>
  <si>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</si>
  <si>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</si>
  <si>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</si>
  <si>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</si>
  <si>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</si>
  <si>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</si>
  <si>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</si>
  <si>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</si>
  <si>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</si>
  <si>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</si>
  <si>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</si>
  <si>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</si>
  <si>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</si>
  <si>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</si>
  <si>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</si>
  <si>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</si>
  <si>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</si>
  <si>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</si>
  <si>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</si>
  <si>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</si>
  <si>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</si>
  <si>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</si>
  <si>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</si>
  <si>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</si>
  <si>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</si>
  <si>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</si>
  <si>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</si>
  <si>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</si>
  <si>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</si>
  <si>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</si>
  <si>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</si>
  <si>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</si>
  <si>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</si>
  <si>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</si>
  <si>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</si>
  <si>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</si>
  <si>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</si>
  <si>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</si>
  <si>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</si>
  <si>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</si>
  <si>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</si>
  <si>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</si>
  <si>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</si>
  <si>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</si>
  <si>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</si>
  <si>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</si>
  <si>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</si>
  <si>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</si>
  <si>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</si>
  <si>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</si>
  <si>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</si>
  <si>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</si>
  <si>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</si>
  <si>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</si>
  <si>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</si>
  <si>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</si>
  <si>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</si>
  <si>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</si>
  <si>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</si>
  <si>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</si>
  <si>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</si>
  <si>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</si>
  <si>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</si>
  <si>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</si>
  <si>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</si>
  <si>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</si>
  <si>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</si>
  <si>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</si>
  <si>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</si>
  <si>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</si>
  <si>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</si>
  <si>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</si>
  <si>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</si>
  <si>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</si>
  <si>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</si>
  <si>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</si>
  <si>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</si>
  <si>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</si>
  <si>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</si>
  <si>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</si>
  <si>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</si>
  <si>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</si>
  <si>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</si>
  <si>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</si>
  <si>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</si>
  <si>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</si>
  <si>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</si>
  <si>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</si>
  <si>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</si>
  <si>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</si>
  <si>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</si>
  <si>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</si>
  <si>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</si>
  <si>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</si>
  <si>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</si>
  <si>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</si>
  <si>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</si>
  <si>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</si>
  <si>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</si>
  <si>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</si>
  <si>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</si>
  <si>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</si>
  <si>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</si>
  <si>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</si>
  <si>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</si>
  <si>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</si>
  <si>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</si>
  <si>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</si>
  <si>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</si>
  <si>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</si>
  <si>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</si>
  <si>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</si>
  <si>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</si>
  <si>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</si>
  <si>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</si>
  <si>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</si>
  <si>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</si>
  <si>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</si>
  <si>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</si>
  <si>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</si>
  <si>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</si>
  <si>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</si>
  <si>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</si>
  <si>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</si>
  <si>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</si>
  <si>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</si>
  <si>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</si>
  <si>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</si>
  <si>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</si>
  <si>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</si>
  <si>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</si>
  <si>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</si>
  <si>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</si>
  <si>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</si>
  <si>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</si>
  <si>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</si>
  <si>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</si>
  <si>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</si>
  <si>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</si>
  <si>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</si>
  <si>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</si>
  <si>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</si>
  <si>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</si>
  <si>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</si>
  <si>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</si>
  <si>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</si>
  <si>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</si>
  <si>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</si>
  <si>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</si>
  <si>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</si>
  <si>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</si>
  <si>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</si>
  <si>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</si>
  <si>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</si>
  <si>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</si>
  <si>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</si>
  <si>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</si>
  <si>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</si>
  <si>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</si>
  <si>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</si>
  <si>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</si>
  <si>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</si>
  <si>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</si>
  <si>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</si>
  <si>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</si>
  <si>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</si>
  <si>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</si>
  <si>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</si>
  <si>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</si>
  <si>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</si>
  <si>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</si>
  <si>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</si>
  <si>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</si>
  <si>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</si>
  <si>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</si>
  <si>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</si>
  <si>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</si>
  <si>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</si>
  <si>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</si>
  <si>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</si>
  <si>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</si>
  <si>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</si>
  <si>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</si>
  <si>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</si>
  <si>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</si>
  <si>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</si>
  <si>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</si>
  <si>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</si>
  <si>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</si>
  <si>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</si>
  <si>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</si>
  <si>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</si>
  <si>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</si>
  <si>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</si>
  <si>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</si>
  <si>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</si>
  <si>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</si>
  <si>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</si>
  <si>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</si>
  <si>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</si>
  <si>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</si>
  <si>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</si>
  <si>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</si>
  <si>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</si>
  <si>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</si>
  <si>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</si>
  <si>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</si>
  <si>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</si>
  <si>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</si>
  <si>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</si>
  <si>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</si>
  <si>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</si>
  <si>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</si>
  <si>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</si>
  <si>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</si>
  <si>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</si>
  <si>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</si>
  <si>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</si>
  <si>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</si>
  <si>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</si>
  <si>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</si>
  <si>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</si>
  <si>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</si>
  <si>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</si>
  <si>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</si>
  <si>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</si>
  <si>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</si>
  <si>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</si>
  <si>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</si>
  <si>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</si>
  <si>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</si>
  <si>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</si>
  <si>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</si>
  <si>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</si>
  <si>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</si>
  <si>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</si>
  <si>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</si>
  <si>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</si>
  <si>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</si>
  <si>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</si>
  <si>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</si>
  <si>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</si>
  <si>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</si>
  <si>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</si>
  <si>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</si>
  <si>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</si>
  <si>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</si>
  <si>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</si>
  <si>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</si>
  <si>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</si>
  <si>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</si>
  <si>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</si>
  <si>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</si>
  <si>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</si>
  <si>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</si>
  <si>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</si>
  <si>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</si>
  <si>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</si>
  <si>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</si>
  <si>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</si>
  <si>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</si>
  <si>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</si>
  <si>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</si>
  <si>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</si>
  <si>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</si>
  <si>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</si>
  <si>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</si>
  <si>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</si>
  <si>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</si>
  <si>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</si>
  <si>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</si>
  <si>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</si>
  <si>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</si>
  <si>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</si>
  <si>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</si>
  <si>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</si>
  <si>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</si>
  <si>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</si>
  <si>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</si>
  <si>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</si>
  <si>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</si>
  <si>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</si>
  <si>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</si>
  <si>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</si>
  <si>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</si>
  <si>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</si>
  <si>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</si>
  <si>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</si>
  <si>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</si>
  <si>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</si>
  <si>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</si>
  <si>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</si>
  <si>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</si>
  <si>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</si>
  <si>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</si>
  <si>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</si>
  <si>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</si>
  <si>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</si>
  <si>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</si>
  <si>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</si>
  <si>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</si>
  <si>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</si>
  <si>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</si>
  <si>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</si>
  <si>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</si>
  <si>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</si>
  <si>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</si>
  <si>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</si>
  <si>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</si>
  <si>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</si>
  <si>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</si>
  <si>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</si>
  <si>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</si>
  <si>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</si>
  <si>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</si>
  <si>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</si>
  <si>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</si>
  <si>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</si>
  <si>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</si>
  <si>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</si>
  <si>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</si>
  <si>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</si>
  <si>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</si>
  <si>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</si>
  <si>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</si>
  <si>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</si>
  <si>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</si>
  <si>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</si>
  <si>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</si>
  <si>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</si>
  <si>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</si>
  <si>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</si>
  <si>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</si>
  <si>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</si>
  <si>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</si>
  <si>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</si>
  <si>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</si>
  <si>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</si>
  <si>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</si>
  <si>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</si>
  <si>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</si>
  <si>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</si>
  <si>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</si>
  <si>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</si>
  <si>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</si>
  <si>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</si>
  <si>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</si>
  <si>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</si>
  <si>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</si>
  <si>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</si>
  <si>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</si>
  <si>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</si>
  <si>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</si>
  <si>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</si>
  <si>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</si>
  <si>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</si>
  <si>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</si>
  <si>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</si>
  <si>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</si>
  <si>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</si>
  <si>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</si>
  <si>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</si>
  <si>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</si>
  <si>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</si>
  <si>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</si>
  <si>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</si>
  <si>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</si>
  <si>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</si>
  <si>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</si>
  <si>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</si>
  <si>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</si>
  <si>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</si>
  <si>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</si>
  <si>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</si>
  <si>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</si>
  <si>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</si>
  <si>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</si>
  <si>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</si>
  <si>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</si>
  <si>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</si>
  <si>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</si>
  <si>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</si>
  <si>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</si>
  <si>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</si>
  <si>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</si>
  <si>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</si>
  <si>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</si>
  <si>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</si>
  <si>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</si>
  <si>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</si>
  <si>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</si>
  <si>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</si>
  <si>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</si>
  <si>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</si>
  <si>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</si>
  <si>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</si>
  <si>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</si>
  <si>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</si>
  <si>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</si>
  <si>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</si>
  <si>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</si>
  <si>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</si>
  <si>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</si>
  <si>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</si>
  <si>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</si>
  <si>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</si>
  <si>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</si>
  <si>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</si>
  <si>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</si>
  <si>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</si>
  <si>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</si>
  <si>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</si>
  <si>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</si>
  <si>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</si>
  <si>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</si>
  <si>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</si>
  <si>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</si>
  <si>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</si>
  <si>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</si>
  <si>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</si>
  <si>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</si>
  <si>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</si>
  <si>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</si>
  <si>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</si>
  <si>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</si>
  <si>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</si>
  <si>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</si>
  <si>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</si>
  <si>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</si>
  <si>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</si>
  <si>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</si>
  <si>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</si>
  <si>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</si>
  <si>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</si>
  <si>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</si>
  <si>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</si>
  <si>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</si>
  <si>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</si>
  <si>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</si>
  <si>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</si>
  <si>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</si>
  <si>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</si>
  <si>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</si>
  <si>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</si>
  <si>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</si>
  <si>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</si>
  <si>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</si>
  <si>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</si>
  <si>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</si>
  <si>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</si>
  <si>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</si>
  <si>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</si>
  <si>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</si>
  <si>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</si>
  <si>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</si>
  <si>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</si>
  <si>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</si>
  <si>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</si>
  <si>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</si>
  <si>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</si>
  <si>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</si>
  <si>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</si>
  <si>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</si>
  <si>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</si>
  <si>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</si>
  <si>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</si>
  <si>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</si>
  <si>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</si>
  <si>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</si>
  <si>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</si>
  <si>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</si>
  <si>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</si>
  <si>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</si>
  <si>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</si>
  <si>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</si>
  <si>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</si>
  <si>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</si>
  <si>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</si>
  <si>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</si>
  <si>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</si>
  <si>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</si>
  <si>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</si>
  <si>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</si>
  <si>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</si>
  <si>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</si>
  <si>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</si>
  <si>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</si>
  <si>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</si>
  <si>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</si>
  <si>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</si>
  <si>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</si>
  <si>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</si>
  <si>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</si>
  <si>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</si>
  <si>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</si>
  <si>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</si>
  <si>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</si>
  <si>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</si>
  <si>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</si>
  <si>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</si>
  <si>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</si>
  <si>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</si>
  <si>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</si>
  <si>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</si>
  <si>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</si>
  <si>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</si>
  <si>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</si>
  <si>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</si>
  <si>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</si>
  <si>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</si>
  <si>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</si>
  <si>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</si>
  <si>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</si>
  <si>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</si>
  <si>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</si>
  <si>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</si>
  <si>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</si>
  <si>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</si>
  <si>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</si>
  <si>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</si>
  <si>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</si>
  <si>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</si>
  <si>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</si>
  <si>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</si>
  <si>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</si>
  <si>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</si>
  <si>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</si>
  <si>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</si>
  <si>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</si>
  <si>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</si>
  <si>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</si>
  <si>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</si>
  <si>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</si>
  <si>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</si>
  <si>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</si>
  <si>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</si>
  <si>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</si>
  <si>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</si>
  <si>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</si>
  <si>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</si>
  <si>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</si>
  <si>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</si>
  <si>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</si>
  <si>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</si>
  <si>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</si>
  <si>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</si>
  <si>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</si>
  <si>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</si>
  <si>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</si>
  <si>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</si>
  <si>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</si>
  <si>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</si>
  <si>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</si>
  <si>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</si>
  <si>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</si>
  <si>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</si>
  <si>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</si>
  <si>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</si>
  <si>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</si>
  <si>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</si>
  <si>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</si>
  <si>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</si>
  <si>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</si>
  <si>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</si>
  <si>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</si>
  <si>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</si>
  <si>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</si>
  <si>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</si>
  <si>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</si>
  <si>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</si>
  <si>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</si>
  <si>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</si>
  <si>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</si>
  <si>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</si>
  <si>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</si>
  <si>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</si>
  <si>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</si>
  <si>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</si>
  <si>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</si>
  <si>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</si>
  <si>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</si>
  <si>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</si>
  <si>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</si>
  <si>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</si>
  <si>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</si>
  <si>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</si>
  <si>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</si>
  <si>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</si>
  <si>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</si>
  <si>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</si>
  <si>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</si>
  <si>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</si>
  <si>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</si>
  <si>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</si>
  <si>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</si>
  <si>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</si>
  <si>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</si>
  <si>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</si>
  <si>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</si>
  <si>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</si>
  <si>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</si>
  <si>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</si>
  <si>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</si>
  <si>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</si>
  <si>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</si>
  <si>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</si>
  <si>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</si>
  <si>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</si>
  <si>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</si>
  <si>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</si>
  <si>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</si>
  <si>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</si>
  <si>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</si>
  <si>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</si>
  <si>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</si>
  <si>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</si>
  <si>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</si>
  <si>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</si>
  <si>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</si>
  <si>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</si>
  <si>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</si>
  <si>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</si>
  <si>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</si>
  <si>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</si>
  <si>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</si>
  <si>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</si>
  <si>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</si>
  <si>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</si>
  <si>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</si>
  <si>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</si>
  <si>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</si>
  <si>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</si>
  <si>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</si>
  <si>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</si>
  <si>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</si>
  <si>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</si>
  <si>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</si>
  <si>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</si>
  <si>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</si>
  <si>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</si>
  <si>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</si>
  <si>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</si>
  <si>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</si>
  <si>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</si>
  <si>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</si>
  <si>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</si>
  <si>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</si>
  <si>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</si>
  <si>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</si>
  <si>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</si>
  <si>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</si>
  <si>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</si>
  <si>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</si>
  <si>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</si>
  <si>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</si>
  <si>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</si>
  <si>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</si>
  <si>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</si>
  <si>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</si>
  <si>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</si>
  <si>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</si>
  <si>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</si>
  <si>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</si>
  <si>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</si>
  <si>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</si>
  <si>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</si>
  <si>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</si>
  <si>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</si>
  <si>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</si>
  <si>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</si>
  <si>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</si>
  <si>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</si>
  <si>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</si>
  <si>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</si>
  <si>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</si>
  <si>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</si>
  <si>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</si>
  <si>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</si>
  <si>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</si>
  <si>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</si>
  <si>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</si>
  <si>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</si>
  <si>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</si>
  <si>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</si>
  <si>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</si>
  <si>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</si>
  <si>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</si>
  <si>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</si>
  <si>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</si>
  <si>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</si>
  <si>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</si>
  <si>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</si>
  <si>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</si>
  <si>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</si>
  <si>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</si>
  <si>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</si>
  <si>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</si>
  <si>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</si>
  <si>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</si>
  <si>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</si>
  <si>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</si>
  <si>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</si>
  <si>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</si>
  <si>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</si>
  <si>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</si>
  <si>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</si>
  <si>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</si>
  <si>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</si>
  <si>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</si>
  <si>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</si>
  <si>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</si>
  <si>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</si>
  <si>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</si>
  <si>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</si>
  <si>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</si>
  <si>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</si>
  <si>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</si>
  <si>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</si>
  <si>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</si>
  <si>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</si>
  <si>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</si>
  <si>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</si>
  <si>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</si>
  <si>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</si>
  <si>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</si>
  <si>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</si>
  <si>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</si>
  <si>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</si>
  <si>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</si>
  <si>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</si>
  <si>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</si>
  <si>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</si>
  <si>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</si>
  <si>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</si>
  <si>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</si>
  <si>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</si>
  <si>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</si>
  <si>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</si>
  <si>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</si>
  <si>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</si>
  <si>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</si>
  <si>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</si>
  <si>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</si>
  <si>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</si>
  <si>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</si>
  <si>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</si>
  <si>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</si>
  <si>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</si>
  <si>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</si>
  <si>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</si>
  <si>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</si>
  <si>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</si>
  <si>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</si>
  <si>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</si>
  <si>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</si>
  <si>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</si>
  <si>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</si>
  <si>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</si>
  <si>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</si>
  <si>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</si>
  <si>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</si>
  <si>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</si>
  <si>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</si>
  <si>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</si>
  <si>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</si>
  <si>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</si>
  <si>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</si>
  <si>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</si>
  <si>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</si>
  <si>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</si>
  <si>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</si>
  <si>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</si>
  <si>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</si>
  <si>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</si>
  <si>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</si>
  <si>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</si>
  <si>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</si>
  <si>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</si>
  <si>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</si>
  <si>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</si>
  <si>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</si>
  <si>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</si>
  <si>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</si>
  <si>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</si>
  <si>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</si>
  <si>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</si>
  <si>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</si>
  <si>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</si>
  <si>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</si>
  <si>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</si>
  <si>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</si>
  <si>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</si>
  <si>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</si>
  <si>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</si>
  <si>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</si>
  <si>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</si>
  <si>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</si>
  <si>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</si>
  <si>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</si>
  <si>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</si>
  <si>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</si>
  <si>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</si>
  <si>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</si>
  <si>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</si>
  <si>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</si>
  <si>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</si>
  <si>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</si>
  <si>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</si>
  <si>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</si>
  <si>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</si>
  <si>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</si>
  <si>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</si>
  <si>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</si>
  <si>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</si>
  <si>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</si>
  <si>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</si>
  <si>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</si>
  <si>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</si>
  <si>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</si>
  <si>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</si>
  <si>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</si>
  <si>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</si>
  <si>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</si>
  <si>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</si>
  <si>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</si>
  <si>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</si>
  <si>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</si>
  <si>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</si>
  <si>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</si>
  <si>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</si>
  <si>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</si>
  <si>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</si>
  <si>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</si>
  <si>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</si>
  <si>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</si>
  <si>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</si>
  <si>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</si>
  <si>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</si>
  <si>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</si>
  <si>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</si>
  <si>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</si>
  <si>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</si>
  <si>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</si>
  <si>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</si>
  <si>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</si>
  <si>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</si>
  <si>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</si>
  <si>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</si>
  <si>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</si>
  <si>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</si>
  <si>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</si>
  <si>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</si>
  <si>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</si>
  <si>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</si>
  <si>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</si>
  <si>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</si>
  <si>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</si>
  <si>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</si>
  <si>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</si>
  <si>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</si>
  <si>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</si>
  <si>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</si>
  <si>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</si>
  <si>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</si>
  <si>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</si>
  <si>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</si>
  <si>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</si>
  <si>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</si>
  <si>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</si>
  <si>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</si>
  <si>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</si>
  <si>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</si>
  <si>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</si>
  <si>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</si>
  <si>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</si>
  <si>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</si>
  <si>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</si>
  <si>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</si>
  <si>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</si>
  <si>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</si>
  <si>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</si>
  <si>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</si>
  <si>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</si>
  <si>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</si>
  <si>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</si>
  <si>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</si>
  <si>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</si>
  <si>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</si>
  <si>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</si>
  <si>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</si>
  <si>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</si>
  <si>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</si>
  <si>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</si>
  <si>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</si>
  <si>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</si>
  <si>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</si>
  <si>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</si>
  <si>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</si>
  <si>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</si>
  <si>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</si>
  <si>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</si>
  <si>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</si>
  <si>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</si>
  <si>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</si>
  <si>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</si>
  <si>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</si>
  <si>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</si>
  <si>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</si>
  <si>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</si>
  <si>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</si>
  <si>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</si>
  <si>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</si>
  <si>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</si>
  <si>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</si>
  <si>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</si>
  <si>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</si>
  <si>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</si>
  <si>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</si>
  <si>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</si>
  <si>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</si>
  <si>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</si>
  <si>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</si>
  <si>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</si>
  <si>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</si>
  <si>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</si>
  <si>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</si>
  <si>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</si>
  <si>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</si>
  <si>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</si>
  <si>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</si>
  <si>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</si>
  <si>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</si>
  <si>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</si>
  <si>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</si>
  <si>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</si>
  <si>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</si>
  <si>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</si>
  <si>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</si>
  <si>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</si>
  <si>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</si>
  <si>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</si>
  <si>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</si>
  <si>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</si>
  <si>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</si>
  <si>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</si>
  <si>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</si>
  <si>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</si>
  <si>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</si>
  <si>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</si>
  <si>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</si>
  <si>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</si>
  <si>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</si>
  <si>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</si>
  <si>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</si>
  <si>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</si>
  <si>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</si>
  <si>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</si>
  <si>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</si>
  <si>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</si>
  <si>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</si>
  <si>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</si>
  <si>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</si>
  <si>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</si>
  <si>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</si>
  <si>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</si>
  <si>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</si>
  <si>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</si>
  <si>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</si>
  <si>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</si>
  <si>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</si>
  <si>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</si>
  <si>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</si>
  <si>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</si>
  <si>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</si>
  <si>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</si>
  <si>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</si>
  <si>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</si>
  <si>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</si>
  <si>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</si>
  <si>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</si>
  <si>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</si>
  <si>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</si>
  <si>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</si>
  <si>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</si>
  <si>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</si>
  <si>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</si>
  <si>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</si>
  <si>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</si>
  <si>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</si>
  <si>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</si>
  <si>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</si>
  <si>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</si>
  <si>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</si>
  <si>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</si>
  <si>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</si>
  <si>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</si>
  <si>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</si>
  <si>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</si>
  <si>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</si>
  <si>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</si>
  <si>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</si>
  <si>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</si>
  <si>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</si>
  <si>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</si>
  <si>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</si>
  <si>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</si>
  <si>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</si>
  <si>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</si>
  <si>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</si>
  <si>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</si>
  <si>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</si>
  <si>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</si>
  <si>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</si>
  <si>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</si>
  <si>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</si>
  <si>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</si>
  <si>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</si>
  <si>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</si>
  <si>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</si>
  <si>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</si>
  <si>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</si>
  <si>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</si>
  <si>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</si>
  <si>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</si>
  <si>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</si>
  <si>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</si>
  <si>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</si>
  <si>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</si>
  <si>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</si>
  <si>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</si>
  <si>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</si>
  <si>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</si>
  <si>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</si>
  <si>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</si>
  <si>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</si>
  <si>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</si>
  <si>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</si>
  <si>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</si>
  <si>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</si>
  <si>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</si>
  <si>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</si>
  <si>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</si>
  <si>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</si>
  <si>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</si>
  <si>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</si>
  <si>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</si>
  <si>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</si>
  <si>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</si>
  <si>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</si>
  <si>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</si>
  <si>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</si>
  <si>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</si>
  <si>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</si>
  <si>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</si>
  <si>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</si>
  <si>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</si>
  <si>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</si>
  <si>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</si>
  <si>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</si>
  <si>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</si>
  <si>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</si>
  <si>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</si>
  <si>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</si>
  <si>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</si>
  <si>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</si>
  <si>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</si>
  <si>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</si>
  <si>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</si>
  <si>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</si>
  <si>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</si>
  <si>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</si>
  <si>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</si>
  <si>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</si>
  <si>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</si>
  <si>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</si>
  <si>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</si>
  <si>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</si>
  <si>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</si>
  <si>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</si>
  <si>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</si>
  <si>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</si>
  <si>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</si>
  <si>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</si>
  <si>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</si>
  <si>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</si>
  <si>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</si>
  <si>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</si>
  <si>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</si>
  <si>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</si>
  <si>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</si>
  <si>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</si>
  <si>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</si>
  <si>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</si>
  <si>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</si>
  <si>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</si>
  <si>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</si>
  <si>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</si>
  <si>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</si>
  <si>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</si>
  <si>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</si>
  <si>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</si>
  <si>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</si>
  <si>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</si>
  <si>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</si>
  <si>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</si>
  <si>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</si>
  <si>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</si>
  <si>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</si>
  <si>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</si>
  <si>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</si>
  <si>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</si>
  <si>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</si>
  <si>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</si>
  <si>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</si>
  <si>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</si>
  <si>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</si>
  <si>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</si>
  <si>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</si>
  <si>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</si>
  <si>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</si>
  <si>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</si>
  <si>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</si>
  <si>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</si>
  <si>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</si>
  <si>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</si>
  <si>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</si>
  <si>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</si>
  <si>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</si>
  <si>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</si>
  <si>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</si>
  <si>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</si>
  <si>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</si>
  <si>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</si>
  <si>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</si>
  <si>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</si>
  <si>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</si>
  <si>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</si>
  <si>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</si>
  <si>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</si>
  <si>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</si>
  <si>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</si>
  <si>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</si>
  <si>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</si>
  <si>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</si>
  <si>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</si>
  <si>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</si>
  <si>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</si>
  <si>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</si>
  <si>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</si>
  <si>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</si>
  <si>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</si>
  <si>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</si>
  <si>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</si>
  <si>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</si>
  <si>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</si>
  <si>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</si>
  <si>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</si>
  <si>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</si>
  <si>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</si>
  <si>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</si>
  <si>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</si>
  <si>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</si>
  <si>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</si>
  <si>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</si>
  <si>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</si>
  <si>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</si>
  <si>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</si>
  <si>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</si>
  <si>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</si>
  <si>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</si>
  <si>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</si>
  <si>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</si>
  <si>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</si>
  <si>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</si>
  <si>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</si>
  <si>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</si>
  <si>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</si>
  <si>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</si>
  <si>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</si>
  <si>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</si>
  <si>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</si>
  <si>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</si>
  <si>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</si>
  <si>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</si>
  <si>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</si>
  <si>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</si>
  <si>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</si>
  <si>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</si>
  <si>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</si>
  <si>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</si>
  <si>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</si>
  <si>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</si>
  <si>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</si>
  <si>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</si>
  <si>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</si>
  <si>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</si>
  <si>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</si>
  <si>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</si>
  <si>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</si>
  <si>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</si>
  <si>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</si>
  <si>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</si>
  <si>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</si>
  <si>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</si>
  <si>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</si>
  <si>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</si>
  <si>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</si>
  <si>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</si>
  <si>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</si>
  <si>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</si>
  <si>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</si>
  <si>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</si>
  <si>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</si>
  <si>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</si>
  <si>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</si>
  <si>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</si>
  <si>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</si>
  <si>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</si>
  <si>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</si>
  <si>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</si>
  <si>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</si>
  <si>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</si>
  <si>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</si>
  <si>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</si>
  <si>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</si>
  <si>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</si>
  <si>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</si>
  <si>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</si>
  <si>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</si>
  <si>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</si>
  <si>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</si>
  <si>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</si>
  <si>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</si>
  <si>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</si>
  <si>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</si>
  <si>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</si>
  <si>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</si>
  <si>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</si>
  <si>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</si>
  <si>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</si>
  <si>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</si>
  <si>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</si>
  <si>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</si>
  <si>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</si>
  <si>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</si>
  <si>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</si>
  <si>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</si>
  <si>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</si>
  <si>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</si>
  <si>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</si>
  <si>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</si>
  <si>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</si>
  <si>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</si>
  <si>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</si>
  <si>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</si>
  <si>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</si>
  <si>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</si>
  <si>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</si>
  <si>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</si>
  <si>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</si>
  <si>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</si>
  <si>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</si>
  <si>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</si>
  <si>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</si>
  <si>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</si>
  <si>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</si>
  <si>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</si>
  <si>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</si>
  <si>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</si>
  <si>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</si>
  <si>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</si>
  <si>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</si>
  <si>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</si>
  <si>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</si>
  <si>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</si>
  <si>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</si>
  <si>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</si>
  <si>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</si>
  <si>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</si>
  <si>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</si>
  <si>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</si>
  <si>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</si>
  <si>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</si>
  <si>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</si>
  <si>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</si>
  <si>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</si>
  <si>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</si>
  <si>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</si>
  <si>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</si>
  <si>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</si>
  <si>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</si>
  <si>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</si>
  <si>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</si>
  <si>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</si>
  <si>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</si>
  <si>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</si>
  <si>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</si>
  <si>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</si>
  <si>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</si>
  <si>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</si>
  <si>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</si>
  <si>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</si>
  <si>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</si>
  <si>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</si>
  <si>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</si>
  <si>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</si>
  <si>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</si>
  <si>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</si>
  <si>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</si>
  <si>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</si>
  <si>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</si>
  <si>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</si>
  <si>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</si>
  <si>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</si>
  <si>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</si>
  <si>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</si>
  <si>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</si>
  <si>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</si>
  <si>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</si>
  <si>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</si>
  <si>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</si>
  <si>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</si>
  <si>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</si>
  <si>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</si>
  <si>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</si>
  <si>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</si>
  <si>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</si>
  <si>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</si>
  <si>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</si>
  <si>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</si>
  <si>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</si>
  <si>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</si>
  <si>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</si>
  <si>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</si>
  <si>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</si>
  <si>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</si>
  <si>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</si>
  <si>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</si>
  <si>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</si>
  <si>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</si>
  <si>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</si>
  <si>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</si>
  <si>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</si>
  <si>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</si>
  <si>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</si>
  <si>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</si>
  <si>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</si>
  <si>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</si>
  <si>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</si>
  <si>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</si>
  <si>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</si>
  <si>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</si>
  <si>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</si>
  <si>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</si>
  <si>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</si>
  <si>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</si>
  <si>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</si>
  <si>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</si>
  <si>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</si>
  <si>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</si>
  <si>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</si>
  <si>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</si>
  <si>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</si>
  <si>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</si>
  <si>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</si>
  <si>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</si>
  <si>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</si>
  <si>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</si>
  <si>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</si>
  <si>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</si>
  <si>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</si>
  <si>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</si>
  <si>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</si>
  <si>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</si>
  <si>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</si>
  <si>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</si>
  <si>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</si>
  <si>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</si>
  <si>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</si>
  <si>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</si>
  <si>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</si>
  <si>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</si>
  <si>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</si>
  <si>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</si>
  <si>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</si>
  <si>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</si>
  <si>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</si>
  <si>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</si>
  <si>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</si>
  <si>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</si>
  <si>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</si>
  <si>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</si>
  <si>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</si>
  <si>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</si>
  <si>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</si>
  <si>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</si>
  <si>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</si>
  <si>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</si>
  <si>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</si>
  <si>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</si>
  <si>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</si>
  <si>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</si>
  <si>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</si>
  <si>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</si>
  <si>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</si>
  <si>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</si>
  <si>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</si>
  <si>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</si>
  <si>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</si>
  <si>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</si>
  <si>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</si>
  <si>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</si>
  <si>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</si>
  <si>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</si>
  <si>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</si>
  <si>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</si>
  <si>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</si>
  <si>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</si>
  <si>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</si>
  <si>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</si>
  <si>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</si>
  <si>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</si>
  <si>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</si>
  <si>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</si>
  <si>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</si>
  <si>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</si>
  <si>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</si>
  <si>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</si>
  <si>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</si>
  <si>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</si>
  <si>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</si>
  <si>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</si>
  <si>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</si>
  <si>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</si>
  <si>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</si>
  <si>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</si>
  <si>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</si>
  <si>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</si>
  <si>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</si>
  <si>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</si>
  <si>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</si>
  <si>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</si>
  <si>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</si>
  <si>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</si>
  <si>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</si>
  <si>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</si>
  <si>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</si>
  <si>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</si>
  <si>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</si>
  <si>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</si>
  <si>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</si>
  <si>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</si>
  <si>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</si>
  <si>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</si>
  <si>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</si>
  <si>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</si>
  <si>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</si>
  <si>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</si>
  <si>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</si>
  <si>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</si>
  <si>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</si>
  <si>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</si>
  <si>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</si>
  <si>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</si>
  <si>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</si>
  <si>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</si>
  <si>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</si>
  <si>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</si>
  <si>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</si>
  <si>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</si>
  <si>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</si>
  <si>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</si>
  <si>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</si>
  <si>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</si>
  <si>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</si>
  <si>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</si>
  <si>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</si>
  <si>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</si>
  <si>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</si>
  <si>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</si>
  <si>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</si>
  <si>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</si>
  <si>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</si>
  <si>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</si>
  <si>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</si>
  <si>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</si>
  <si>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</si>
  <si>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</si>
  <si>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</si>
  <si>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</si>
  <si>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</si>
  <si>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</si>
  <si>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</si>
  <si>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</si>
  <si>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</si>
  <si>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</si>
  <si>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</si>
  <si>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</si>
  <si>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</si>
  <si>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</si>
  <si>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</si>
  <si>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</si>
  <si>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</si>
  <si>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</si>
  <si>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</si>
  <si>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</si>
  <si>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</si>
  <si>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</si>
  <si>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</si>
  <si>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</si>
  <si>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</si>
  <si>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</si>
  <si>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</si>
  <si>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</si>
  <si>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</si>
  <si>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</si>
  <si>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</si>
  <si>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</si>
  <si>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</si>
  <si>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</si>
  <si>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</si>
  <si>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</si>
  <si>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</si>
  <si>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</si>
  <si>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</si>
  <si>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</si>
  <si>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</si>
  <si>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</si>
  <si>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</si>
  <si>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</si>
  <si>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</si>
  <si>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</si>
  <si>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</si>
  <si>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</si>
  <si>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</si>
  <si>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</si>
  <si>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</si>
  <si>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</si>
  <si>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</si>
  <si>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</si>
  <si>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</si>
  <si>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</si>
  <si>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</si>
  <si>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</si>
  <si>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</si>
  <si>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</si>
  <si>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</si>
  <si>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</si>
  <si>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</si>
  <si>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</si>
  <si>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</si>
  <si>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</si>
  <si>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</si>
  <si>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</si>
  <si>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</si>
  <si>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</si>
  <si>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</si>
  <si>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</si>
  <si>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</si>
  <si>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</si>
  <si>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</si>
  <si>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</si>
  <si>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</si>
  <si>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</si>
  <si>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</si>
  <si>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</si>
  <si>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</si>
  <si>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</si>
  <si>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</si>
  <si>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</si>
  <si>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</si>
  <si>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</si>
  <si>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</si>
  <si>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</si>
  <si>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</si>
  <si>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</si>
  <si>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</si>
  <si>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</si>
  <si>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</si>
  <si>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</si>
  <si>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</si>
  <si>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</si>
  <si>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</si>
  <si>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</si>
  <si>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</si>
  <si>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</si>
  <si>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</si>
  <si>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</si>
  <si>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</si>
  <si>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</si>
  <si>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</si>
  <si>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</si>
  <si>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</si>
  <si>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</si>
  <si>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</si>
  <si>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</si>
  <si>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</si>
  <si>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</si>
  <si>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</si>
  <si>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</si>
  <si>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</si>
  <si>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</si>
  <si>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</si>
  <si>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</si>
  <si>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</si>
  <si>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</si>
  <si>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</si>
  <si>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</si>
  <si>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</si>
  <si>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</si>
  <si>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</si>
  <si>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</si>
  <si>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</si>
  <si>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</si>
  <si>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</si>
  <si>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</si>
  <si>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</si>
  <si>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</si>
  <si>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</si>
  <si>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</si>
  <si>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</si>
  <si>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</si>
  <si>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</si>
  <si>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</si>
  <si>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</si>
  <si>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</si>
  <si>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</si>
  <si>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</si>
  <si>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</si>
  <si>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</si>
  <si>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</si>
  <si>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</si>
  <si>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</si>
  <si>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</si>
  <si>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</si>
  <si>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</si>
  <si>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</si>
  <si>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</si>
  <si>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</si>
  <si>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</si>
  <si>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</si>
  <si>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</si>
  <si>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</si>
  <si>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</si>
  <si>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国民信托有限公司</t>
    <phoneticPr fontId="6" type="noConversion"/>
  </si>
  <si>
    <t>高密市国有资产经营投资有限公司</t>
    <phoneticPr fontId="6" type="noConversion"/>
  </si>
  <si>
    <t>抵押</t>
  </si>
  <si>
    <t>抵押价格</t>
  </si>
  <si>
    <t>山东省潍坊市高密市</t>
    <phoneticPr fontId="6" type="noConversion"/>
  </si>
  <si>
    <t>企业</t>
  </si>
  <si>
    <t>《国有土地使用证》[高国用（2005）第493号]</t>
  </si>
  <si>
    <t>《国有土地使用权出让合同》[合同编号：GH-2005-11]及附件</t>
  </si>
  <si>
    <t>《国有土地使用权出让合同》[合同编号：GH-2005-11]及附件</t>
    <phoneticPr fontId="6" type="noConversion"/>
  </si>
  <si>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</si>
  <si>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</si>
  <si>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</si>
  <si>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</si>
  <si>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</si>
  <si>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</si>
  <si>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</si>
  <si>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</si>
  <si>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</si>
  <si>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</si>
  <si>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</si>
  <si>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</si>
  <si>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</si>
  <si>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</si>
  <si>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</si>
  <si>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</si>
  <si>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</si>
  <si>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</si>
  <si>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</si>
  <si>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商业用地26.26年</t>
    <phoneticPr fontId="3" type="noConversion"/>
  </si>
  <si>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</si>
  <si>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</si>
  <si>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</si>
  <si>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</si>
  <si>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</si>
  <si>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</si>
  <si>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</si>
  <si>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</si>
  <si>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</si>
  <si>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</si>
  <si>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</si>
  <si>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</si>
  <si>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</si>
  <si>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</si>
  <si>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</si>
  <si>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</si>
  <si>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</si>
  <si>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</si>
  <si>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</si>
  <si>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</si>
  <si>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</si>
  <si>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</si>
  <si>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</si>
  <si>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</si>
  <si>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</si>
  <si>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</si>
  <si>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</si>
  <si>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</si>
  <si>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</si>
  <si>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</si>
  <si>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</si>
  <si>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</si>
  <si>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</si>
  <si>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</si>
  <si>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</si>
  <si>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</si>
  <si>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</si>
  <si>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</si>
  <si>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</si>
  <si>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</si>
  <si>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</si>
  <si>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</si>
  <si>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</si>
  <si>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</si>
  <si>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</si>
  <si>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</si>
  <si>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</si>
  <si>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</si>
  <si>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</si>
  <si>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</si>
  <si>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</si>
  <si>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</si>
  <si>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</si>
  <si>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</si>
  <si>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</si>
  <si>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</si>
  <si>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</si>
  <si>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</si>
  <si>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</si>
  <si>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</si>
  <si>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</si>
  <si>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</si>
  <si>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</si>
  <si>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</si>
  <si>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</si>
  <si>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</si>
  <si>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</si>
  <si>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</si>
  <si>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</si>
  <si>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</si>
  <si>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</si>
  <si>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</si>
  <si>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</si>
  <si>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</si>
  <si>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</si>
  <si>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</si>
  <si>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</si>
  <si>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</si>
  <si>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</si>
  <si>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</si>
  <si>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</si>
  <si>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</si>
  <si>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</si>
  <si>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</si>
  <si>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</si>
  <si>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</si>
  <si>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</si>
  <si>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</si>
  <si>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</si>
  <si>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</si>
  <si>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</si>
  <si>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</si>
  <si>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</si>
  <si>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</si>
  <si>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</si>
  <si>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</si>
  <si>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</si>
  <si>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</si>
  <si>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</si>
  <si>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</si>
  <si>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</si>
  <si>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</si>
  <si>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</si>
  <si>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</si>
  <si>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</si>
  <si>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</si>
  <si>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</si>
  <si>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</si>
  <si>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</si>
  <si>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</si>
  <si>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</si>
  <si>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</si>
  <si>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</si>
  <si>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</si>
  <si>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</si>
  <si>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</si>
  <si>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</si>
  <si>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</si>
  <si>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</si>
  <si>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</si>
  <si>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</si>
  <si>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</si>
  <si>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</si>
  <si>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</si>
  <si>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</si>
  <si>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</si>
  <si>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</si>
  <si>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</si>
  <si>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</si>
  <si>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</si>
  <si>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</si>
  <si>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</si>
  <si>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</si>
  <si>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</si>
  <si>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</si>
  <si>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</si>
  <si>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</si>
  <si>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</si>
  <si>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</si>
  <si>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</si>
  <si>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</si>
  <si>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</si>
  <si>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</si>
  <si>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</si>
  <si>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</si>
  <si>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</si>
  <si>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</si>
  <si>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</si>
  <si>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</si>
  <si>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</si>
  <si>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</si>
  <si>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</si>
  <si>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</si>
  <si>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</si>
  <si>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</si>
  <si>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</si>
  <si>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</si>
  <si>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</si>
  <si>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</si>
  <si>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</si>
  <si>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</si>
  <si>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</si>
  <si>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</si>
  <si>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</si>
  <si>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</si>
  <si>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</si>
  <si>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</si>
  <si>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</si>
  <si>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</si>
  <si>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</si>
  <si>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</si>
  <si>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</si>
  <si>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</si>
  <si>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</si>
  <si>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</si>
  <si>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</si>
  <si>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</si>
  <si>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</si>
  <si>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</si>
  <si>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</si>
  <si>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</si>
  <si>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</si>
  <si>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</si>
  <si>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</si>
  <si>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</si>
  <si>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</si>
  <si>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</si>
  <si>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</si>
  <si>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</si>
  <si>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</si>
  <si>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</si>
  <si>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</si>
  <si>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</si>
  <si>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</si>
  <si>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</si>
  <si>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</si>
  <si>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</si>
  <si>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</si>
  <si>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</si>
  <si>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</si>
  <si>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</si>
  <si>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</si>
  <si>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</si>
  <si>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</si>
  <si>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</si>
  <si>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</si>
  <si>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</si>
  <si>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</si>
  <si>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</si>
  <si>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</si>
  <si>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</si>
  <si>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</si>
  <si>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</si>
  <si>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</si>
  <si>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</si>
  <si>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</si>
  <si>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</si>
  <si>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</si>
  <si>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</si>
  <si>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</si>
  <si>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</si>
  <si>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</si>
  <si>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</si>
  <si>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</si>
  <si>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</si>
  <si>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</si>
  <si>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</si>
  <si>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</si>
  <si>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</si>
  <si>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</si>
  <si>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</si>
  <si>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</si>
  <si>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</si>
  <si>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</si>
  <si>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</si>
  <si>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</si>
  <si>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</si>
  <si>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</si>
  <si>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商业用地</t>
    <phoneticPr fontId="6" type="noConversion"/>
  </si>
  <si>
    <t>商业用地</t>
    <phoneticPr fontId="6" type="noConversion"/>
  </si>
  <si>
    <t>五通</t>
    <phoneticPr fontId="26" type="noConversion"/>
  </si>
  <si>
    <t>小辛庄东南至褚家王吴东北至钟家王吴以东至王吴水库</t>
    <phoneticPr fontId="6"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</si>
  <si>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</si>
  <si>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</si>
  <si>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</si>
  <si>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</si>
  <si>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</si>
  <si>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</si>
  <si>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</si>
  <si>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</si>
  <si>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《国有土地使用证》[高国用（2005）第493号]</t>
    <phoneticPr fontId="3" type="noConversion"/>
  </si>
  <si>
    <t>31</t>
    <phoneticPr fontId="26" type="noConversion"/>
  </si>
  <si>
    <t>押二</t>
  </si>
  <si>
    <t>商业</t>
    <phoneticPr fontId="3"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</si>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</sst>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71" fillId="7" borderId="50"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71" fillId="9" borderId="87"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176" fontId="71" fillId="9" borderId="12" xfId="2"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9"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10</xdr:col>
      <xdr:colOff>646824</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466975" y="5019675"/>
          <a:ext cx="7009524"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山东省潍坊市高密市小辛庄东南至褚家王吴东北至钟家王吴以东至王吴水库出让国有建设用地使用权抵押价格预评估</v>
      </c>
      <c r="AX2" s="2873"/>
      <c r="AZ2" s="2873"/>
      <c r="BA2" s="2874"/>
      <c r="BC2" s="2874"/>
    </row>
    <row r="3" spans="1:55" s="2875" customFormat="1">
      <c r="A3" s="2854" t="s">
        <v>2657</v>
      </c>
      <c r="B3" s="2857" t="str">
        <f>'预评函-封皮'!B40</f>
        <v>国民信托有限公司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受贵公司委托，我公司对山东省潍坊市高密市小辛庄东南至褚家王吴东北至钟家王吴以东至王吴水库出让国有建设用地使用权抵押价格进行了预评估。</v>
      </c>
      <c r="AM6" s="2879"/>
    </row>
    <row r="7" spans="1:55" s="2853" customFormat="1">
      <c r="A7" s="2854" t="s">
        <v>2653</v>
      </c>
      <c r="B7" s="2855" t="str">
        <f>'预评函-1'!A6</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2019年1月3日（评估专业人员勘察现场之日）</v>
      </c>
    </row>
    <row r="11" spans="1:55" s="2853" customFormat="1">
      <c r="A11" s="2854" t="s">
        <v>2661</v>
      </c>
      <c r="B11" s="2855" t="str">
        <f>'预评函-1'!A14</f>
        <v>根据《国有土地使用证》[高国用（2005）第493号]，本次评估估价对象证载（地类）用途为商业用地。</v>
      </c>
    </row>
    <row r="12" spans="1:55" s="2853" customFormat="1">
      <c r="A12" s="2854" t="s">
        <v>2662</v>
      </c>
      <c r="B12" s="2855" t="str">
        <f>'预评函-1'!A15</f>
        <v>本次评估设定用途即为证载用途商业用地。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2005）第493号]，估价对象（分摊）出让国有建设用地使用权面积为266666.2平方米。根据《国有土地使用权出让合同》[合同编号：GH-2005-11]及附件，估价对象规划建筑面积为1066664.8平方米。</v>
      </c>
    </row>
    <row r="16" spans="1:55" s="2853" customFormat="1">
      <c r="A16" s="2854" t="s">
        <v>2665</v>
      </c>
      <c r="B16" s="2855" t="str">
        <f>'预评函-1'!A22</f>
        <v>本次估价对象为出让国有建设用地使用权，《国有土地使用证》[高国用（2005）第493号]证载土地终止日期为商业2045年4月3日。截至估价期日，出让国有建设用地使用权剩余土地使用年限为商业用地26.26年。</v>
      </c>
    </row>
    <row r="17" spans="1:48" s="2853" customFormat="1">
      <c r="A17" s="2854" t="s">
        <v>2666</v>
      </c>
      <c r="B17" s="2855" t="str">
        <f>'预评函-1'!A23</f>
        <v>本次评估设定估价对象剩余土地使用年限为商业用地26.26年。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估价期日：2019年1月3日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商业用地</v>
      </c>
      <c r="AV32" s="2859"/>
    </row>
    <row r="33" spans="1:2">
      <c r="A33" s="2854" t="s">
        <v>2709</v>
      </c>
      <c r="B33" s="2855">
        <f>'预评函-2'!F5</f>
        <v>258</v>
      </c>
    </row>
    <row r="34" spans="1:2">
      <c r="A34" s="2854" t="s">
        <v>2710</v>
      </c>
      <c r="B34" s="2855" t="str">
        <f>'预评函-2'!G5</f>
        <v>商业用地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商业用地26.26年</v>
      </c>
    </row>
    <row r="42" spans="1:2">
      <c r="A42" s="2854" t="s">
        <v>2735</v>
      </c>
      <c r="B42" s="2855" t="str">
        <f>'预评函-2'!N3</f>
        <v>（分摊）出让国有建设用地使用权面积/㎡</v>
      </c>
    </row>
    <row r="43" spans="1:2">
      <c r="A43" s="2854" t="s">
        <v>2717</v>
      </c>
      <c r="B43" s="2855">
        <f>'预评函-2'!N5</f>
        <v>266666.2</v>
      </c>
    </row>
    <row r="44" spans="1:2">
      <c r="A44" s="2854" t="s">
        <v>2736</v>
      </c>
      <c r="B44" s="2855" t="str">
        <f>'预评函-2'!O3</f>
        <v>规划建筑面积/㎡</v>
      </c>
    </row>
    <row r="45" spans="1:2">
      <c r="A45" s="2854" t="s">
        <v>2718</v>
      </c>
      <c r="B45" s="2855">
        <f>'预评函-2'!O5</f>
        <v>1066664.8</v>
      </c>
    </row>
    <row r="46" spans="1:2">
      <c r="A46" s="2854" t="s">
        <v>2719</v>
      </c>
      <c r="B46" s="2855">
        <f ca="1">'预评函-2'!P5</f>
        <v>1706</v>
      </c>
    </row>
    <row r="47" spans="1:2">
      <c r="A47" s="2854" t="s">
        <v>2720</v>
      </c>
      <c r="B47" s="2855">
        <f ca="1">'预评函-2'!Q5</f>
        <v>426</v>
      </c>
    </row>
    <row r="48" spans="1:2">
      <c r="A48" s="2854" t="s">
        <v>2721</v>
      </c>
      <c r="B48" s="2855">
        <f ca="1">'预评函-2'!R5</f>
        <v>45487</v>
      </c>
    </row>
    <row r="49" spans="1:2">
      <c r="A49" s="2854" t="s">
        <v>2737</v>
      </c>
      <c r="B49" s="2855" t="str">
        <f>'预评函-2'!A6</f>
        <v>抵押价格</v>
      </c>
    </row>
    <row r="50" spans="1:2">
      <c r="A50" s="2854" t="s">
        <v>2722</v>
      </c>
      <c r="B50" s="2855">
        <f ca="1">'预评函-2'!R6</f>
        <v>45487</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3.估价规划限制条件：详见《国有土地使用权出让合同》[合同编号：GH-2005-11]及附件。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G43" sqref="G43"/>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59" t="str">
        <f>IF(B10="北京市","北京市",C10)&amp;F10&amp;B16&amp;"国有建设用地使用权"&amp;B9&amp;"预评估"</f>
        <v>山东省潍坊市高密市小辛庄东南至褚家王吴东北至钟家王吴以东至王吴水库出让国有建设用地使用权抵押价格预评估</v>
      </c>
      <c r="C1" s="3260"/>
      <c r="D1" s="3260"/>
      <c r="E1" s="3260"/>
      <c r="F1" s="3260"/>
      <c r="G1" s="3260"/>
      <c r="H1" s="3260"/>
      <c r="I1" s="3261"/>
      <c r="J1" s="1690"/>
      <c r="K1" s="2431" t="str">
        <f>IF(B10="北京市","北京市",C10)&amp;F10&amp;B16&amp;"国有建设用地使用权"&amp;B9</f>
        <v>山东省潍坊市高密市小辛庄东南至褚家王吴东北至钟家王吴以东至王吴水库出让国有建设用地使用权抵押价格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山东省潍坊市高密市小辛庄东南至褚家王吴东北至钟家王吴以东至王吴水库出让国有建设用地使用权</v>
      </c>
      <c r="L2" s="1719"/>
      <c r="M2" s="1719"/>
      <c r="N2" s="1690"/>
      <c r="O2" s="1691"/>
      <c r="P2" s="1690"/>
      <c r="Q2" s="1690"/>
      <c r="R2" s="1690"/>
      <c r="S2" s="1690"/>
      <c r="T2" s="1690"/>
      <c r="U2" s="1690"/>
    </row>
    <row r="3" spans="1:21">
      <c r="A3" s="1659" t="s">
        <v>1940</v>
      </c>
      <c r="B3" s="1660">
        <v>43468</v>
      </c>
      <c r="C3" s="1661" t="s">
        <v>1994</v>
      </c>
      <c r="D3" s="1660">
        <v>43468</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2991</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2991</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2992</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2993</v>
      </c>
      <c r="C8" s="1669"/>
      <c r="D8" s="3265" t="s">
        <v>1945</v>
      </c>
      <c r="E8" s="1840" t="s">
        <v>2994</v>
      </c>
      <c r="F8" s="1670"/>
      <c r="G8" s="1658"/>
      <c r="H8" s="1658"/>
      <c r="I8" s="1703"/>
      <c r="J8" s="1690"/>
      <c r="K8" s="1770"/>
      <c r="L8" s="1719"/>
      <c r="M8" s="1719"/>
      <c r="N8" s="1690"/>
      <c r="O8" s="1691"/>
      <c r="P8" s="1690"/>
      <c r="Q8" s="1690"/>
      <c r="R8" s="1690"/>
      <c r="S8" s="1690"/>
      <c r="T8" s="1690"/>
      <c r="U8" s="1690"/>
    </row>
    <row r="9" spans="1:21" ht="15" thickBot="1">
      <c r="A9" s="1671" t="s">
        <v>1944</v>
      </c>
      <c r="B9" s="1672" t="s">
        <v>2994</v>
      </c>
      <c r="C9" s="1673"/>
      <c r="D9" s="3266"/>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2995</v>
      </c>
      <c r="D10" s="1665"/>
      <c r="E10" s="1674" t="s">
        <v>1947</v>
      </c>
      <c r="F10" s="1675" t="s">
        <v>3261</v>
      </c>
      <c r="G10" s="1741"/>
      <c r="H10" s="1742"/>
      <c r="I10" s="1665"/>
      <c r="J10" s="1690"/>
      <c r="K10" s="1770"/>
      <c r="L10" s="1719"/>
      <c r="M10" s="1719"/>
      <c r="N10" s="1690"/>
      <c r="O10" s="1691"/>
      <c r="P10" s="1690"/>
      <c r="Q10" s="1690"/>
      <c r="R10" s="1690"/>
      <c r="S10" s="1690"/>
      <c r="T10" s="1690"/>
      <c r="U10" s="1690"/>
    </row>
    <row r="11" spans="1:21">
      <c r="A11" s="1693" t="s">
        <v>1998</v>
      </c>
      <c r="B11" s="1694" t="s">
        <v>2996</v>
      </c>
      <c r="C11" s="1785" t="s">
        <v>3269</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62" t="s">
        <v>3258</v>
      </c>
      <c r="C12" s="3263"/>
      <c r="D12" s="3264"/>
      <c r="E12" s="1695" t="s">
        <v>2059</v>
      </c>
      <c r="F12" s="3280" t="s">
        <v>3270</v>
      </c>
      <c r="G12" s="3281"/>
      <c r="H12" s="3281"/>
      <c r="I12" s="3282"/>
      <c r="J12" s="1690"/>
      <c r="K12" s="1770"/>
      <c r="L12" s="1719"/>
      <c r="M12" s="1719"/>
      <c r="N12" s="1690"/>
      <c r="O12" s="1691"/>
      <c r="P12" s="1690"/>
      <c r="Q12" s="1690"/>
      <c r="R12" s="1690"/>
      <c r="S12" s="1690"/>
      <c r="T12" s="1690"/>
      <c r="U12" s="1690"/>
    </row>
    <row r="13" spans="1:21">
      <c r="A13" s="1683" t="s">
        <v>2057</v>
      </c>
      <c r="B13" s="3262" t="s">
        <v>3259</v>
      </c>
      <c r="C13" s="3263"/>
      <c r="D13" s="3264"/>
      <c r="E13" s="1695" t="s">
        <v>2059</v>
      </c>
      <c r="F13" s="3280" t="s">
        <v>2999</v>
      </c>
      <c r="G13" s="3281"/>
      <c r="H13" s="3281"/>
      <c r="I13" s="3282"/>
      <c r="J13" s="1690"/>
      <c r="K13" s="1770"/>
      <c r="L13" s="1719"/>
      <c r="M13" s="1719"/>
      <c r="N13" s="1690"/>
      <c r="O13" s="1691"/>
      <c r="P13" s="1690"/>
      <c r="Q13" s="1690"/>
      <c r="R13" s="1690"/>
      <c r="S13" s="1690"/>
      <c r="T13" s="1690"/>
      <c r="U13" s="1690"/>
    </row>
    <row r="14" spans="1:21">
      <c r="A14" s="1659" t="s">
        <v>2060</v>
      </c>
      <c r="B14" s="1695"/>
      <c r="C14" s="1841" t="s">
        <v>3000</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3001</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商业2045年4月3日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53055</v>
      </c>
      <c r="F17" s="1696"/>
      <c r="G17" s="1696"/>
      <c r="H17" s="1696"/>
      <c r="I17" s="1696"/>
      <c r="J17" s="1690"/>
      <c r="K17" s="2431" t="str">
        <f>CONCATENATE(K16,L16,M16,N16,O16,P16,Q16,R16,S16,T16,,U16)</f>
        <v>商业2045年4月3日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26.26</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77" t="s">
        <v>3019</v>
      </c>
      <c r="E20" s="3278"/>
      <c r="F20" s="3278"/>
      <c r="G20" s="3278"/>
      <c r="H20" s="3278"/>
      <c r="I20" s="3279"/>
      <c r="J20" s="1690"/>
      <c r="K20" s="1770"/>
      <c r="L20" s="1719"/>
      <c r="M20" s="1719"/>
      <c r="N20" s="1690"/>
      <c r="O20" s="1691"/>
      <c r="P20" s="1690"/>
      <c r="Q20" s="1690"/>
      <c r="R20" s="1690"/>
      <c r="S20" s="1690"/>
      <c r="T20" s="1690"/>
      <c r="U20" s="1690"/>
    </row>
    <row r="21" spans="1:21">
      <c r="A21" s="1759" t="s">
        <v>1959</v>
      </c>
      <c r="B21" s="1760" t="s">
        <v>1960</v>
      </c>
      <c r="C21" s="1755">
        <f>'数据-汇总表'!E3</f>
        <v>1066664.8</v>
      </c>
      <c r="D21" s="1756" t="s">
        <v>1961</v>
      </c>
      <c r="E21" s="3267" t="s">
        <v>2998</v>
      </c>
      <c r="F21" s="3268"/>
      <c r="G21" s="3268"/>
      <c r="H21" s="3268"/>
      <c r="I21" s="3269"/>
      <c r="J21" s="1690"/>
      <c r="K21" s="1770"/>
      <c r="L21" s="1719"/>
      <c r="M21" s="1719"/>
      <c r="N21" s="1690"/>
      <c r="O21" s="1691"/>
      <c r="P21" s="1690"/>
      <c r="Q21" s="1690"/>
      <c r="R21" s="1690"/>
      <c r="S21" s="1690"/>
      <c r="T21" s="1690"/>
      <c r="U21" s="1690"/>
    </row>
    <row r="22" spans="1:21">
      <c r="A22" s="3120" t="s">
        <v>952</v>
      </c>
      <c r="B22" s="1659" t="s">
        <v>1962</v>
      </c>
      <c r="C22" s="1682">
        <f>'数据-汇总表'!D3</f>
        <v>266666.2</v>
      </c>
      <c r="D22" s="1683" t="s">
        <v>1961</v>
      </c>
      <c r="E22" s="3267" t="s">
        <v>2997</v>
      </c>
      <c r="F22" s="3268"/>
      <c r="G22" s="3268"/>
      <c r="H22" s="3268"/>
      <c r="I22" s="3269"/>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3002</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70" t="s">
        <v>1967</v>
      </c>
      <c r="C24" s="3271"/>
      <c r="D24" s="3272" t="s">
        <v>1968</v>
      </c>
      <c r="E24" s="3273"/>
      <c r="F24" s="1704" t="s">
        <v>1969</v>
      </c>
      <c r="G24" s="1690"/>
      <c r="H24" s="1690"/>
      <c r="I24" s="1703"/>
      <c r="J24" s="1690"/>
      <c r="K24" s="3258"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3003</v>
      </c>
      <c r="C25" s="1705" t="s">
        <v>3264</v>
      </c>
      <c r="D25" s="1706"/>
      <c r="E25" s="1707" t="s">
        <v>952</v>
      </c>
      <c r="F25" s="1708"/>
      <c r="G25" s="1690"/>
      <c r="H25" s="1690"/>
      <c r="I25" s="1703"/>
      <c r="J25" s="1690"/>
      <c r="K25" s="3258"/>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58"/>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44" t="s">
        <v>1999</v>
      </c>
      <c r="B31" s="1760" t="s">
        <v>2000</v>
      </c>
      <c r="C31" s="3283" t="s">
        <v>3004</v>
      </c>
      <c r="D31" s="3284"/>
      <c r="E31" s="1690"/>
      <c r="F31" s="1690"/>
      <c r="G31" s="1690"/>
      <c r="H31" s="1690"/>
      <c r="I31" s="1703"/>
      <c r="J31" s="1690"/>
      <c r="K31" s="2434"/>
      <c r="L31" s="1690"/>
      <c r="M31" s="1690"/>
      <c r="N31" s="1690"/>
      <c r="O31" s="1690"/>
      <c r="P31" s="1690"/>
      <c r="Q31" s="1690"/>
      <c r="R31" s="1690"/>
      <c r="S31" s="1690"/>
      <c r="T31" s="1690"/>
      <c r="U31" s="1690"/>
    </row>
    <row r="32" spans="1:21">
      <c r="A32" s="3244"/>
      <c r="B32" s="1659" t="s">
        <v>2001</v>
      </c>
      <c r="C32" s="1715" t="s">
        <v>3005</v>
      </c>
      <c r="D32" s="1716"/>
      <c r="E32" s="1690"/>
      <c r="F32" s="1690"/>
      <c r="G32" s="1690"/>
      <c r="H32" s="1690"/>
      <c r="I32" s="1703"/>
      <c r="J32" s="1690"/>
      <c r="K32" s="2434"/>
      <c r="L32" s="1690"/>
      <c r="M32" s="1690"/>
      <c r="N32" s="1690"/>
      <c r="O32" s="1690"/>
      <c r="P32" s="1690"/>
      <c r="Q32" s="1690"/>
      <c r="R32" s="1690"/>
      <c r="S32" s="1690"/>
      <c r="T32" s="1690"/>
      <c r="U32" s="1690"/>
    </row>
    <row r="33" spans="1:21">
      <c r="A33" s="3244"/>
      <c r="B33" s="1659" t="s">
        <v>2002</v>
      </c>
      <c r="C33" s="1717" t="s">
        <v>3002</v>
      </c>
      <c r="D33" s="1834"/>
      <c r="E33" s="1690"/>
      <c r="F33" s="1690"/>
      <c r="G33" s="1690"/>
      <c r="H33" s="1690"/>
      <c r="I33" s="1703"/>
      <c r="J33" s="1690"/>
      <c r="K33" s="2434"/>
      <c r="L33" s="1690"/>
      <c r="M33" s="1690"/>
      <c r="N33" s="1690"/>
      <c r="O33" s="1690"/>
      <c r="P33" s="1690"/>
      <c r="Q33" s="1690"/>
      <c r="R33" s="1690"/>
      <c r="S33" s="1690"/>
      <c r="T33" s="1690"/>
      <c r="U33" s="1690"/>
    </row>
    <row r="34" spans="1:21">
      <c r="A34" s="3245"/>
      <c r="B34" s="1659" t="s">
        <v>2003</v>
      </c>
      <c r="C34" s="3246"/>
      <c r="D34" s="3247"/>
      <c r="E34" s="1690"/>
      <c r="F34" s="1690"/>
      <c r="G34" s="1690"/>
      <c r="H34" s="1690"/>
      <c r="I34" s="1703"/>
      <c r="J34" s="1690"/>
      <c r="K34" s="2434"/>
      <c r="L34" s="1690"/>
      <c r="M34" s="1690"/>
      <c r="N34" s="1690"/>
      <c r="O34" s="1690"/>
      <c r="P34" s="1690"/>
      <c r="Q34" s="1690"/>
      <c r="R34" s="1690"/>
      <c r="S34" s="1690"/>
      <c r="T34" s="1690"/>
      <c r="U34" s="1690"/>
    </row>
    <row r="35" spans="1:21">
      <c r="A35" s="3248" t="s">
        <v>847</v>
      </c>
      <c r="B35" s="1718" t="s">
        <v>3265</v>
      </c>
      <c r="C35" s="1772" t="str">
        <f>IF(B35="场地平整","——","具体情况：")</f>
        <v>——</v>
      </c>
      <c r="D35" s="3250"/>
      <c r="E35" s="3251"/>
      <c r="F35" s="3251"/>
      <c r="G35" s="3251"/>
      <c r="H35" s="3251"/>
      <c r="I35" s="3252"/>
      <c r="J35" s="1690"/>
      <c r="K35" s="1771"/>
      <c r="L35" s="1719"/>
      <c r="M35" s="1719"/>
      <c r="N35" s="1690"/>
      <c r="O35" s="1691"/>
      <c r="P35" s="1690"/>
      <c r="Q35" s="1690"/>
      <c r="R35" s="1690"/>
      <c r="S35" s="1690"/>
      <c r="T35" s="1690"/>
      <c r="U35" s="1690"/>
    </row>
    <row r="36" spans="1:21">
      <c r="A36" s="3244"/>
      <c r="B36" s="3253" t="s">
        <v>2052</v>
      </c>
      <c r="C36" s="3254"/>
      <c r="D36" s="1788" t="s">
        <v>3266</v>
      </c>
      <c r="E36" s="3255"/>
      <c r="F36" s="3255"/>
      <c r="G36" s="1683" t="str">
        <f>IF(B35="场地未平整","估价结果处理","")</f>
        <v/>
      </c>
      <c r="H36" s="3256"/>
      <c r="I36" s="3256"/>
      <c r="J36" s="1690"/>
      <c r="K36" s="1771"/>
      <c r="L36" s="1719"/>
      <c r="M36" s="1719"/>
      <c r="N36" s="1690"/>
      <c r="O36" s="1691"/>
      <c r="P36" s="1690"/>
      <c r="Q36" s="1690"/>
      <c r="R36" s="1690"/>
      <c r="S36" s="1690"/>
      <c r="T36" s="1690"/>
      <c r="U36" s="1690"/>
    </row>
    <row r="37" spans="1:21" ht="28.5">
      <c r="A37" s="3244"/>
      <c r="B37" s="327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44"/>
      <c r="B38" s="3275"/>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45"/>
      <c r="B39" s="327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3006</v>
      </c>
      <c r="C40" s="1686" t="s">
        <v>3007</v>
      </c>
      <c r="D40" s="1686" t="s">
        <v>3267</v>
      </c>
      <c r="E40" s="1686" t="s">
        <v>3008</v>
      </c>
      <c r="F40" s="1686" t="s">
        <v>3268</v>
      </c>
      <c r="G40" s="1686"/>
      <c r="H40" s="1686"/>
      <c r="I40" s="1703"/>
      <c r="J40" s="1690"/>
      <c r="K40" s="1726">
        <f>COUNTIF(B40:H40,"——")</f>
        <v>0</v>
      </c>
      <c r="L40" s="1695" t="s">
        <v>1977</v>
      </c>
      <c r="M40" s="1692" t="s">
        <v>1978</v>
      </c>
      <c r="N40" s="1692" t="s">
        <v>1979</v>
      </c>
      <c r="O40" s="1692" t="s">
        <v>1980</v>
      </c>
      <c r="P40" s="1692" t="s">
        <v>1981</v>
      </c>
      <c r="Q40" s="1692" t="s">
        <v>1982</v>
      </c>
      <c r="R40" s="1692" t="s">
        <v>1983</v>
      </c>
      <c r="S40" s="3257" t="s">
        <v>1984</v>
      </c>
      <c r="T40" s="1727" t="str">
        <f>NUMBERSTRING(7-K40,1)&amp;"通"</f>
        <v>七通</v>
      </c>
      <c r="U40" s="1690"/>
    </row>
    <row r="41" spans="1:21" ht="28.5">
      <c r="A41" s="1661"/>
      <c r="B41" s="3249" t="s">
        <v>1722</v>
      </c>
      <c r="C41" s="3249"/>
      <c r="D41" s="3249"/>
      <c r="E41" s="3249"/>
      <c r="F41" s="1728" t="str">
        <f>C10</f>
        <v>山东省潍坊市高密市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57"/>
      <c r="T41" s="1729" t="str">
        <f>IF(T40="一通",L41,IF(T40="二通",M41,IF(T40="三通",N41,IF(T40="四通",O41,IF(T40="五通",P41,IF(T40="六通",Q41,R41))))))</f>
        <v>通路、通电、通讯、通上水、通下水、、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266666.2</v>
      </c>
      <c r="B3" s="22">
        <f>IF(C3="否",G5-AT5,G5)</f>
        <v>1066664.8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3273</v>
      </c>
      <c r="D13" s="2987" t="s">
        <v>1679</v>
      </c>
      <c r="E13" s="27">
        <f t="shared" ref="E13:E20" si="6">IF($C$3="是",ROUND($A$3*G13/$B$3,2),ROUND($A$3*(G13-AT13)/$B$3,2))</f>
        <v>266666.2</v>
      </c>
      <c r="F13" s="81"/>
      <c r="G13" s="82">
        <f t="shared" ref="G13:G20" si="7">H13+AC13+AT13</f>
        <v>1066664.8</v>
      </c>
      <c r="H13" s="33">
        <f t="shared" ref="H13:H20" si="8">SUMIF(I$12:AB$12,"总值",I13:AB13)</f>
        <v>1066664.8</v>
      </c>
      <c r="I13" s="2990">
        <f>ROUND(A3*4,2)</f>
        <v>1066664.8</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6" t="s">
        <v>203</v>
      </c>
      <c r="B2" s="3296"/>
      <c r="C2" s="3296"/>
      <c r="D2" s="1972" t="s">
        <v>204</v>
      </c>
      <c r="E2" s="106" t="s">
        <v>205</v>
      </c>
      <c r="F2" s="1981"/>
      <c r="G2" s="1197"/>
      <c r="H2" s="1198"/>
      <c r="I2" s="1199" t="s">
        <v>857</v>
      </c>
      <c r="J2" s="1981"/>
      <c r="K2" s="1981"/>
      <c r="L2" s="1981"/>
    </row>
    <row r="3" spans="1:16" ht="15.75" thickBot="1">
      <c r="A3" s="3297" t="s">
        <v>206</v>
      </c>
      <c r="B3" s="3297"/>
      <c r="C3" s="3297"/>
      <c r="D3" s="107">
        <f>'数据-基础表'!AY6</f>
        <v>266666.2</v>
      </c>
      <c r="E3" s="107">
        <f>'数据-基础表'!AZ5</f>
        <v>1066664.8</v>
      </c>
      <c r="F3" s="1981"/>
      <c r="G3" s="279" t="s">
        <v>858</v>
      </c>
      <c r="H3" s="274" t="s">
        <v>859</v>
      </c>
      <c r="I3" s="1973">
        <f>ROUND('数据-基础表'!B3/'数据-基础表'!A3,2)</f>
        <v>4</v>
      </c>
      <c r="J3" s="1981"/>
      <c r="K3" s="1981"/>
      <c r="L3" s="1981"/>
    </row>
    <row r="4" spans="1:16" ht="15">
      <c r="A4" s="3298"/>
      <c r="B4" s="3299"/>
      <c r="C4" s="3300"/>
      <c r="D4" s="108" t="s">
        <v>204</v>
      </c>
      <c r="E4" s="109" t="s">
        <v>205</v>
      </c>
      <c r="F4" s="1981"/>
      <c r="G4" s="1200"/>
      <c r="H4" s="274" t="s">
        <v>860</v>
      </c>
      <c r="I4" s="1973">
        <f>ROUND(SUMIF('数据-基础表'!I9:AS9,"地上",'数据-基础表'!I5:AS5)/'数据-基础表'!A3,2)</f>
        <v>4</v>
      </c>
      <c r="J4" s="1981"/>
      <c r="K4" s="1981"/>
      <c r="L4" s="1981"/>
    </row>
    <row r="5" spans="1:16">
      <c r="A5" s="110" t="s">
        <v>207</v>
      </c>
      <c r="B5" s="3301" t="s">
        <v>230</v>
      </c>
      <c r="C5" s="3301"/>
      <c r="D5" s="111">
        <f>ROUND($D$3*E5/$E$3,2)</f>
        <v>0</v>
      </c>
      <c r="E5" s="112">
        <f>SUMIF('数据-基础表'!$11:$11,"住宅",'数据-基础表'!$5:$5)</f>
        <v>0</v>
      </c>
      <c r="F5" s="1981"/>
      <c r="G5" s="279" t="s">
        <v>861</v>
      </c>
      <c r="H5" s="274" t="s">
        <v>859</v>
      </c>
      <c r="I5" s="1973">
        <f>ROUND(E31/D31,2)</f>
        <v>4</v>
      </c>
      <c r="J5" s="1981"/>
      <c r="K5" s="1981"/>
      <c r="L5" s="1981"/>
    </row>
    <row r="6" spans="1:16" ht="15" thickBot="1">
      <c r="A6" s="113"/>
      <c r="B6" s="3301" t="s">
        <v>208</v>
      </c>
      <c r="C6" s="3301"/>
      <c r="D6" s="111">
        <f>ROUND($D$3*E6/$E$3,2)</f>
        <v>266666.2</v>
      </c>
      <c r="E6" s="112">
        <f>E3-E5</f>
        <v>1066664.8</v>
      </c>
      <c r="F6" s="1981"/>
      <c r="G6" s="1200"/>
      <c r="H6" s="274" t="s">
        <v>860</v>
      </c>
      <c r="I6" s="1973">
        <f>ROUND(F31/D31,2)</f>
        <v>4</v>
      </c>
      <c r="J6" s="1981"/>
      <c r="K6" s="1981"/>
      <c r="L6" s="1981"/>
    </row>
    <row r="7" spans="1:16" ht="15">
      <c r="A7" s="3293"/>
      <c r="B7" s="3294"/>
      <c r="C7" s="3295"/>
      <c r="D7" s="108" t="s">
        <v>204</v>
      </c>
      <c r="E7" s="114" t="s">
        <v>231</v>
      </c>
      <c r="F7" s="1981"/>
      <c r="G7" s="1155" t="s">
        <v>1646</v>
      </c>
      <c r="H7" s="1156"/>
      <c r="I7" s="1843">
        <v>4</v>
      </c>
      <c r="J7" s="1981"/>
      <c r="K7" s="1981"/>
      <c r="L7" s="1981"/>
    </row>
    <row r="8" spans="1:16">
      <c r="A8" s="110" t="s">
        <v>209</v>
      </c>
      <c r="B8" s="115" t="s">
        <v>210</v>
      </c>
      <c r="C8" s="111" t="s">
        <v>211</v>
      </c>
      <c r="D8" s="111">
        <f t="shared" ref="D8:D15" si="0">ROUND($D$3*E8/$E$3,2)</f>
        <v>266666.2</v>
      </c>
      <c r="E8" s="116">
        <f>SUMIF('数据-基础表'!BB10:BK10,"地上",'数据-基础表'!BB5:BK5)</f>
        <v>1066664.8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266666.2</v>
      </c>
      <c r="E16" s="120">
        <f>SUM(E8:E15)</f>
        <v>1066664.8</v>
      </c>
      <c r="F16" s="1981"/>
      <c r="G16" s="1983"/>
      <c r="H16" s="967" t="s">
        <v>219</v>
      </c>
      <c r="I16" s="968"/>
      <c r="J16" s="1981"/>
      <c r="K16" s="3287" t="s">
        <v>2562</v>
      </c>
      <c r="L16" s="3288"/>
      <c r="M16" s="3288"/>
      <c r="N16" s="3288"/>
      <c r="O16" s="3288"/>
      <c r="P16" s="3289"/>
    </row>
    <row r="17" spans="1:19" ht="15">
      <c r="A17" s="121" t="s">
        <v>216</v>
      </c>
      <c r="B17" s="122" t="s">
        <v>217</v>
      </c>
      <c r="C17" s="2295" t="s">
        <v>2311</v>
      </c>
      <c r="D17" s="108" t="s">
        <v>204</v>
      </c>
      <c r="E17" s="124" t="s">
        <v>205</v>
      </c>
      <c r="F17" s="125"/>
      <c r="G17" s="1365"/>
      <c r="H17" s="969" t="s">
        <v>218</v>
      </c>
      <c r="I17" s="970" t="s">
        <v>2310</v>
      </c>
      <c r="J17" s="1981"/>
      <c r="K17" s="3290" t="s">
        <v>2563</v>
      </c>
      <c r="L17" s="3291"/>
      <c r="M17" s="3292"/>
      <c r="N17" s="3290" t="s">
        <v>2564</v>
      </c>
      <c r="O17" s="3291"/>
      <c r="P17" s="3292"/>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3009</v>
      </c>
      <c r="D19" s="111">
        <f t="shared" ref="D19:D26" si="1">ROUND($D$3*E19/$E$3,2)</f>
        <v>266666.2</v>
      </c>
      <c r="E19" s="134">
        <f t="shared" ref="E19:E26" si="2">SUM(F19:G19)</f>
        <v>1066664.8</v>
      </c>
      <c r="F19" s="135">
        <f>'数据-基础表'!I13</f>
        <v>1066664.8</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266666.2</v>
      </c>
      <c r="S19" s="2298">
        <f t="shared" si="5"/>
        <v>1066664.8</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266666.2</v>
      </c>
      <c r="S27" s="274">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266666.2</v>
      </c>
      <c r="E31" s="1371">
        <f>E27+E30</f>
        <v>1066664.8</v>
      </c>
      <c r="F31" s="1372">
        <f>F27+F30</f>
        <v>1066664.8</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T24" sqref="T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43468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53055</v>
      </c>
      <c r="F6" s="174">
        <f>SUMIF(项目基本情况!D$15:I$15,C6,项目基本情况!D$19:I$19)</f>
        <v>26.26</v>
      </c>
      <c r="G6" s="175">
        <f>IF(ISERROR(ROUND(POWER(1+H6,D6-F6)*(POWER(1+H6,F6)-1)/(POWER(1+H6,D6)-1),3)),0,ROUND(POWER(1+H6,D6-F6)*(POWER(1+H6,F6)-1)/(POWER(1+H6,D6)-1),3))</f>
        <v>0.84199999999999997</v>
      </c>
      <c r="H6" s="2998">
        <v>0.05</v>
      </c>
      <c r="I6" s="2998">
        <v>5.5E-2</v>
      </c>
      <c r="J6" s="176">
        <v>8.5000000000000006E-2</v>
      </c>
      <c r="K6" s="179">
        <f>SUMIF('数据-汇总表'!C$19:C$33,'数据-取费表'!A6,'数据-汇总表'!E$19:E$33)</f>
        <v>1066664.8</v>
      </c>
      <c r="L6" s="3510">
        <v>2400</v>
      </c>
      <c r="M6" s="177">
        <f t="shared" ref="M6:M14" si="0">ROUND(K6*L6/10000,0)</f>
        <v>256000</v>
      </c>
      <c r="N6" s="3000">
        <v>0</v>
      </c>
      <c r="O6" s="177">
        <f>IF($N$5="成新度","——",ROUND(M6*N6,0))</f>
        <v>0</v>
      </c>
      <c r="P6" s="178">
        <f>IF($N$5="成新度","——",M6-O6)</f>
        <v>256000</v>
      </c>
      <c r="Q6" s="3511">
        <v>0.15</v>
      </c>
      <c r="R6" s="179">
        <f>SUMIF('数据-汇总表'!C$19:C$33,A6,'数据-汇总表'!R$19:R$33)</f>
        <v>266666.2</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26.26</v>
      </c>
      <c r="AF6" s="141"/>
      <c r="AG6" s="1212">
        <f>IF(AF6="",0,AE6-AF6)</f>
        <v>0</v>
      </c>
      <c r="AH6" s="141"/>
      <c r="AI6" s="187">
        <v>365</v>
      </c>
      <c r="AJ6" s="188"/>
      <c r="AK6" s="189">
        <v>1.4999999999999999E-2</v>
      </c>
      <c r="AL6" s="190">
        <v>1.5E-3</v>
      </c>
      <c r="AM6" s="3213">
        <v>0.01</v>
      </c>
      <c r="AN6" s="2368" t="s">
        <v>3010</v>
      </c>
      <c r="AO6" s="1997"/>
      <c r="AP6" s="1203">
        <f>ROUND(1-1/(1+H6)^F6,3)</f>
        <v>0.72199999999999998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0.84199999999999997</v>
      </c>
      <c r="H16" s="203">
        <f>ROUND(SUMPRODUCT(H6:H13,K6:K13)/SUMPRODUCT((H6:H13&gt;0)*(K6:K13)),3)</f>
        <v>0.05</v>
      </c>
      <c r="I16" s="204"/>
      <c r="J16" s="204"/>
      <c r="K16" s="205">
        <f>SUM(K6:K15)</f>
        <v>1066664.8</v>
      </c>
      <c r="L16" s="206">
        <f>ROUND(M16*10000/SUM(K6:K14),0)</f>
        <v>2400</v>
      </c>
      <c r="M16" s="206">
        <f>SUM(M6:M14)</f>
        <v>256000</v>
      </c>
      <c r="N16" s="207">
        <f>ROUND(SUMPRODUCT(M6:M14,N6:N14)/M16,3)</f>
        <v>0</v>
      </c>
      <c r="O16" s="206">
        <f>SUM(O6:O14)</f>
        <v>0</v>
      </c>
      <c r="P16" s="206">
        <f>SUM(P6:P14)</f>
        <v>256000</v>
      </c>
      <c r="Q16" s="208">
        <f>ROUND(SUMPRODUCT(Q6:Q13,K6:K13)/SUMPRODUCT((Q6:Q13&gt;0)*(K6:K13)),2)</f>
        <v>0.15</v>
      </c>
      <c r="R16" s="2308">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0.72199999999999998</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12">
        <v>3</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50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14">
        <v>0.02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5">
        <v>2.5000000000000001E-2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2" t="s">
        <v>1664</v>
      </c>
      <c r="B1" s="3303"/>
      <c r="C1" s="3303"/>
      <c r="D1" s="3303"/>
      <c r="E1" s="3303"/>
      <c r="F1" s="3303"/>
      <c r="G1" s="3303"/>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17" t="s">
        <v>2840</v>
      </c>
      <c r="B1" s="3017">
        <f>SUM(B14:B23)</f>
        <v>1066664.8</v>
      </c>
      <c r="C1" s="3018"/>
      <c r="D1" s="3018"/>
      <c r="E1" s="3018"/>
      <c r="F1" s="3018"/>
    </row>
    <row r="2" spans="1:9" ht="16.5">
      <c r="A2" s="3017" t="s">
        <v>2841</v>
      </c>
      <c r="B2" s="3017">
        <f>SUM(C14:C23)</f>
        <v>266666.2</v>
      </c>
      <c r="C2" s="3018"/>
      <c r="D2" s="3018"/>
      <c r="E2" s="3018"/>
      <c r="F2" s="3018"/>
    </row>
    <row r="3" spans="1:9" ht="16.5">
      <c r="A3" s="3017" t="s">
        <v>2842</v>
      </c>
      <c r="B3" s="3019">
        <f>项目基本情况!D3</f>
        <v>43468</v>
      </c>
      <c r="C3" s="3018"/>
      <c r="D3" s="3018"/>
      <c r="E3" s="3018"/>
      <c r="F3" s="3018"/>
    </row>
    <row r="4" spans="1:9" ht="33">
      <c r="A4" s="3017" t="s">
        <v>2843</v>
      </c>
      <c r="B4" s="3017" t="s">
        <v>2844</v>
      </c>
      <c r="C4" s="3017" t="s">
        <v>2845</v>
      </c>
      <c r="D4" s="3017" t="s">
        <v>2846</v>
      </c>
      <c r="E4" s="3018"/>
      <c r="F4" s="3018"/>
    </row>
    <row r="5" spans="1:9" ht="16.5">
      <c r="A5" s="3017" t="s">
        <v>2847</v>
      </c>
      <c r="B5" s="3017">
        <f ca="1">SUM(D14:D23)</f>
        <v>45487</v>
      </c>
      <c r="C5" s="3017">
        <f ca="1">ROUND(B5*10000/$B$1,0)</f>
        <v>426</v>
      </c>
      <c r="D5" s="3017">
        <f ca="1">ROUND(B5*10000/$B$2,0)</f>
        <v>1706</v>
      </c>
      <c r="E5" s="3018"/>
      <c r="F5" s="3018"/>
    </row>
    <row r="6" spans="1:9" ht="16.5">
      <c r="A6" s="3017" t="s">
        <v>2848</v>
      </c>
      <c r="B6" s="3017">
        <f ca="1">SUM(G14:G23)</f>
        <v>45487</v>
      </c>
      <c r="C6" s="3017">
        <f t="shared" ref="C6:C8" ca="1" si="0">ROUND(B6*10000/$B$1,0)</f>
        <v>426</v>
      </c>
      <c r="D6" s="3017">
        <f t="shared" ref="D6:D8" ca="1" si="1">ROUND(B6*10000/$B$2,0)</f>
        <v>1706</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1066664.8</v>
      </c>
      <c r="C14" s="3021">
        <f>结果表!K38</f>
        <v>266666.2</v>
      </c>
      <c r="D14" s="3021">
        <f ca="1">结果表!C42</f>
        <v>45487</v>
      </c>
      <c r="E14" s="3021">
        <f ca="1">ROUND(D14*10000/B14,0)</f>
        <v>426</v>
      </c>
      <c r="F14" s="3021">
        <f ca="1">ROUND(D14*10000/C14,0)</f>
        <v>1706</v>
      </c>
      <c r="G14" s="3021">
        <f ca="1">结果表!C44</f>
        <v>45487</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3013</v>
      </c>
      <c r="E1" s="1802" t="s">
        <v>2055</v>
      </c>
      <c r="F1" s="1804" t="s">
        <v>3014</v>
      </c>
      <c r="G1" s="310"/>
      <c r="H1" s="310"/>
      <c r="I1" s="310"/>
      <c r="J1" s="2026"/>
      <c r="K1" s="2026"/>
      <c r="L1" s="2026"/>
      <c r="M1" s="2026"/>
      <c r="N1" s="2026"/>
      <c r="O1" s="2026"/>
      <c r="P1" s="2026"/>
      <c r="Q1" s="2026"/>
      <c r="R1" s="2026"/>
      <c r="S1" s="2026"/>
      <c r="T1" s="2026"/>
      <c r="U1" s="2026"/>
      <c r="V1" s="2026"/>
    </row>
    <row r="2" spans="1:22" ht="21.75" customHeight="1" thickBot="1">
      <c r="A2" s="3340" t="str">
        <f>项目基本情况!K2</f>
        <v>山东省潍坊市高密市小辛庄东南至褚家王吴东北至钟家王吴以东至王吴水库出让国有建设用地使用权</v>
      </c>
      <c r="B2" s="3341"/>
      <c r="C2" s="3342"/>
      <c r="D2" s="3342"/>
      <c r="E2" s="3342"/>
      <c r="F2" s="3342"/>
      <c r="G2" s="3341"/>
      <c r="H2" s="3341"/>
      <c r="I2" s="3343"/>
      <c r="J2" s="2027"/>
      <c r="K2" s="2026"/>
      <c r="L2" s="2026"/>
      <c r="M2" s="2026"/>
      <c r="N2" s="2026"/>
      <c r="O2" s="2026"/>
      <c r="P2" s="2026"/>
      <c r="Q2" s="2026"/>
      <c r="R2" s="2026"/>
      <c r="S2" s="2026"/>
      <c r="T2" s="2026"/>
      <c r="U2" s="2026"/>
      <c r="V2" s="2026"/>
    </row>
    <row r="3" spans="1:22" ht="14.25">
      <c r="A3" s="3333" t="s">
        <v>298</v>
      </c>
      <c r="B3" s="3334"/>
      <c r="C3" s="3334"/>
      <c r="D3" s="3334"/>
      <c r="E3" s="3334"/>
      <c r="F3" s="3334"/>
      <c r="G3" s="3334"/>
      <c r="H3" s="3334"/>
      <c r="I3" s="3334"/>
      <c r="J3" s="2027"/>
      <c r="K3" s="2026"/>
      <c r="L3" s="2026"/>
      <c r="M3" s="2026"/>
      <c r="N3" s="2026"/>
      <c r="O3" s="2026"/>
      <c r="P3" s="2026"/>
      <c r="Q3" s="2026"/>
      <c r="R3" s="2026"/>
      <c r="S3" s="2026"/>
      <c r="T3" s="2026"/>
      <c r="U3" s="2026"/>
      <c r="V3" s="2026"/>
    </row>
    <row r="4" spans="1:22" ht="14.25">
      <c r="A4" s="257" t="s">
        <v>299</v>
      </c>
      <c r="B4" s="258" t="s">
        <v>300</v>
      </c>
      <c r="C4" s="259" t="s">
        <v>3015</v>
      </c>
      <c r="D4" s="259" t="s">
        <v>3016</v>
      </c>
      <c r="E4" s="3305" t="s">
        <v>301</v>
      </c>
      <c r="F4" s="3306"/>
      <c r="G4" s="3306"/>
      <c r="H4" s="3306"/>
      <c r="I4" s="3335"/>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4" t="s">
        <v>302</v>
      </c>
      <c r="B5" s="3330">
        <v>25</v>
      </c>
      <c r="C5" s="3328"/>
      <c r="D5" s="3332"/>
      <c r="E5" s="260" t="s">
        <v>303</v>
      </c>
      <c r="F5" s="261"/>
      <c r="G5" s="261"/>
      <c r="H5" s="261"/>
      <c r="I5" s="262"/>
      <c r="J5" s="2027"/>
      <c r="K5" s="2026"/>
      <c r="L5" s="2026"/>
      <c r="M5" s="2026"/>
      <c r="N5" s="2026"/>
      <c r="O5" s="2026"/>
      <c r="P5" s="2026"/>
      <c r="Q5" s="2026"/>
      <c r="R5" s="2026"/>
      <c r="S5" s="2026"/>
      <c r="T5" s="2026"/>
      <c r="U5" s="2026"/>
      <c r="V5" s="2026"/>
    </row>
    <row r="6" spans="1:22" ht="14.25">
      <c r="A6" s="3304"/>
      <c r="B6" s="3330"/>
      <c r="C6" s="3331"/>
      <c r="D6" s="3332"/>
      <c r="E6" s="260" t="s">
        <v>304</v>
      </c>
      <c r="F6" s="261"/>
      <c r="G6" s="261"/>
      <c r="H6" s="261"/>
      <c r="I6" s="262"/>
      <c r="J6" s="2027"/>
      <c r="K6" s="2026"/>
      <c r="L6" s="2026"/>
      <c r="M6" s="2026"/>
      <c r="N6" s="2026"/>
      <c r="O6" s="2026"/>
      <c r="P6" s="2026"/>
      <c r="Q6" s="2026"/>
      <c r="R6" s="2026"/>
      <c r="S6" s="2026"/>
      <c r="T6" s="2026"/>
      <c r="U6" s="2026"/>
      <c r="V6" s="2026"/>
    </row>
    <row r="7" spans="1:22" ht="14.25">
      <c r="A7" s="3304"/>
      <c r="B7" s="3330"/>
      <c r="C7" s="3329"/>
      <c r="D7" s="3332"/>
      <c r="E7" s="260" t="s">
        <v>305</v>
      </c>
      <c r="F7" s="261"/>
      <c r="G7" s="261"/>
      <c r="H7" s="261"/>
      <c r="I7" s="262"/>
      <c r="J7" s="2027"/>
      <c r="K7" s="2026"/>
      <c r="L7" s="2026"/>
      <c r="M7" s="2026"/>
      <c r="N7" s="2026"/>
      <c r="O7" s="2026"/>
      <c r="P7" s="2026"/>
      <c r="Q7" s="2026"/>
      <c r="R7" s="2026"/>
      <c r="S7" s="2026"/>
      <c r="T7" s="2026"/>
      <c r="U7" s="2026"/>
      <c r="V7" s="2026"/>
    </row>
    <row r="8" spans="1:22" ht="14.25">
      <c r="A8" s="3304" t="s">
        <v>306</v>
      </c>
      <c r="B8" s="3330">
        <v>15</v>
      </c>
      <c r="C8" s="3328"/>
      <c r="D8" s="3332"/>
      <c r="E8" s="260" t="s">
        <v>307</v>
      </c>
      <c r="F8" s="261"/>
      <c r="G8" s="261"/>
      <c r="H8" s="261"/>
      <c r="I8" s="262"/>
      <c r="J8" s="2027"/>
      <c r="K8" s="2026"/>
      <c r="L8" s="2026"/>
      <c r="M8" s="2026"/>
      <c r="N8" s="2026"/>
      <c r="O8" s="2026"/>
      <c r="P8" s="2026"/>
      <c r="Q8" s="2026"/>
      <c r="R8" s="2026"/>
      <c r="S8" s="2026"/>
      <c r="T8" s="2026"/>
      <c r="U8" s="2026"/>
      <c r="V8" s="2026"/>
    </row>
    <row r="9" spans="1:22" ht="14.25">
      <c r="A9" s="3304"/>
      <c r="B9" s="3330"/>
      <c r="C9" s="3329"/>
      <c r="D9" s="3332"/>
      <c r="E9" s="260" t="s">
        <v>308</v>
      </c>
      <c r="F9" s="261"/>
      <c r="G9" s="261"/>
      <c r="H9" s="261"/>
      <c r="I9" s="262"/>
      <c r="J9" s="2027"/>
      <c r="K9" s="2026"/>
      <c r="L9" s="2026"/>
      <c r="M9" s="2026"/>
      <c r="N9" s="2026"/>
      <c r="O9" s="2026"/>
      <c r="P9" s="2026"/>
      <c r="Q9" s="2026"/>
      <c r="R9" s="2026"/>
      <c r="S9" s="2026"/>
      <c r="T9" s="2026"/>
      <c r="U9" s="2026"/>
      <c r="V9" s="2026"/>
    </row>
    <row r="10" spans="1:22" ht="14.25">
      <c r="A10" s="3304" t="s">
        <v>309</v>
      </c>
      <c r="B10" s="3330">
        <v>15</v>
      </c>
      <c r="C10" s="3328"/>
      <c r="D10" s="3332"/>
      <c r="E10" s="260" t="s">
        <v>310</v>
      </c>
      <c r="F10" s="261"/>
      <c r="G10" s="261"/>
      <c r="H10" s="261"/>
      <c r="I10" s="262"/>
      <c r="J10" s="2027"/>
      <c r="K10" s="2026"/>
      <c r="L10" s="2026"/>
      <c r="M10" s="2026"/>
      <c r="N10" s="2026"/>
      <c r="O10" s="2026"/>
      <c r="P10" s="2026"/>
      <c r="Q10" s="2026"/>
      <c r="R10" s="2026"/>
      <c r="S10" s="2026"/>
      <c r="T10" s="2026"/>
      <c r="U10" s="2026"/>
      <c r="V10" s="2026"/>
    </row>
    <row r="11" spans="1:22" ht="14.25">
      <c r="A11" s="3304"/>
      <c r="B11" s="3330"/>
      <c r="C11" s="3329"/>
      <c r="D11" s="3332"/>
      <c r="E11" s="260" t="s">
        <v>311</v>
      </c>
      <c r="F11" s="261"/>
      <c r="G11" s="261"/>
      <c r="H11" s="261"/>
      <c r="I11" s="262"/>
      <c r="J11" s="2027"/>
      <c r="K11" s="2026"/>
      <c r="L11" s="2026"/>
      <c r="M11" s="2026"/>
      <c r="N11" s="2026"/>
      <c r="O11" s="2026"/>
      <c r="P11" s="2026"/>
      <c r="Q11" s="2026"/>
      <c r="R11" s="2026"/>
      <c r="S11" s="2026"/>
      <c r="T11" s="2026"/>
      <c r="U11" s="2026"/>
      <c r="V11" s="2026"/>
    </row>
    <row r="12" spans="1:22" ht="14.25">
      <c r="A12" s="3304" t="s">
        <v>312</v>
      </c>
      <c r="B12" s="3330">
        <v>15</v>
      </c>
      <c r="C12" s="3328"/>
      <c r="D12" s="3332"/>
      <c r="E12" s="260" t="s">
        <v>313</v>
      </c>
      <c r="F12" s="261"/>
      <c r="G12" s="261"/>
      <c r="H12" s="261"/>
      <c r="I12" s="262"/>
      <c r="J12" s="2027"/>
      <c r="K12" s="2026"/>
      <c r="L12" s="2026"/>
      <c r="M12" s="2026"/>
      <c r="N12" s="2026"/>
      <c r="O12" s="2026"/>
      <c r="P12" s="2026"/>
      <c r="Q12" s="2026"/>
      <c r="R12" s="2026"/>
      <c r="S12" s="2026"/>
      <c r="T12" s="2026"/>
      <c r="U12" s="2026"/>
      <c r="V12" s="2026"/>
    </row>
    <row r="13" spans="1:22" ht="14.25">
      <c r="A13" s="3304"/>
      <c r="B13" s="3330"/>
      <c r="C13" s="3329"/>
      <c r="D13" s="3332"/>
      <c r="E13" s="260" t="s">
        <v>314</v>
      </c>
      <c r="F13" s="261"/>
      <c r="G13" s="261"/>
      <c r="H13" s="261"/>
      <c r="I13" s="262"/>
      <c r="J13" s="2027"/>
      <c r="K13" s="2026"/>
      <c r="L13" s="2026"/>
      <c r="M13" s="2026"/>
      <c r="N13" s="2026"/>
      <c r="O13" s="2026"/>
      <c r="P13" s="2026"/>
      <c r="Q13" s="2026"/>
      <c r="R13" s="2026"/>
      <c r="S13" s="2026"/>
      <c r="T13" s="2026"/>
      <c r="U13" s="2026"/>
      <c r="V13" s="2026"/>
    </row>
    <row r="14" spans="1:22" ht="14.25">
      <c r="A14" s="3304" t="s">
        <v>315</v>
      </c>
      <c r="B14" s="3330">
        <v>30</v>
      </c>
      <c r="C14" s="3328">
        <v>5</v>
      </c>
      <c r="D14" s="3332">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04"/>
      <c r="B15" s="3330"/>
      <c r="C15" s="3331"/>
      <c r="D15" s="3332"/>
      <c r="E15" s="260" t="s">
        <v>317</v>
      </c>
      <c r="F15" s="261"/>
      <c r="G15" s="261"/>
      <c r="H15" s="261"/>
      <c r="I15" s="262"/>
      <c r="J15" s="2027"/>
      <c r="K15" s="2026"/>
      <c r="L15" s="2026"/>
      <c r="M15" s="2026"/>
      <c r="N15" s="2026"/>
      <c r="O15" s="2026"/>
      <c r="P15" s="2026"/>
      <c r="Q15" s="2026"/>
      <c r="R15" s="2026"/>
      <c r="S15" s="2026"/>
      <c r="T15" s="2026"/>
      <c r="U15" s="2026"/>
      <c r="V15" s="2026"/>
    </row>
    <row r="16" spans="1:22" ht="14.25">
      <c r="A16" s="3304"/>
      <c r="B16" s="3330"/>
      <c r="C16" s="3329"/>
      <c r="D16" s="3332"/>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40640</v>
      </c>
      <c r="D19" s="270">
        <f ca="1">SUMIF(INDIRECT("'"&amp;D4&amp;"'"&amp;"!A:A"),结果表!B19,INDIRECT("'"&amp;D4&amp;"'"&amp;"!B:B"))</f>
        <v>50333</v>
      </c>
      <c r="E19" s="267" t="s">
        <v>323</v>
      </c>
      <c r="F19" s="268" t="s">
        <v>322</v>
      </c>
      <c r="G19" s="271">
        <f ca="1">ROUND(C19*$C$18+D19*$D$18,0)</f>
        <v>45487</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381</v>
      </c>
      <c r="D20" s="276">
        <f ca="1">SUMIF(INDIRECT("'"&amp;D4&amp;"'"&amp;"!A:A"),结果表!B20,INDIRECT("'"&amp;D4&amp;"'"&amp;"!B:B"))</f>
        <v>472</v>
      </c>
      <c r="E20" s="273"/>
      <c r="F20" s="274" t="s">
        <v>325</v>
      </c>
      <c r="G20" s="277">
        <f ca="1">ROUND(C20*$C$18+D20*$D$18,0)</f>
        <v>427</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1524</v>
      </c>
      <c r="D21" s="151">
        <f ca="1">SUMIF(INDIRECT("'"&amp;D4&amp;"'"&amp;"!A:A"),结果表!B21,INDIRECT("'"&amp;D4&amp;"'"&amp;"!B:B"))</f>
        <v>1887</v>
      </c>
      <c r="E21" s="273"/>
      <c r="F21" s="279" t="s">
        <v>327</v>
      </c>
      <c r="G21" s="281">
        <f ca="1">ROUND(C21*$C$18+D21*$D$18,0)</f>
        <v>1706</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0.23850885826771662</v>
      </c>
      <c r="E22" s="283"/>
      <c r="F22" s="284"/>
      <c r="G22" s="285">
        <f ca="1">ROUND(G19/('数据-汇总表'!D3/666.67),0)</f>
        <v>114</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11"/>
      <c r="B25" s="1320" t="s">
        <v>331</v>
      </c>
      <c r="C25" s="289">
        <f>IF(B30=0,0,C30)</f>
        <v>0</v>
      </c>
      <c r="D25" s="290"/>
      <c r="E25" s="310"/>
      <c r="F25" s="310"/>
      <c r="G25" s="310"/>
      <c r="H25" s="310"/>
      <c r="I25" s="310"/>
      <c r="J25" s="2026"/>
      <c r="K25" s="1254" t="str">
        <f ca="1">项目基本情况!B16&amp;"国有建设用地使用权价格："&amp;O38&amp;"万元"</f>
        <v>出让国有建设用地使用权价格：45487万元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大写金额：人民币肆亿伍仟肆佰捌拾柒万元整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单位面积地价：1706元/平方米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楼面地价：426元/平方米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抵押价格：45487万元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大写金额：人民币肆亿伍仟肆佰捌拾柒万元整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45487</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426</v>
      </c>
      <c r="D33" s="1385" t="s">
        <v>1692</v>
      </c>
      <c r="E33" s="3310"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1706</v>
      </c>
      <c r="D34" s="1387" t="s">
        <v>1692</v>
      </c>
      <c r="E34" s="3351"/>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114</v>
      </c>
      <c r="D35" s="1390" t="s">
        <v>1694</v>
      </c>
      <c r="E35" s="3352"/>
      <c r="F35" s="300" t="s">
        <v>342</v>
      </c>
      <c r="G35" s="981"/>
      <c r="H35" s="980" t="s">
        <v>343</v>
      </c>
      <c r="I35" s="310"/>
      <c r="J35" s="2026"/>
      <c r="K35" s="3325" t="s">
        <v>350</v>
      </c>
      <c r="L35" s="3325" t="s">
        <v>351</v>
      </c>
      <c r="M35" s="1263" t="s">
        <v>352</v>
      </c>
      <c r="N35" s="3325" t="s">
        <v>353</v>
      </c>
      <c r="O35" s="3325" t="s">
        <v>354</v>
      </c>
      <c r="P35" s="2026"/>
      <c r="V35" s="2026"/>
    </row>
    <row r="36" spans="1:26" ht="16.5" customHeight="1">
      <c r="A36" s="302" t="s">
        <v>344</v>
      </c>
      <c r="B36" s="303" t="s">
        <v>333</v>
      </c>
      <c r="C36" s="304" t="s">
        <v>345</v>
      </c>
      <c r="D36" s="304" t="s">
        <v>346</v>
      </c>
      <c r="E36" s="305" t="s">
        <v>347</v>
      </c>
      <c r="F36" s="310"/>
      <c r="G36" s="310"/>
      <c r="H36" s="310"/>
      <c r="I36" s="310"/>
      <c r="J36" s="2028"/>
      <c r="K36" s="3326"/>
      <c r="L36" s="3326"/>
      <c r="M36" s="1265" t="s">
        <v>355</v>
      </c>
      <c r="N36" s="3326"/>
      <c r="O36" s="3326"/>
      <c r="P36" s="2026"/>
      <c r="V36" s="2026"/>
    </row>
    <row r="37" spans="1:26" ht="16.5" customHeight="1" thickBot="1">
      <c r="A37" s="1259" t="s">
        <v>348</v>
      </c>
      <c r="B37" s="306"/>
      <c r="C37" s="293"/>
      <c r="D37" s="293"/>
      <c r="E37" s="294"/>
      <c r="F37" s="310"/>
      <c r="G37" s="310"/>
      <c r="H37" s="310"/>
      <c r="I37" s="310"/>
      <c r="J37" s="2028"/>
      <c r="K37" s="3327"/>
      <c r="L37" s="3327"/>
      <c r="M37" s="1266"/>
      <c r="N37" s="3327"/>
      <c r="O37" s="3327"/>
      <c r="P37" s="2026"/>
      <c r="V37" s="2026"/>
    </row>
    <row r="38" spans="1:26" ht="16.5" customHeight="1" thickBot="1">
      <c r="A38" s="1259" t="s">
        <v>349</v>
      </c>
      <c r="B38" s="306"/>
      <c r="C38" s="293"/>
      <c r="D38" s="293"/>
      <c r="E38" s="294"/>
      <c r="F38" s="310"/>
      <c r="G38" s="310"/>
      <c r="H38" s="310"/>
      <c r="I38" s="310"/>
      <c r="J38" s="2028"/>
      <c r="K38" s="1267">
        <f>'数据-汇总表'!D3</f>
        <v>266666.2</v>
      </c>
      <c r="L38" s="1268">
        <f>'数据-汇总表'!E3</f>
        <v>1066664.8</v>
      </c>
      <c r="M38" s="1268">
        <f ca="1">C34</f>
        <v>1706</v>
      </c>
      <c r="N38" s="1268">
        <f ca="1">C33</f>
        <v>426</v>
      </c>
      <c r="O38" s="1269">
        <f ca="1">C32</f>
        <v>45487</v>
      </c>
      <c r="P38" s="2026"/>
      <c r="V38" s="2026"/>
    </row>
    <row r="39" spans="1:26" ht="16.5" customHeight="1" thickBot="1">
      <c r="A39" s="1264"/>
      <c r="B39" s="307"/>
      <c r="C39" s="308"/>
      <c r="D39" s="308"/>
      <c r="E39" s="309"/>
      <c r="F39" s="310"/>
      <c r="G39" s="310"/>
      <c r="H39" s="310"/>
      <c r="I39" s="310"/>
      <c r="J39" s="2028"/>
      <c r="K39" s="3370" t="str">
        <f>MID(A44,3,LEN(A44)-2)</f>
        <v>抵押价格</v>
      </c>
      <c r="L39" s="3371"/>
      <c r="M39" s="3371"/>
      <c r="N39" s="3372"/>
      <c r="O39" s="1392">
        <f ca="1">C44</f>
        <v>45487</v>
      </c>
      <c r="P39" s="2026"/>
      <c r="V39" s="2026"/>
    </row>
    <row r="40" spans="1:26" ht="19.5" thickBot="1">
      <c r="A40" s="104" t="s">
        <v>873</v>
      </c>
      <c r="B40" s="310"/>
      <c r="C40" s="310"/>
      <c r="D40" s="310"/>
      <c r="E40" s="310"/>
      <c r="F40" s="310"/>
      <c r="G40" s="310"/>
      <c r="H40" s="310"/>
      <c r="I40" s="310"/>
      <c r="J40" s="2028"/>
      <c r="K40" s="3370" t="str">
        <f t="shared" ref="K40:K41" si="0">MID(A45,3,LEN(A45)-2)</f>
        <v/>
      </c>
      <c r="L40" s="3371"/>
      <c r="M40" s="3371"/>
      <c r="N40" s="3372"/>
      <c r="O40" s="1392" t="str">
        <f>C45</f>
        <v>——</v>
      </c>
      <c r="P40" s="2026"/>
      <c r="V40" s="2026"/>
    </row>
    <row r="41" spans="1:26" ht="16.5" thickBot="1">
      <c r="A41" s="311" t="s">
        <v>356</v>
      </c>
      <c r="B41" s="312"/>
      <c r="C41" s="313" t="s">
        <v>357</v>
      </c>
      <c r="D41" s="314" t="s">
        <v>358</v>
      </c>
      <c r="E41" s="314" t="s">
        <v>359</v>
      </c>
      <c r="F41" s="315" t="s">
        <v>360</v>
      </c>
      <c r="G41" s="310"/>
      <c r="H41" s="310"/>
      <c r="I41" s="310"/>
      <c r="J41" s="2028"/>
      <c r="K41" s="3370" t="str">
        <f t="shared" si="0"/>
        <v/>
      </c>
      <c r="L41" s="3371"/>
      <c r="M41" s="3371"/>
      <c r="N41" s="3372"/>
      <c r="O41" s="1392" t="str">
        <f>C46</f>
        <v>——</v>
      </c>
      <c r="P41" s="2026"/>
      <c r="V41" s="2026"/>
    </row>
    <row r="42" spans="1:26" ht="29.25">
      <c r="A42" s="3312" t="s">
        <v>2065</v>
      </c>
      <c r="B42" s="3313"/>
      <c r="C42" s="263">
        <f ca="1">C32</f>
        <v>45487</v>
      </c>
      <c r="D42" s="316">
        <f ca="1">C33</f>
        <v>426</v>
      </c>
      <c r="E42" s="316">
        <f ca="1">C34</f>
        <v>1706</v>
      </c>
      <c r="F42" s="317">
        <f ca="1">C35</f>
        <v>114</v>
      </c>
      <c r="G42" s="310"/>
      <c r="H42" s="310"/>
      <c r="I42" s="318"/>
      <c r="J42" s="2028"/>
      <c r="K42" s="1270" t="s">
        <v>361</v>
      </c>
      <c r="L42" s="2045" t="s">
        <v>362</v>
      </c>
      <c r="M42" s="1271" t="s">
        <v>363</v>
      </c>
      <c r="N42" s="2046" t="s">
        <v>364</v>
      </c>
      <c r="O42" s="2047" t="s">
        <v>365</v>
      </c>
      <c r="P42" s="2026"/>
      <c r="V42" s="2026"/>
    </row>
    <row r="43" spans="1:26" ht="30">
      <c r="A43" s="3323" t="s">
        <v>2726</v>
      </c>
      <c r="B43" s="3324"/>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40640</v>
      </c>
      <c r="M43" s="1274">
        <f>C18</f>
        <v>0.5</v>
      </c>
      <c r="N43" s="1275">
        <f ca="1">IF(N42="测算结果/万元",G19,G20)</f>
        <v>45487</v>
      </c>
      <c r="O43" s="1276">
        <f ca="1">IF(O42="最终结果/万元",C32,C33)</f>
        <v>45487</v>
      </c>
      <c r="P43" s="2026"/>
      <c r="V43" s="2026"/>
    </row>
    <row r="44" spans="1:26" ht="30.75" thickBot="1">
      <c r="A44" s="3312" t="str">
        <f>IF(OR(项目基本情况!E8="抵押价格",项目基本情况!E8="已注销及未注销"),"3.抵押价格","——")</f>
        <v>3.抵押价格</v>
      </c>
      <c r="B44" s="3313"/>
      <c r="C44" s="263">
        <f ca="1">IF(A44="——","——",C42-C43)</f>
        <v>45487</v>
      </c>
      <c r="D44" s="316">
        <f ca="1">ROUND(C44*10000/'数据-汇总表'!E3,0)</f>
        <v>426</v>
      </c>
      <c r="E44" s="316">
        <f ca="1">ROUND(C44*10000/'数据-汇总表'!D3,0)</f>
        <v>1706</v>
      </c>
      <c r="F44" s="317">
        <f ca="1">ROUND(C44/('数据-汇总表'!D3/666.67),0)</f>
        <v>114</v>
      </c>
      <c r="G44" s="310"/>
      <c r="H44" s="310"/>
      <c r="I44" s="318"/>
      <c r="J44" s="2028"/>
      <c r="K44" s="1277" t="str">
        <f>D4</f>
        <v>剩余法-待开发</v>
      </c>
      <c r="L44" s="1278">
        <f ca="1">IF(L42="估价结果/万元",D19,D20)</f>
        <v>50333</v>
      </c>
      <c r="M44" s="1279">
        <f>D18</f>
        <v>0.5</v>
      </c>
      <c r="N44" s="1280"/>
      <c r="O44" s="1281"/>
      <c r="P44" s="2026"/>
      <c r="V44" s="2026"/>
    </row>
    <row r="45" spans="1:26" ht="15">
      <c r="A45" s="3318" t="str">
        <f>IF(项目基本情况!E8="已注销及未注销","4.抵押担保权已注销时的抵押价格",IF(项目基本情况!E8="已注销","3.抵押担保权已注销时的抵押价格","——"))</f>
        <v>——</v>
      </c>
      <c r="B45" s="3319"/>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4" t="str">
        <f>IF(项目基本情况!E9="抵押净值",IF(A45="——","4.抵押净值","5.抵押净值"),"——")</f>
        <v>——</v>
      </c>
      <c r="B46" s="331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9" t="s">
        <v>374</v>
      </c>
      <c r="B63" s="3360"/>
      <c r="C63" s="3361"/>
      <c r="D63" s="340">
        <f ca="1">ROUND(C42*F63,0)</f>
        <v>27292</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20" t="s">
        <v>378</v>
      </c>
      <c r="B64" s="3321"/>
      <c r="C64" s="3321"/>
      <c r="D64" s="3321"/>
      <c r="E64" s="3321"/>
      <c r="F64" s="3321"/>
      <c r="G64" s="3322"/>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16" t="s">
        <v>386</v>
      </c>
      <c r="B66" s="3317"/>
      <c r="C66" s="3317"/>
      <c r="D66" s="260">
        <f ca="1">IF(H66="情况1",0,IF(H66="情况2",D70,IF(H66="情况3",D71,IF(H66="情况4",D72))))</f>
        <v>1430</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74" t="s">
        <v>385</v>
      </c>
      <c r="M66" s="3375"/>
      <c r="N66" s="2435"/>
      <c r="O66" s="2436"/>
      <c r="P66" s="2437"/>
      <c r="Q66" s="2026"/>
      <c r="R66" s="2026"/>
      <c r="S66" s="2026"/>
      <c r="T66" s="2026"/>
      <c r="U66" s="2026"/>
      <c r="V66" s="2026"/>
    </row>
    <row r="67" spans="1:22" ht="25.5" customHeight="1">
      <c r="A67" s="351" t="s">
        <v>390</v>
      </c>
      <c r="B67" s="3307" t="s">
        <v>391</v>
      </c>
      <c r="C67" s="3307"/>
      <c r="D67" s="352">
        <v>0</v>
      </c>
      <c r="E67" s="41" t="s">
        <v>392</v>
      </c>
      <c r="F67" s="62" t="s">
        <v>21</v>
      </c>
      <c r="G67" s="3362"/>
      <c r="H67" s="310"/>
      <c r="I67" s="1291"/>
      <c r="J67" s="2033"/>
      <c r="K67" s="1974">
        <v>2</v>
      </c>
      <c r="L67" s="3373" t="s">
        <v>389</v>
      </c>
      <c r="M67" s="3373"/>
      <c r="N67" s="1324">
        <f>'数据-取费表'!B2</f>
        <v>43468</v>
      </c>
      <c r="O67" s="1324"/>
      <c r="P67" s="1324"/>
      <c r="Q67" s="2026"/>
      <c r="R67" s="2026"/>
      <c r="S67" s="2026"/>
      <c r="T67" s="2026"/>
      <c r="U67" s="2026"/>
      <c r="V67" s="2026"/>
    </row>
    <row r="68" spans="1:22" ht="25.5" customHeight="1">
      <c r="A68" s="353"/>
      <c r="B68" s="3307" t="s">
        <v>394</v>
      </c>
      <c r="C68" s="3307"/>
      <c r="D68" s="354"/>
      <c r="E68" s="77"/>
      <c r="F68" s="355"/>
      <c r="G68" s="3363"/>
      <c r="H68" s="310"/>
      <c r="I68" s="1291"/>
      <c r="J68" s="2033"/>
      <c r="K68" s="1974">
        <v>3</v>
      </c>
      <c r="L68" s="3373" t="s">
        <v>393</v>
      </c>
      <c r="M68" s="3373"/>
      <c r="N68" s="1292">
        <f ca="1">C42</f>
        <v>45487</v>
      </c>
      <c r="O68" s="1292"/>
      <c r="P68" s="1292"/>
      <c r="Q68" s="2026"/>
      <c r="R68" s="2026"/>
      <c r="S68" s="2026"/>
      <c r="T68" s="2026"/>
      <c r="U68" s="2026"/>
      <c r="V68" s="2026"/>
    </row>
    <row r="69" spans="1:22" ht="12" customHeight="1">
      <c r="A69" s="356"/>
      <c r="B69" s="3307" t="s">
        <v>395</v>
      </c>
      <c r="C69" s="3307"/>
      <c r="D69" s="357"/>
      <c r="E69" s="73"/>
      <c r="F69" s="355"/>
      <c r="G69" s="3364"/>
      <c r="H69" s="310"/>
      <c r="I69" s="1291"/>
      <c r="J69" s="2033"/>
      <c r="K69" s="1293">
        <v>4</v>
      </c>
      <c r="L69" s="3378" t="s">
        <v>2879</v>
      </c>
      <c r="M69" s="3379"/>
      <c r="N69" s="1294">
        <f ca="1">C44</f>
        <v>45487</v>
      </c>
      <c r="O69" s="1294"/>
      <c r="P69" s="1294"/>
      <c r="Q69" s="2026"/>
      <c r="R69" s="2026"/>
      <c r="S69" s="2026"/>
      <c r="T69" s="2026"/>
      <c r="U69" s="2026"/>
      <c r="V69" s="2026"/>
    </row>
    <row r="70" spans="1:22" ht="24" customHeight="1">
      <c r="A70" s="358" t="s">
        <v>396</v>
      </c>
      <c r="B70" s="3307" t="s">
        <v>397</v>
      </c>
      <c r="C70" s="3307"/>
      <c r="D70" s="357">
        <f ca="1">ROUND(D63*'数据-取费表'!B41/(1+'数据-取费表'!C42),0)</f>
        <v>1430</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08" t="s">
        <v>405</v>
      </c>
      <c r="C71" s="3309"/>
      <c r="D71" s="357">
        <f ca="1">ROUND(D63*'数据-取费表'!B41/(1+'数据-取费表'!C42),0)</f>
        <v>1430</v>
      </c>
      <c r="E71" s="17" t="s">
        <v>398</v>
      </c>
      <c r="F71" s="359">
        <f>'数据-取费表'!B41</f>
        <v>5.5000000000000007E-2</v>
      </c>
      <c r="G71" s="360"/>
      <c r="H71" s="310"/>
      <c r="I71" s="1291"/>
      <c r="J71" s="2033"/>
      <c r="K71" s="3033" t="s">
        <v>399</v>
      </c>
      <c r="L71" s="3380" t="s">
        <v>400</v>
      </c>
      <c r="M71" s="3380"/>
      <c r="N71" s="3033" t="s">
        <v>401</v>
      </c>
      <c r="O71" s="3033" t="s">
        <v>402</v>
      </c>
      <c r="P71" s="3033" t="s">
        <v>403</v>
      </c>
      <c r="Q71" s="2026"/>
      <c r="R71" s="2026"/>
      <c r="S71" s="2026"/>
      <c r="T71" s="2026"/>
      <c r="U71" s="2026"/>
      <c r="V71" s="2026"/>
    </row>
    <row r="72" spans="1:22" ht="12" customHeight="1">
      <c r="A72" s="358" t="s">
        <v>407</v>
      </c>
      <c r="B72" s="3308" t="s">
        <v>408</v>
      </c>
      <c r="C72" s="3309"/>
      <c r="D72" s="357">
        <f ca="1">C86</f>
        <v>1320</v>
      </c>
      <c r="E72" s="73" t="s">
        <v>409</v>
      </c>
      <c r="F72" s="359">
        <f>'数据-取费表'!B41</f>
        <v>5.5000000000000007E-2</v>
      </c>
      <c r="G72" s="360"/>
      <c r="H72" s="1297"/>
      <c r="I72" s="1291"/>
      <c r="J72" s="2033"/>
      <c r="K72" s="1974">
        <v>1</v>
      </c>
      <c r="L72" s="3355" t="s">
        <v>406</v>
      </c>
      <c r="M72" s="3355"/>
      <c r="N72" s="1295">
        <f ca="1">D66</f>
        <v>1430</v>
      </c>
      <c r="O72" s="1857" t="str">
        <f>E66</f>
        <v>销售额×税（费）率</v>
      </c>
      <c r="P72" s="1296">
        <f>F66</f>
        <v>5.5000000000000007E-2</v>
      </c>
      <c r="Q72" s="2026"/>
      <c r="R72" s="2026"/>
      <c r="S72" s="2026"/>
      <c r="T72" s="2026"/>
      <c r="U72" s="2026"/>
      <c r="V72" s="2026"/>
    </row>
    <row r="73" spans="1:22" ht="24" customHeight="1">
      <c r="A73" s="3349" t="s">
        <v>411</v>
      </c>
      <c r="B73" s="3317"/>
      <c r="C73" s="3317"/>
      <c r="D73" s="361">
        <f>IF(H73="个人住宅",0,ROUND(D63*I73,0))</f>
        <v>0</v>
      </c>
      <c r="E73" s="17" t="s">
        <v>412</v>
      </c>
      <c r="F73" s="359" t="str">
        <f>IF(H73="正常",I73,"免征")</f>
        <v>免征</v>
      </c>
      <c r="G73" s="360"/>
      <c r="H73" s="191" t="s">
        <v>2451</v>
      </c>
      <c r="I73" s="359">
        <f>'数据-取费表'!B49</f>
        <v>5.0000000000000001E-4</v>
      </c>
      <c r="J73" s="2033"/>
      <c r="K73" s="1974">
        <v>2</v>
      </c>
      <c r="L73" s="3355" t="s">
        <v>410</v>
      </c>
      <c r="M73" s="3355"/>
      <c r="N73" s="1295">
        <f t="shared" ref="N73:P74" si="1">D73</f>
        <v>0</v>
      </c>
      <c r="O73" s="1857" t="str">
        <f t="shared" si="1"/>
        <v>销售额×税（费）率</v>
      </c>
      <c r="P73" s="1296" t="str">
        <f t="shared" si="1"/>
        <v>免征</v>
      </c>
      <c r="Q73" s="2026"/>
      <c r="R73" s="2026"/>
      <c r="S73" s="2026"/>
      <c r="T73" s="2026"/>
      <c r="U73" s="2026"/>
      <c r="V73" s="2026"/>
    </row>
    <row r="74" spans="1:22" ht="24.75">
      <c r="A74" s="3349" t="s">
        <v>415</v>
      </c>
      <c r="B74" s="3317"/>
      <c r="C74" s="3317"/>
      <c r="D74" s="361">
        <f ca="1">IF(H74="个人住宅",D75,D76)</f>
        <v>14811</v>
      </c>
      <c r="E74" s="17" t="s">
        <v>416</v>
      </c>
      <c r="F74" s="359" t="str">
        <f>IF(H74="正常",F76,"免征")</f>
        <v>——</v>
      </c>
      <c r="G74" s="982" t="s">
        <v>417</v>
      </c>
      <c r="H74" s="362" t="s">
        <v>413</v>
      </c>
      <c r="I74" s="42"/>
      <c r="J74" s="2033"/>
      <c r="K74" s="1974">
        <v>3</v>
      </c>
      <c r="L74" s="3355" t="s">
        <v>414</v>
      </c>
      <c r="M74" s="3355"/>
      <c r="N74" s="1295">
        <f t="shared" ca="1" si="1"/>
        <v>14811</v>
      </c>
      <c r="O74" s="1857" t="str">
        <f t="shared" si="1"/>
        <v>增值额×税（费）率</v>
      </c>
      <c r="P74" s="1298" t="str">
        <f t="shared" si="1"/>
        <v>——</v>
      </c>
      <c r="Q74" s="2026"/>
      <c r="R74" s="2026"/>
      <c r="S74" s="2026"/>
      <c r="T74" s="2026"/>
      <c r="U74" s="2026"/>
      <c r="V74" s="2026"/>
    </row>
    <row r="75" spans="1:22" ht="24">
      <c r="A75" s="358" t="s">
        <v>418</v>
      </c>
      <c r="B75" s="3305" t="s">
        <v>419</v>
      </c>
      <c r="C75" s="3335"/>
      <c r="D75" s="363">
        <v>0</v>
      </c>
      <c r="E75" s="41" t="s">
        <v>420</v>
      </c>
      <c r="F75" s="364"/>
      <c r="G75" s="360"/>
      <c r="H75" s="42"/>
      <c r="I75" s="42"/>
      <c r="J75" s="2033"/>
      <c r="K75" s="3026">
        <f>IF(H77="非个人房产","",4)</f>
        <v>4</v>
      </c>
      <c r="L75" s="3355" t="str">
        <f>IF(H77="非个人房产","——","个人所得税")</f>
        <v>个人所得税</v>
      </c>
      <c r="M75" s="3355"/>
      <c r="N75" s="1299">
        <f ca="1">D77</f>
        <v>273</v>
      </c>
      <c r="O75" s="1870" t="str">
        <f>E77</f>
        <v>销售额×税（费）率</v>
      </c>
      <c r="P75" s="1300">
        <f>F77</f>
        <v>0.01</v>
      </c>
      <c r="Q75" s="2026"/>
      <c r="R75" s="2026"/>
      <c r="S75" s="2026"/>
      <c r="T75" s="2026"/>
      <c r="U75" s="2026"/>
      <c r="V75" s="2026"/>
    </row>
    <row r="76" spans="1:22" ht="24.75">
      <c r="A76" s="358" t="s">
        <v>396</v>
      </c>
      <c r="B76" s="3305" t="s">
        <v>422</v>
      </c>
      <c r="C76" s="3306"/>
      <c r="D76" s="361">
        <f ca="1">IF(H76="转让取得",C99,C115)</f>
        <v>14811</v>
      </c>
      <c r="E76" s="17" t="s">
        <v>423</v>
      </c>
      <c r="F76" s="53" t="s">
        <v>21</v>
      </c>
      <c r="G76" s="360"/>
      <c r="H76" s="362" t="s">
        <v>424</v>
      </c>
      <c r="I76" s="42"/>
      <c r="J76" s="2033"/>
      <c r="K76" s="3026" t="str">
        <f>IF(项目基本情况!K6="上海银行",IF(K75="",4,K75+1),"")</f>
        <v/>
      </c>
      <c r="L76" s="3366" t="str">
        <f>IF(项目基本情况!K6="上海银行","其他处置费用","")</f>
        <v/>
      </c>
      <c r="M76" s="3367"/>
      <c r="N76" s="1295" t="str">
        <f>IF(项目基本情况!K6="上海银行",N89,"")</f>
        <v/>
      </c>
      <c r="O76" s="3368" t="str">
        <f>IF(项目基本情况!K6="上海银行","包含处置中涉及的律师、诉讼、拍卖、评估等费用","")</f>
        <v/>
      </c>
      <c r="P76" s="3369"/>
      <c r="Q76" s="2026"/>
      <c r="R76" s="2026"/>
      <c r="S76" s="2026"/>
      <c r="T76" s="2026"/>
      <c r="U76" s="2026"/>
      <c r="V76" s="2026"/>
    </row>
    <row r="77" spans="1:22" ht="26.25" thickBot="1">
      <c r="A77" s="3357" t="s">
        <v>426</v>
      </c>
      <c r="B77" s="3358"/>
      <c r="C77" s="3358"/>
      <c r="D77" s="365">
        <f ca="1">IF(H77="非个人房产","——",IF(H77="个人住宅",0,ROUND(D63*I77,0)))</f>
        <v>273</v>
      </c>
      <c r="E77" s="366" t="str">
        <f>IF(H77="非个人房产","——","销售额×税（费）率")</f>
        <v>销售额×税（费）率</v>
      </c>
      <c r="F77" s="367">
        <f>IF(H77="非个人房产","——",IF(H77="个人住宅","免征",I77))</f>
        <v>0.01</v>
      </c>
      <c r="G77" s="983" t="s">
        <v>417</v>
      </c>
      <c r="H77" s="362" t="s">
        <v>2880</v>
      </c>
      <c r="I77" s="368">
        <v>0.01</v>
      </c>
      <c r="J77" s="2033"/>
      <c r="K77" s="3356">
        <f>IF(AND(K75="",K76=""),4,IF(项目基本情况!K6="上海银行",K76+1,K75+1))</f>
        <v>5</v>
      </c>
      <c r="L77" s="3355" t="s">
        <v>2881</v>
      </c>
      <c r="M77" s="3032" t="s">
        <v>421</v>
      </c>
      <c r="N77" s="1301"/>
      <c r="O77" s="1302">
        <f ca="1">SUMIF(N72:N76,"&lt;9e307")</f>
        <v>16514</v>
      </c>
      <c r="P77" s="1303"/>
      <c r="Q77" s="3030">
        <f ca="1">O77/N69</f>
        <v>0.36304878316881745</v>
      </c>
      <c r="R77" s="2026"/>
      <c r="S77" s="2026"/>
      <c r="T77" s="2026"/>
      <c r="U77" s="2026"/>
      <c r="V77" s="2026"/>
    </row>
    <row r="78" spans="1:22" ht="12" customHeight="1">
      <c r="A78" s="1304"/>
      <c r="B78" s="310"/>
      <c r="C78" s="310"/>
      <c r="D78" s="310"/>
      <c r="E78" s="42"/>
      <c r="F78" s="42"/>
      <c r="G78" s="42"/>
      <c r="H78" s="1002"/>
      <c r="I78" s="310"/>
      <c r="J78" s="2033"/>
      <c r="K78" s="3356"/>
      <c r="L78" s="3355"/>
      <c r="M78" s="3032" t="s">
        <v>425</v>
      </c>
      <c r="N78" s="1301"/>
      <c r="O78" s="1302" t="str">
        <f ca="1">NUMBERSTRING(INT(O77*10000),2)&amp;"元整"</f>
        <v>壹亿陆仟伍佰壹拾肆万元整</v>
      </c>
      <c r="P78" s="1303"/>
      <c r="Q78" s="2026"/>
      <c r="R78" s="2026"/>
      <c r="S78" s="2026"/>
      <c r="T78" s="2026"/>
      <c r="U78" s="2026"/>
      <c r="V78" s="2026"/>
    </row>
    <row r="79" spans="1:22" ht="13.5" thickBot="1">
      <c r="A79" s="3350" t="s">
        <v>427</v>
      </c>
      <c r="B79" s="3350"/>
      <c r="C79" s="3350"/>
      <c r="D79" s="3350"/>
      <c r="E79" s="3350"/>
      <c r="F79" s="42"/>
      <c r="G79" s="42"/>
      <c r="H79" s="1002"/>
      <c r="I79" s="310"/>
      <c r="J79" s="2033"/>
      <c r="K79" s="3376">
        <f>K77+1</f>
        <v>6</v>
      </c>
      <c r="L79" s="3355" t="s">
        <v>2882</v>
      </c>
      <c r="M79" s="3032" t="s">
        <v>421</v>
      </c>
      <c r="N79" s="1301"/>
      <c r="O79" s="1302">
        <f ca="1">N69-O77</f>
        <v>28973</v>
      </c>
      <c r="P79" s="1303"/>
      <c r="Q79" s="2026"/>
      <c r="R79" s="2026"/>
      <c r="S79" s="2026"/>
      <c r="T79" s="2026"/>
      <c r="U79" s="2026"/>
      <c r="V79" s="2026"/>
    </row>
    <row r="80" spans="1:22" ht="25.5">
      <c r="A80" s="3345" t="s">
        <v>428</v>
      </c>
      <c r="B80" s="3346"/>
      <c r="C80" s="993"/>
      <c r="D80" s="993" t="s">
        <v>429</v>
      </c>
      <c r="E80" s="369" t="s">
        <v>430</v>
      </c>
      <c r="F80" s="42"/>
      <c r="G80" s="42"/>
      <c r="H80" s="1002"/>
      <c r="I80" s="310"/>
      <c r="J80" s="2026"/>
      <c r="K80" s="3377"/>
      <c r="L80" s="3355"/>
      <c r="M80" s="3032" t="s">
        <v>425</v>
      </c>
      <c r="N80" s="1301"/>
      <c r="O80" s="1302" t="str">
        <f ca="1">NUMBERSTRING(INT(O79*10000),2)&amp;"元整"</f>
        <v>贰亿捌仟玖佰柒拾叁万元整</v>
      </c>
      <c r="P80" s="1303"/>
      <c r="Q80" s="2026"/>
      <c r="R80" s="2026"/>
      <c r="S80" s="2026"/>
      <c r="T80" s="2026"/>
      <c r="U80" s="2026"/>
      <c r="V80" s="2026"/>
    </row>
    <row r="81" spans="1:26" ht="13.5" thickBot="1">
      <c r="A81" s="380" t="s">
        <v>1824</v>
      </c>
      <c r="B81" s="370" t="s">
        <v>431</v>
      </c>
      <c r="C81" s="371">
        <f ca="1">ROUND((C82+C83)/(1+'数据-取费表'!C42),0)</f>
        <v>25992</v>
      </c>
      <c r="D81" s="372"/>
      <c r="E81" s="373"/>
      <c r="F81" s="42"/>
      <c r="G81" s="42"/>
      <c r="H81" s="1002"/>
      <c r="I81" s="310"/>
      <c r="J81" s="2026"/>
      <c r="K81" s="3026">
        <f>K79+1</f>
        <v>7</v>
      </c>
      <c r="L81" s="3353" t="s">
        <v>2883</v>
      </c>
      <c r="M81" s="3354"/>
      <c r="N81" s="1305"/>
      <c r="O81" s="1306">
        <f ca="1">ROUND(O79*10000/'数据-汇总表'!E3,0)</f>
        <v>272</v>
      </c>
      <c r="P81" s="1307"/>
      <c r="Q81" s="2026"/>
      <c r="R81" s="2026"/>
      <c r="S81" s="2026"/>
      <c r="T81" s="2026"/>
      <c r="U81" s="2026"/>
      <c r="V81" s="2026"/>
    </row>
    <row r="82" spans="1:26" ht="13.5" thickTop="1">
      <c r="A82" s="374" t="s">
        <v>1825</v>
      </c>
      <c r="B82" s="375" t="s">
        <v>432</v>
      </c>
      <c r="C82" s="376">
        <f ca="1">D63</f>
        <v>27292</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65" t="s">
        <v>2870</v>
      </c>
      <c r="L83" s="3038" t="s">
        <v>2871</v>
      </c>
      <c r="M83" s="3028">
        <f ca="1">IF(N69&gt;10000,N69*0.5%,IF(AND(N69&gt;1000,N69&lt;=10000),N69*1%,IF(AND(N69&gt;100,N69&lt;=1000),N69*3%,IF(AND(N69&gt;10,N69&lt;=100),N69*5%,N69*8%))))</f>
        <v>227.435</v>
      </c>
      <c r="N83" s="53">
        <f ca="1">ROUND(M83,1)</f>
        <v>227.4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65"/>
      <c r="L84" s="3038" t="s">
        <v>2872</v>
      </c>
      <c r="M84" s="3028">
        <f ca="1">IF(N69&gt;2000,N69*0.5%,IF(AND(N69&gt;1000,N69&lt;=2000),N69*0.6%,IF(AND(N69&gt;500,N69&lt;=1000),N69*0.7%,IF(AND(N69&gt;200,N69&lt;=500),N69*0.8%,IF(AND(N69&gt;100,N69&lt;=200),N69*0.9%,IF(AND(N69&gt;50,N69&lt;=100),N69*1%,IF(AND(N69&gt;20,N69&lt;=50),N69*1.5%,IF(AND(N69&gt;10,N69&lt;=20),N69*2%,IF(AND(N69&gt;1,N69&lt;=10),N69*2.5%)))))))))</f>
        <v>227.435</v>
      </c>
      <c r="N84" s="53">
        <f t="shared" ref="N84:N85" ca="1" si="2">ROUND(M84,1)</f>
        <v>227.4</v>
      </c>
      <c r="O84" s="2026" t="s">
        <v>2873</v>
      </c>
      <c r="P84" s="2026"/>
      <c r="Q84" s="2026"/>
      <c r="R84" s="2026"/>
      <c r="S84" s="2026"/>
      <c r="T84" s="2026"/>
      <c r="U84" s="2026"/>
      <c r="V84" s="2026"/>
    </row>
    <row r="85" spans="1:26" ht="12.75">
      <c r="A85" s="380" t="s">
        <v>1828</v>
      </c>
      <c r="B85" s="381" t="s">
        <v>435</v>
      </c>
      <c r="C85" s="384">
        <f ca="1">C81-C84</f>
        <v>23992</v>
      </c>
      <c r="D85" s="377" t="s">
        <v>19</v>
      </c>
      <c r="E85" s="378"/>
      <c r="F85" s="42"/>
      <c r="G85" s="42"/>
      <c r="H85" s="1002"/>
      <c r="I85" s="310"/>
      <c r="J85" s="2026"/>
      <c r="K85" s="3365"/>
      <c r="L85" s="3038" t="s">
        <v>2874</v>
      </c>
      <c r="M85" s="3028">
        <f ca="1">IF(N69&gt;1000,N69*0.1%,IF(AND(N69&gt;500,N69&lt;=1000),N69*0.5%,IF(AND(N69&gt;50,N69&lt;=500),N69*1%,IF(AND(N69&gt;1,N69&lt;=50),N69*1.5%))))</f>
        <v>45.487000000000002</v>
      </c>
      <c r="N85" s="53">
        <f t="shared" ca="1" si="2"/>
        <v>45.5</v>
      </c>
      <c r="O85" s="2026" t="s">
        <v>2873</v>
      </c>
      <c r="P85" s="2026"/>
      <c r="Q85" s="2026"/>
      <c r="R85" s="2026"/>
      <c r="S85" s="2026"/>
      <c r="T85" s="2026"/>
      <c r="U85" s="2026"/>
      <c r="V85" s="2026"/>
    </row>
    <row r="86" spans="1:26" ht="13.5" thickBot="1">
      <c r="A86" s="385" t="s">
        <v>1829</v>
      </c>
      <c r="B86" s="386" t="s">
        <v>436</v>
      </c>
      <c r="C86" s="387">
        <f ca="1">IF(C85&lt;=0,0,ROUND(C85*D86,0))</f>
        <v>1320</v>
      </c>
      <c r="D86" s="388">
        <f>'数据-取费表'!B41</f>
        <v>5.5000000000000007E-2</v>
      </c>
      <c r="E86" s="389"/>
      <c r="F86" s="42"/>
      <c r="G86" s="42"/>
      <c r="H86" s="1002"/>
      <c r="I86" s="310"/>
      <c r="J86" s="2026"/>
      <c r="K86" s="3365"/>
      <c r="L86" s="3038" t="s">
        <v>2875</v>
      </c>
      <c r="M86" s="3028">
        <f ca="1">N69*0.5%</f>
        <v>227.435</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5"/>
      <c r="L87" s="3038" t="s">
        <v>2877</v>
      </c>
      <c r="M87" s="3028">
        <f ca="1">IF(N69&gt;=10000,(8.25+(N69-10000)*0.01%),IF(AND(N69&gt;=8000,N69&lt;10000),(7.85+(N69-8000)*0.02%),IF(AND(N69&gt;=5000,N69&lt;8000),(6.65+(N69-5000)*0.04%),IF(AND(N69&gt;=2000,N69&lt;5000),(4.25+(PN69-2000)*0.08%),IF(AND(N69&gt;=1000,N69&lt;2000),(2.75+(N69-1000)*0.15%),IF(AND(N69&gt;=100,N69&lt;1000),(0.5+(N69-100)*0.25%),IF(AND(N69&gt;0,N69&lt;100),N69*0.5%)))))))</f>
        <v>11.7987</v>
      </c>
      <c r="N87" s="53">
        <f ca="1">ROUND(M87*0.9,1)</f>
        <v>10.6</v>
      </c>
      <c r="O87" s="3031"/>
      <c r="P87" s="310"/>
      <c r="Q87" s="2026"/>
      <c r="R87" s="2026"/>
      <c r="S87" s="2026"/>
      <c r="T87" s="2026"/>
      <c r="U87" s="2026"/>
      <c r="V87" s="2026"/>
      <c r="W87" s="291"/>
      <c r="X87" s="291"/>
      <c r="Y87" s="291"/>
      <c r="Z87" s="291"/>
    </row>
    <row r="88" spans="1:26" s="1313" customFormat="1" ht="15" thickBot="1">
      <c r="A88" s="3347" t="s">
        <v>437</v>
      </c>
      <c r="B88" s="3348"/>
      <c r="C88" s="3348"/>
      <c r="D88" s="3348"/>
      <c r="E88" s="3348"/>
      <c r="F88" s="3348"/>
      <c r="G88" s="3348"/>
      <c r="H88" s="3348"/>
      <c r="I88" s="1314"/>
      <c r="J88" s="2034"/>
      <c r="K88" s="3365"/>
      <c r="L88" s="3038" t="s">
        <v>2878</v>
      </c>
      <c r="M88" s="3028">
        <f ca="1">IF(N69&gt;10000,N69*0.5%,IF(AND(N69&gt;5000,N69&lt;=10000),N69*1%,IF(AND(N69&gt;1000,N69&lt;=5000),N69*2%,IF(AND(N69&gt;200,N69&lt;=1000),N69*3%,N69*5%))))</f>
        <v>227.435</v>
      </c>
      <c r="N88" s="53">
        <f ca="1">ROUND(M88,1)</f>
        <v>227.4</v>
      </c>
      <c r="O88" s="3031"/>
      <c r="P88" s="11"/>
      <c r="Q88" s="2031"/>
      <c r="R88" s="2031"/>
      <c r="S88" s="2031"/>
      <c r="T88" s="2031"/>
      <c r="U88" s="2031"/>
      <c r="V88" s="2031"/>
      <c r="W88" s="2035"/>
      <c r="X88" s="2035"/>
      <c r="Y88" s="2035"/>
      <c r="Z88" s="2035"/>
    </row>
    <row r="89" spans="1:26" s="1313" customFormat="1" ht="14.25">
      <c r="A89" s="3345" t="s">
        <v>428</v>
      </c>
      <c r="B89" s="3346"/>
      <c r="C89" s="993"/>
      <c r="D89" s="993" t="s">
        <v>429</v>
      </c>
      <c r="E89" s="390" t="s">
        <v>438</v>
      </c>
      <c r="F89" s="391"/>
      <c r="G89" s="391"/>
      <c r="H89" s="392"/>
      <c r="I89" s="1315"/>
      <c r="J89" s="2036"/>
      <c r="K89" s="3365"/>
      <c r="L89" s="3038" t="s">
        <v>27</v>
      </c>
      <c r="M89" s="3029"/>
      <c r="N89" s="53">
        <f ca="1">ROUND(SUM(N83:N88),0)</f>
        <v>739</v>
      </c>
      <c r="O89" s="3039">
        <f ca="1">N89/N69</f>
        <v>1.6246400070349769E-2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25992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2711</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08" t="s">
        <v>447</v>
      </c>
      <c r="F94" s="3307"/>
      <c r="G94" s="3307"/>
      <c r="H94" s="334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130</v>
      </c>
      <c r="D96" s="405">
        <f>'数据-取费表'!B43</f>
        <v>5.000000000000001E-3</v>
      </c>
      <c r="E96" s="3336" t="s">
        <v>2424</v>
      </c>
      <c r="F96" s="3337"/>
      <c r="G96" s="3337"/>
      <c r="H96" s="3338"/>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23281</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8.5876060494282545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13020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7" t="s">
        <v>454</v>
      </c>
      <c r="B101" s="3348"/>
      <c r="C101" s="3348"/>
      <c r="D101" s="3348"/>
      <c r="E101" s="3348"/>
      <c r="F101" s="3348"/>
      <c r="G101" s="3348"/>
      <c r="H101" s="3348"/>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5" t="s">
        <v>428</v>
      </c>
      <c r="B102" s="334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25992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825</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39" t="s">
        <v>462</v>
      </c>
      <c r="F109" s="3337"/>
      <c r="G109" s="3337"/>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39" t="s">
        <v>464</v>
      </c>
      <c r="F110" s="3337"/>
      <c r="G110" s="3337"/>
      <c r="H110" s="3338"/>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130</v>
      </c>
      <c r="D111" s="405">
        <f>'数据-取费表'!B43</f>
        <v>5.000000000000001E-3</v>
      </c>
      <c r="E111" s="3336" t="s">
        <v>2424</v>
      </c>
      <c r="F111" s="3337"/>
      <c r="G111" s="3337"/>
      <c r="H111" s="3338"/>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39" t="s">
        <v>2449</v>
      </c>
      <c r="F112" s="3337"/>
      <c r="G112" s="3337"/>
      <c r="H112" s="3338"/>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25167</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30.505454545454544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14811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 zoomScale="80" zoomScaleNormal="95" zoomScaleSheetLayoutView="80" workbookViewId="0">
      <selection activeCell="G23" sqref="G2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40640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381</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1524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102</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90" t="s">
        <v>522</v>
      </c>
      <c r="D6" s="3391"/>
      <c r="E6" s="3390" t="s">
        <v>523</v>
      </c>
      <c r="F6" s="3391"/>
      <c r="G6" s="3390" t="s">
        <v>524</v>
      </c>
      <c r="H6" s="3391"/>
      <c r="I6" s="3390" t="s">
        <v>525</v>
      </c>
      <c r="J6" s="3391"/>
      <c r="K6" s="513" t="s">
        <v>526</v>
      </c>
      <c r="L6" s="2131"/>
      <c r="M6" s="2130"/>
      <c r="N6" s="2130"/>
      <c r="O6" s="2132"/>
      <c r="P6" s="3392" t="s">
        <v>527</v>
      </c>
      <c r="Q6" s="3393"/>
      <c r="R6" s="3398" t="s">
        <v>523</v>
      </c>
      <c r="S6" s="3399"/>
      <c r="T6" s="3398" t="s">
        <v>524</v>
      </c>
      <c r="U6" s="3399"/>
      <c r="V6" s="3385" t="s">
        <v>525</v>
      </c>
      <c r="W6" s="3385"/>
      <c r="X6" s="1567"/>
      <c r="Y6" s="3398" t="s">
        <v>527</v>
      </c>
      <c r="Z6" s="3399"/>
      <c r="AA6" s="3387" t="s">
        <v>523</v>
      </c>
      <c r="AB6" s="3388" t="s">
        <v>524</v>
      </c>
      <c r="AC6" s="3387" t="s">
        <v>525</v>
      </c>
    </row>
    <row r="7" spans="1:30" ht="20.25">
      <c r="A7" s="514"/>
      <c r="B7" s="515"/>
      <c r="C7" s="3408" t="s">
        <v>2923</v>
      </c>
      <c r="D7" s="3407"/>
      <c r="E7" s="3406" t="s">
        <v>3262</v>
      </c>
      <c r="F7" s="3407"/>
      <c r="G7" s="3406" t="s">
        <v>3253</v>
      </c>
      <c r="H7" s="3407"/>
      <c r="I7" s="3406" t="s">
        <v>3263</v>
      </c>
      <c r="J7" s="3407"/>
      <c r="K7" s="513"/>
      <c r="L7" s="2131"/>
      <c r="M7" s="2130"/>
      <c r="N7" s="2130"/>
      <c r="O7" s="2132"/>
      <c r="P7" s="3394"/>
      <c r="Q7" s="3395"/>
      <c r="R7" s="3400"/>
      <c r="S7" s="3401"/>
      <c r="T7" s="3400"/>
      <c r="U7" s="3401"/>
      <c r="V7" s="3385"/>
      <c r="W7" s="3385"/>
      <c r="X7" s="1567"/>
      <c r="Y7" s="3400"/>
      <c r="Z7" s="3401"/>
      <c r="AA7" s="3388"/>
      <c r="AB7" s="3388"/>
      <c r="AC7" s="3388"/>
    </row>
    <row r="8" spans="1:30" ht="21" thickBot="1">
      <c r="A8" s="514"/>
      <c r="B8" s="515"/>
      <c r="C8" s="3409" t="s">
        <v>2927</v>
      </c>
      <c r="D8" s="3410"/>
      <c r="E8" s="3409" t="s">
        <v>2927</v>
      </c>
      <c r="F8" s="3410"/>
      <c r="G8" s="3404" t="s">
        <v>2927</v>
      </c>
      <c r="H8" s="3405"/>
      <c r="I8" s="3404" t="s">
        <v>2927</v>
      </c>
      <c r="J8" s="3405"/>
      <c r="K8" s="513" t="s">
        <v>528</v>
      </c>
      <c r="L8" s="2131"/>
      <c r="M8" s="2130"/>
      <c r="N8" s="2130"/>
      <c r="O8" s="2132"/>
      <c r="P8" s="3396"/>
      <c r="Q8" s="3397"/>
      <c r="R8" s="3400"/>
      <c r="S8" s="3401"/>
      <c r="T8" s="3402"/>
      <c r="U8" s="3403"/>
      <c r="V8" s="3385"/>
      <c r="W8" s="3385"/>
      <c r="X8" s="1567"/>
      <c r="Y8" s="3402"/>
      <c r="Z8" s="3403"/>
      <c r="AA8" s="3389"/>
      <c r="AB8" s="3389"/>
      <c r="AC8" s="3389"/>
    </row>
    <row r="9" spans="1:30" s="1219" customFormat="1" ht="21" thickBot="1">
      <c r="A9" s="2888"/>
      <c r="B9" s="2895" t="s">
        <v>529</v>
      </c>
      <c r="C9" s="2887">
        <f>'数据-取费表'!B2</f>
        <v>43468</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416" t="s">
        <v>530</v>
      </c>
      <c r="Q9" s="3418"/>
      <c r="R9" s="1568" t="s">
        <v>8</v>
      </c>
      <c r="S9" s="1569">
        <f t="shared" ref="S9:S17" si="0">F9</f>
        <v>91</v>
      </c>
      <c r="T9" s="1568" t="s">
        <v>8</v>
      </c>
      <c r="U9" s="1569">
        <f t="shared" ref="U9:U17" si="1">H9</f>
        <v>91</v>
      </c>
      <c r="V9" s="1568" t="s">
        <v>8</v>
      </c>
      <c r="W9" s="1569">
        <f t="shared" ref="W9:W17" si="2">J9</f>
        <v>94</v>
      </c>
      <c r="X9" s="1570"/>
      <c r="Y9" s="3416" t="s">
        <v>530</v>
      </c>
      <c r="Z9" s="3417"/>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3018</v>
      </c>
      <c r="F10" s="521">
        <f>SUMIF(75:75,E10,76:76)-SUMIF(75:75,C10,76:76)+100</f>
        <v>100</v>
      </c>
      <c r="G10" s="524" t="s">
        <v>3018</v>
      </c>
      <c r="H10" s="519">
        <f>SUMIF(75:75,G10,76:76)-SUMIF(75:75,C10,76:76)+100</f>
        <v>100</v>
      </c>
      <c r="I10" s="524" t="s">
        <v>3018</v>
      </c>
      <c r="J10" s="519">
        <f>SUMIF(75:75,I10,76:76)-SUMIF(75:75,C10,76:76)+100</f>
        <v>100</v>
      </c>
      <c r="K10" s="523"/>
      <c r="L10" s="2133"/>
      <c r="M10" s="2130"/>
      <c r="N10" s="2130"/>
      <c r="O10" s="2134"/>
      <c r="P10" s="3416" t="s">
        <v>533</v>
      </c>
      <c r="Q10" s="3417"/>
      <c r="R10" s="1568" t="s">
        <v>8</v>
      </c>
      <c r="S10" s="1569">
        <f t="shared" si="0"/>
        <v>100</v>
      </c>
      <c r="T10" s="1568" t="s">
        <v>8</v>
      </c>
      <c r="U10" s="1569">
        <f t="shared" si="1"/>
        <v>100</v>
      </c>
      <c r="V10" s="1568" t="s">
        <v>8</v>
      </c>
      <c r="W10" s="1569">
        <f t="shared" si="2"/>
        <v>100</v>
      </c>
      <c r="X10" s="1570"/>
      <c r="Y10" s="3416" t="s">
        <v>533</v>
      </c>
      <c r="Z10" s="3417"/>
      <c r="AA10" s="1571">
        <f t="shared" ref="AA10:AA47" si="3">D10/F10</f>
        <v>1</v>
      </c>
      <c r="AB10" s="1571">
        <f t="shared" ref="AB10:AB47" si="4">D10/H10</f>
        <v>1</v>
      </c>
      <c r="AC10" s="1571">
        <f t="shared" ref="AC10:AC47" si="5">D10/J10</f>
        <v>1</v>
      </c>
    </row>
    <row r="11" spans="1:30" s="1219" customFormat="1" ht="20.25">
      <c r="A11" s="2890"/>
      <c r="B11" s="2897" t="s">
        <v>2752</v>
      </c>
      <c r="C11" s="3176" t="s">
        <v>3017</v>
      </c>
      <c r="D11" s="253">
        <v>100</v>
      </c>
      <c r="E11" s="3176" t="s">
        <v>3017</v>
      </c>
      <c r="F11" s="253">
        <f>SUMIF(77:77,E11,78:78)-SUMIF(77:77,C11,78:78)+100</f>
        <v>100</v>
      </c>
      <c r="G11" s="3176" t="s">
        <v>3017</v>
      </c>
      <c r="H11" s="253">
        <f>SUMIF(77:77,G11,78:78)-SUMIF(77:77,C11,78:78)+100</f>
        <v>100</v>
      </c>
      <c r="I11" s="3176" t="s">
        <v>3017</v>
      </c>
      <c r="J11" s="253">
        <f>SUMIF(77:77,I11,78:78)-SUMIF(77:77,C11,78:78)+100</f>
        <v>100</v>
      </c>
      <c r="K11" s="523"/>
      <c r="L11" s="2133"/>
      <c r="M11" s="2130"/>
      <c r="N11" s="2130"/>
      <c r="O11" s="2135"/>
      <c r="P11" s="3384" t="s">
        <v>535</v>
      </c>
      <c r="Q11" s="1150" t="str">
        <f t="shared" ref="Q11:Q17" si="6">B11</f>
        <v>用途</v>
      </c>
      <c r="R11" s="1568" t="s">
        <v>8</v>
      </c>
      <c r="S11" s="1569">
        <f t="shared" si="0"/>
        <v>100</v>
      </c>
      <c r="T11" s="1568" t="s">
        <v>8</v>
      </c>
      <c r="U11" s="1569">
        <f t="shared" si="1"/>
        <v>100</v>
      </c>
      <c r="V11" s="1568" t="s">
        <v>8</v>
      </c>
      <c r="W11" s="1569">
        <f t="shared" si="2"/>
        <v>100</v>
      </c>
      <c r="X11" s="1570"/>
      <c r="Y11" s="3330"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26.26</v>
      </c>
      <c r="D12" s="254">
        <v>100</v>
      </c>
      <c r="E12" s="528" t="s">
        <v>3242</v>
      </c>
      <c r="F12" s="254">
        <f>ROUND(100/'数据-取费表'!G16,0)</f>
        <v>119</v>
      </c>
      <c r="G12" s="528" t="s">
        <v>3242</v>
      </c>
      <c r="H12" s="254">
        <f>ROUND(100/'数据-取费表'!G16,0)</f>
        <v>119</v>
      </c>
      <c r="I12" s="3206" t="s">
        <v>3271</v>
      </c>
      <c r="J12" s="3207">
        <f>ROUND(100/'数据-取费表'!G16,0)</f>
        <v>119</v>
      </c>
      <c r="K12" s="530"/>
      <c r="L12" s="2136"/>
      <c r="M12" s="2130"/>
      <c r="N12" s="2130"/>
      <c r="O12" s="2137"/>
      <c r="P12" s="3384"/>
      <c r="Q12" s="1150" t="str">
        <f t="shared" si="6"/>
        <v>土地使用年限（年）</v>
      </c>
      <c r="R12" s="1568" t="s">
        <v>8</v>
      </c>
      <c r="S12" s="1569">
        <f t="shared" si="0"/>
        <v>119</v>
      </c>
      <c r="T12" s="1568" t="s">
        <v>8</v>
      </c>
      <c r="U12" s="1569">
        <f t="shared" si="1"/>
        <v>119</v>
      </c>
      <c r="V12" s="1568" t="s">
        <v>8</v>
      </c>
      <c r="W12" s="1569">
        <f t="shared" si="2"/>
        <v>119</v>
      </c>
      <c r="X12" s="1570"/>
      <c r="Y12" s="3330"/>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84"/>
      <c r="Q13" s="1150" t="str">
        <f t="shared" si="6"/>
        <v>容积率</v>
      </c>
      <c r="R13" s="1568" t="s">
        <v>8</v>
      </c>
      <c r="S13" s="1569">
        <f t="shared" si="0"/>
        <v>109</v>
      </c>
      <c r="T13" s="1568" t="s">
        <v>8</v>
      </c>
      <c r="U13" s="1569">
        <f t="shared" si="1"/>
        <v>109</v>
      </c>
      <c r="V13" s="1568" t="s">
        <v>8</v>
      </c>
      <c r="W13" s="1569">
        <f t="shared" si="2"/>
        <v>100</v>
      </c>
      <c r="X13" s="1570"/>
      <c r="Y13" s="3330"/>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4"/>
      <c r="Q14" s="1150" t="str">
        <f t="shared" si="6"/>
        <v>配建</v>
      </c>
      <c r="R14" s="1568" t="s">
        <v>8</v>
      </c>
      <c r="S14" s="1569">
        <f t="shared" si="0"/>
        <v>100</v>
      </c>
      <c r="T14" s="1568" t="s">
        <v>8</v>
      </c>
      <c r="U14" s="1569">
        <f t="shared" si="1"/>
        <v>100</v>
      </c>
      <c r="V14" s="1568" t="s">
        <v>8</v>
      </c>
      <c r="W14" s="1569">
        <f t="shared" si="2"/>
        <v>100</v>
      </c>
      <c r="X14" s="1570"/>
      <c r="Y14" s="3330"/>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4"/>
      <c r="Q15" s="1150">
        <f t="shared" si="6"/>
        <v>111</v>
      </c>
      <c r="R15" s="1568" t="s">
        <v>8</v>
      </c>
      <c r="S15" s="1569">
        <f t="shared" si="0"/>
        <v>100</v>
      </c>
      <c r="T15" s="1568" t="s">
        <v>8</v>
      </c>
      <c r="U15" s="1569">
        <f t="shared" si="1"/>
        <v>100</v>
      </c>
      <c r="V15" s="1568" t="s">
        <v>8</v>
      </c>
      <c r="W15" s="1569">
        <f t="shared" si="2"/>
        <v>100</v>
      </c>
      <c r="X15" s="1570"/>
      <c r="Y15" s="3330"/>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4"/>
      <c r="Q16" s="1150">
        <f t="shared" si="6"/>
        <v>111</v>
      </c>
      <c r="R16" s="1568" t="s">
        <v>8</v>
      </c>
      <c r="S16" s="1569">
        <f t="shared" si="0"/>
        <v>100</v>
      </c>
      <c r="T16" s="1568" t="s">
        <v>8</v>
      </c>
      <c r="U16" s="1569">
        <f t="shared" si="1"/>
        <v>100</v>
      </c>
      <c r="V16" s="1568" t="s">
        <v>8</v>
      </c>
      <c r="W16" s="1569">
        <f t="shared" si="2"/>
        <v>100</v>
      </c>
      <c r="X16" s="1570"/>
      <c r="Y16" s="3330"/>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19" t="s">
        <v>540</v>
      </c>
      <c r="Q17" s="1572" t="str">
        <f t="shared" si="6"/>
        <v>居住社区成熟度</v>
      </c>
      <c r="R17" s="1573" t="s">
        <v>8</v>
      </c>
      <c r="S17" s="1574">
        <f t="shared" si="0"/>
        <v>100</v>
      </c>
      <c r="T17" s="1573" t="s">
        <v>8</v>
      </c>
      <c r="U17" s="1574">
        <f t="shared" si="1"/>
        <v>100</v>
      </c>
      <c r="V17" s="1573" t="s">
        <v>8</v>
      </c>
      <c r="W17" s="1574">
        <f t="shared" si="2"/>
        <v>100</v>
      </c>
      <c r="X17" s="1567"/>
      <c r="Y17" s="3419"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20"/>
      <c r="Q18" s="1572"/>
      <c r="R18" s="1573"/>
      <c r="S18" s="1574"/>
      <c r="T18" s="1573"/>
      <c r="U18" s="1574"/>
      <c r="V18" s="1573"/>
      <c r="W18" s="1574"/>
      <c r="X18" s="1567"/>
      <c r="Y18" s="3420"/>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20"/>
      <c r="Q19" s="1572" t="str">
        <f>B19</f>
        <v>商业繁华度</v>
      </c>
      <c r="R19" s="1573" t="s">
        <v>8</v>
      </c>
      <c r="S19" s="1574">
        <f>F19</f>
        <v>103</v>
      </c>
      <c r="T19" s="1573" t="s">
        <v>8</v>
      </c>
      <c r="U19" s="1574">
        <f>H19</f>
        <v>103</v>
      </c>
      <c r="V19" s="1573" t="s">
        <v>8</v>
      </c>
      <c r="W19" s="1574">
        <f>J19</f>
        <v>103</v>
      </c>
      <c r="X19" s="1567"/>
      <c r="Y19" s="3420"/>
      <c r="Z19" s="1575" t="str">
        <f>Q19</f>
        <v>商业繁华度</v>
      </c>
      <c r="AA19" s="1576">
        <f t="shared" si="3"/>
        <v>0.970873786407767</v>
      </c>
      <c r="AB19" s="1576">
        <f t="shared" si="4"/>
        <v>0.970873786407767</v>
      </c>
      <c r="AC19" s="1576">
        <f t="shared" si="5"/>
        <v>0.970873786407767</v>
      </c>
    </row>
    <row r="20" spans="1:29" ht="20.25">
      <c r="A20" s="531"/>
      <c r="B20" s="565"/>
      <c r="C20" s="566" t="s">
        <v>3243</v>
      </c>
      <c r="D20" s="562"/>
      <c r="E20" s="568" t="s">
        <v>3020</v>
      </c>
      <c r="F20" s="558"/>
      <c r="G20" s="567" t="s">
        <v>3020</v>
      </c>
      <c r="H20" s="554"/>
      <c r="I20" s="568" t="s">
        <v>3020</v>
      </c>
      <c r="J20" s="554"/>
      <c r="K20" s="530"/>
      <c r="L20" s="2140"/>
      <c r="M20" s="2130"/>
      <c r="N20" s="2130"/>
      <c r="O20" s="2139"/>
      <c r="P20" s="3420"/>
      <c r="Q20" s="1572"/>
      <c r="R20" s="1573"/>
      <c r="S20" s="1574"/>
      <c r="T20" s="1573"/>
      <c r="U20" s="1574"/>
      <c r="V20" s="1573"/>
      <c r="W20" s="1574"/>
      <c r="X20" s="1567"/>
      <c r="Y20" s="3420"/>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20"/>
      <c r="Q21" s="1572" t="str">
        <f>B21</f>
        <v>办公集聚程度</v>
      </c>
      <c r="R21" s="1573" t="s">
        <v>8</v>
      </c>
      <c r="S21" s="1574">
        <f>F21</f>
        <v>100</v>
      </c>
      <c r="T21" s="1573" t="s">
        <v>8</v>
      </c>
      <c r="U21" s="1574">
        <f>H21</f>
        <v>100</v>
      </c>
      <c r="V21" s="1573" t="s">
        <v>8</v>
      </c>
      <c r="W21" s="1574">
        <f>J21</f>
        <v>100</v>
      </c>
      <c r="X21" s="1567"/>
      <c r="Y21" s="342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20"/>
      <c r="Q22" s="1572"/>
      <c r="R22" s="1573"/>
      <c r="S22" s="1574"/>
      <c r="T22" s="1573"/>
      <c r="U22" s="1574"/>
      <c r="V22" s="1573"/>
      <c r="W22" s="1574"/>
      <c r="X22" s="1567"/>
      <c r="Y22" s="3420"/>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20"/>
      <c r="Q23" s="1572" t="str">
        <f>B23</f>
        <v>交通便捷度</v>
      </c>
      <c r="R23" s="1573" t="s">
        <v>8</v>
      </c>
      <c r="S23" s="1574">
        <f>F23</f>
        <v>102</v>
      </c>
      <c r="T23" s="1573" t="s">
        <v>8</v>
      </c>
      <c r="U23" s="1574">
        <f>H23</f>
        <v>102</v>
      </c>
      <c r="V23" s="1573" t="s">
        <v>8</v>
      </c>
      <c r="W23" s="1574">
        <f>J23</f>
        <v>102</v>
      </c>
      <c r="X23" s="1567"/>
      <c r="Y23" s="3420"/>
      <c r="Z23" s="1575" t="str">
        <f>Q23</f>
        <v>交通便捷度</v>
      </c>
      <c r="AA23" s="1576">
        <f t="shared" si="3"/>
        <v>0.98039215686274506</v>
      </c>
      <c r="AB23" s="1576">
        <f t="shared" si="4"/>
        <v>0.98039215686274506</v>
      </c>
      <c r="AC23" s="1576">
        <f t="shared" si="5"/>
        <v>0.98039215686274506</v>
      </c>
    </row>
    <row r="24" spans="1:29" ht="20.25">
      <c r="A24" s="531"/>
      <c r="B24" s="577"/>
      <c r="C24" s="553" t="s">
        <v>3243</v>
      </c>
      <c r="D24" s="556"/>
      <c r="E24" s="557" t="s">
        <v>3020</v>
      </c>
      <c r="F24" s="554"/>
      <c r="G24" s="555" t="s">
        <v>3020</v>
      </c>
      <c r="H24" s="554"/>
      <c r="I24" s="557" t="s">
        <v>3020</v>
      </c>
      <c r="J24" s="554"/>
      <c r="K24" s="530"/>
      <c r="L24" s="2140"/>
      <c r="M24" s="2130"/>
      <c r="N24" s="2130"/>
      <c r="O24" s="2139"/>
      <c r="P24" s="3420"/>
      <c r="Q24" s="1572"/>
      <c r="R24" s="1573"/>
      <c r="S24" s="1574"/>
      <c r="T24" s="1573"/>
      <c r="U24" s="1574"/>
      <c r="V24" s="1573"/>
      <c r="W24" s="1574"/>
      <c r="X24" s="1567"/>
      <c r="Y24" s="342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20"/>
      <c r="Q25" s="1572" t="str">
        <f t="shared" ref="Q25:Q39" si="8">B25</f>
        <v>区域土地利用方向</v>
      </c>
      <c r="R25" s="1573" t="s">
        <v>8</v>
      </c>
      <c r="S25" s="1574">
        <f>F25</f>
        <v>100</v>
      </c>
      <c r="T25" s="1573" t="s">
        <v>8</v>
      </c>
      <c r="U25" s="1574">
        <f>H25</f>
        <v>100</v>
      </c>
      <c r="V25" s="1573" t="s">
        <v>8</v>
      </c>
      <c r="W25" s="1574">
        <f>J25</f>
        <v>100</v>
      </c>
      <c r="X25" s="1567"/>
      <c r="Y25" s="3420"/>
      <c r="Z25" s="1575" t="str">
        <f>Q25</f>
        <v>区域土地利用方向</v>
      </c>
      <c r="AA25" s="1576">
        <f t="shared" si="3"/>
        <v>1</v>
      </c>
      <c r="AB25" s="1576">
        <f t="shared" si="4"/>
        <v>1</v>
      </c>
      <c r="AC25" s="1576">
        <f t="shared" si="5"/>
        <v>1</v>
      </c>
    </row>
    <row r="26" spans="1:29" ht="20.25">
      <c r="A26" s="514"/>
      <c r="B26" s="1006"/>
      <c r="C26" s="553" t="s">
        <v>3020</v>
      </c>
      <c r="D26" s="556"/>
      <c r="E26" s="557" t="s">
        <v>3020</v>
      </c>
      <c r="F26" s="554"/>
      <c r="G26" s="555" t="s">
        <v>3020</v>
      </c>
      <c r="H26" s="554"/>
      <c r="I26" s="557" t="s">
        <v>3020</v>
      </c>
      <c r="J26" s="554"/>
      <c r="K26" s="530"/>
      <c r="L26" s="2140"/>
      <c r="M26" s="2130"/>
      <c r="N26" s="2130"/>
      <c r="O26" s="2139"/>
      <c r="P26" s="3420"/>
      <c r="Q26" s="1572"/>
      <c r="R26" s="1573"/>
      <c r="S26" s="1574"/>
      <c r="T26" s="1573"/>
      <c r="U26" s="1574"/>
      <c r="V26" s="1573"/>
      <c r="W26" s="1574"/>
      <c r="X26" s="1567"/>
      <c r="Y26" s="3420"/>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20"/>
      <c r="Q27" s="1572" t="str">
        <f t="shared" si="8"/>
        <v>自然及人文环境状况</v>
      </c>
      <c r="R27" s="1573" t="s">
        <v>8</v>
      </c>
      <c r="S27" s="1574">
        <f>F27</f>
        <v>100</v>
      </c>
      <c r="T27" s="1573" t="s">
        <v>8</v>
      </c>
      <c r="U27" s="1574">
        <f>H27</f>
        <v>100</v>
      </c>
      <c r="V27" s="1573" t="s">
        <v>8</v>
      </c>
      <c r="W27" s="1574">
        <f>J27</f>
        <v>100</v>
      </c>
      <c r="X27" s="1567"/>
      <c r="Y27" s="3420"/>
      <c r="Z27" s="1575" t="str">
        <f>Q27</f>
        <v>自然及人文环境状况</v>
      </c>
      <c r="AA27" s="1576">
        <f t="shared" si="3"/>
        <v>1</v>
      </c>
      <c r="AB27" s="1576">
        <f t="shared" si="4"/>
        <v>1</v>
      </c>
      <c r="AC27" s="1576">
        <f t="shared" si="5"/>
        <v>1</v>
      </c>
    </row>
    <row r="28" spans="1:29" ht="20.25">
      <c r="A28" s="514"/>
      <c r="B28" s="565"/>
      <c r="C28" s="553" t="s">
        <v>3020</v>
      </c>
      <c r="D28" s="556"/>
      <c r="E28" s="575" t="s">
        <v>3020</v>
      </c>
      <c r="F28" s="554"/>
      <c r="G28" s="553" t="s">
        <v>3020</v>
      </c>
      <c r="H28" s="554"/>
      <c r="I28" s="575" t="s">
        <v>3020</v>
      </c>
      <c r="J28" s="554"/>
      <c r="K28" s="530"/>
      <c r="L28" s="2140"/>
      <c r="M28" s="2130"/>
      <c r="N28" s="2130"/>
      <c r="O28" s="2139"/>
      <c r="P28" s="3420"/>
      <c r="Q28" s="1572"/>
      <c r="R28" s="1573"/>
      <c r="S28" s="1574"/>
      <c r="T28" s="1573"/>
      <c r="U28" s="1574"/>
      <c r="V28" s="1573"/>
      <c r="W28" s="1574"/>
      <c r="X28" s="1567"/>
      <c r="Y28" s="3420"/>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33"/>
      <c r="M29" s="2130"/>
      <c r="N29" s="2130"/>
      <c r="O29" s="2135"/>
      <c r="P29" s="3420"/>
      <c r="Q29" s="1150" t="str">
        <f t="shared" si="8"/>
        <v>公共配套设施</v>
      </c>
      <c r="R29" s="1568" t="s">
        <v>8</v>
      </c>
      <c r="S29" s="1569">
        <f>F29</f>
        <v>103</v>
      </c>
      <c r="T29" s="1568" t="s">
        <v>8</v>
      </c>
      <c r="U29" s="1569">
        <f>H29</f>
        <v>103</v>
      </c>
      <c r="V29" s="1568" t="s">
        <v>8</v>
      </c>
      <c r="W29" s="1569">
        <f>J29</f>
        <v>103</v>
      </c>
      <c r="X29" s="1570"/>
      <c r="Y29" s="3420"/>
      <c r="Z29" s="1149" t="str">
        <f>Q29</f>
        <v>公共配套设施</v>
      </c>
      <c r="AA29" s="1576">
        <f>D29/F29</f>
        <v>0.970873786407767</v>
      </c>
      <c r="AB29" s="1576">
        <f>D29/H29</f>
        <v>0.970873786407767</v>
      </c>
      <c r="AC29" s="1576">
        <f>D29/J29</f>
        <v>0.970873786407767</v>
      </c>
    </row>
    <row r="30" spans="1:29" s="1219" customFormat="1" ht="20.25">
      <c r="A30" s="576"/>
      <c r="B30" s="565"/>
      <c r="C30" s="578" t="s">
        <v>3243</v>
      </c>
      <c r="D30" s="556"/>
      <c r="E30" s="575" t="s">
        <v>3020</v>
      </c>
      <c r="F30" s="554"/>
      <c r="G30" s="553" t="s">
        <v>3020</v>
      </c>
      <c r="H30" s="554"/>
      <c r="I30" s="575" t="s">
        <v>3020</v>
      </c>
      <c r="J30" s="554"/>
      <c r="K30" s="530"/>
      <c r="L30" s="2133"/>
      <c r="M30" s="2130"/>
      <c r="N30" s="2130"/>
      <c r="O30" s="2135"/>
      <c r="P30" s="3420"/>
      <c r="Q30" s="1150"/>
      <c r="R30" s="1568"/>
      <c r="S30" s="1569"/>
      <c r="T30" s="1568"/>
      <c r="U30" s="1569"/>
      <c r="V30" s="1568"/>
      <c r="W30" s="1569"/>
      <c r="X30" s="1570"/>
      <c r="Y30" s="3420"/>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20"/>
      <c r="Q31" s="2555" t="str">
        <f t="shared" ref="Q31" si="9">B31</f>
        <v>基础设施水平</v>
      </c>
      <c r="R31" s="1568" t="s">
        <v>8</v>
      </c>
      <c r="S31" s="1569">
        <f>F31</f>
        <v>100</v>
      </c>
      <c r="T31" s="1568" t="s">
        <v>8</v>
      </c>
      <c r="U31" s="1569">
        <f>H31</f>
        <v>100</v>
      </c>
      <c r="V31" s="1568" t="s">
        <v>8</v>
      </c>
      <c r="W31" s="1569">
        <f>J31</f>
        <v>100</v>
      </c>
      <c r="X31" s="1570"/>
      <c r="Y31" s="3420"/>
      <c r="Z31" s="2552" t="str">
        <f>Q31</f>
        <v>基础设施水平</v>
      </c>
      <c r="AA31" s="1576">
        <f>D31/F31</f>
        <v>1</v>
      </c>
      <c r="AB31" s="1576">
        <f>D31/H31</f>
        <v>1</v>
      </c>
      <c r="AC31" s="1576">
        <f>D31/J31</f>
        <v>1</v>
      </c>
    </row>
    <row r="32" spans="1:29" s="1219" customFormat="1" ht="20.25">
      <c r="A32" s="576"/>
      <c r="B32" s="565"/>
      <c r="C32" s="3512" t="s">
        <v>3274</v>
      </c>
      <c r="D32" s="556"/>
      <c r="E32" s="3208" t="s">
        <v>3274</v>
      </c>
      <c r="F32" s="554"/>
      <c r="G32" s="3208" t="s">
        <v>3274</v>
      </c>
      <c r="H32" s="554"/>
      <c r="I32" s="3208" t="s">
        <v>3274</v>
      </c>
      <c r="J32" s="554"/>
      <c r="K32" s="530"/>
      <c r="L32" s="2133"/>
      <c r="M32" s="2130"/>
      <c r="N32" s="2130"/>
      <c r="O32" s="2135"/>
      <c r="P32" s="3420"/>
      <c r="Q32" s="2555"/>
      <c r="R32" s="1568"/>
      <c r="S32" s="1569"/>
      <c r="T32" s="1568"/>
      <c r="U32" s="1569"/>
      <c r="V32" s="1568"/>
      <c r="W32" s="1569"/>
      <c r="X32" s="1570"/>
      <c r="Y32" s="3420"/>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2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0"/>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20"/>
      <c r="Q34" s="1572" t="str">
        <f t="shared" si="8"/>
        <v>毗邻道路的类型与等级</v>
      </c>
      <c r="R34" s="1573" t="s">
        <v>8</v>
      </c>
      <c r="S34" s="1574">
        <f t="shared" si="10"/>
        <v>100</v>
      </c>
      <c r="T34" s="1573" t="s">
        <v>8</v>
      </c>
      <c r="U34" s="1574">
        <f t="shared" si="11"/>
        <v>100</v>
      </c>
      <c r="V34" s="1573" t="s">
        <v>8</v>
      </c>
      <c r="W34" s="1574">
        <f t="shared" si="12"/>
        <v>100</v>
      </c>
      <c r="X34" s="1567"/>
      <c r="Y34" s="3420"/>
      <c r="Z34" s="1575" t="str">
        <f t="shared" si="13"/>
        <v>毗邻道路的类型与等级</v>
      </c>
      <c r="AA34" s="1576">
        <f t="shared" si="3"/>
        <v>1</v>
      </c>
      <c r="AB34" s="1576">
        <f t="shared" si="4"/>
        <v>1</v>
      </c>
      <c r="AC34" s="1576">
        <f t="shared" si="5"/>
        <v>1</v>
      </c>
    </row>
    <row r="35" spans="1:29" ht="21" thickBot="1">
      <c r="A35" s="531"/>
      <c r="B35" s="565"/>
      <c r="C35" s="3177" t="s">
        <v>3023</v>
      </c>
      <c r="D35" s="556"/>
      <c r="E35" s="575" t="s">
        <v>3022</v>
      </c>
      <c r="F35" s="554"/>
      <c r="G35" s="553" t="s">
        <v>3022</v>
      </c>
      <c r="H35" s="554"/>
      <c r="I35" s="3186" t="s">
        <v>3022</v>
      </c>
      <c r="J35" s="554"/>
      <c r="K35" s="580"/>
      <c r="L35" s="2140"/>
      <c r="M35" s="2130"/>
      <c r="N35" s="2130"/>
      <c r="O35" s="2139"/>
      <c r="P35" s="3420"/>
      <c r="Q35" s="1572"/>
      <c r="R35" s="1573"/>
      <c r="S35" s="1574"/>
      <c r="T35" s="1573"/>
      <c r="U35" s="1574"/>
      <c r="V35" s="1573"/>
      <c r="W35" s="1574"/>
      <c r="X35" s="1567"/>
      <c r="Y35" s="3420"/>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20"/>
      <c r="Q36" s="1572" t="str">
        <f t="shared" si="8"/>
        <v>土地级别</v>
      </c>
      <c r="R36" s="1573" t="s">
        <v>8</v>
      </c>
      <c r="S36" s="1574">
        <f t="shared" si="10"/>
        <v>100</v>
      </c>
      <c r="T36" s="1573" t="s">
        <v>8</v>
      </c>
      <c r="U36" s="1574">
        <f t="shared" si="11"/>
        <v>100</v>
      </c>
      <c r="V36" s="1573" t="s">
        <v>8</v>
      </c>
      <c r="W36" s="1574">
        <f t="shared" si="12"/>
        <v>100</v>
      </c>
      <c r="X36" s="1567"/>
      <c r="Y36" s="3420"/>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20"/>
      <c r="Q37" s="1572">
        <f t="shared" si="8"/>
        <v>111</v>
      </c>
      <c r="R37" s="1573" t="s">
        <v>8</v>
      </c>
      <c r="S37" s="1574">
        <f t="shared" si="10"/>
        <v>100</v>
      </c>
      <c r="T37" s="1573" t="s">
        <v>8</v>
      </c>
      <c r="U37" s="1574">
        <f t="shared" si="11"/>
        <v>100</v>
      </c>
      <c r="V37" s="1573" t="s">
        <v>8</v>
      </c>
      <c r="W37" s="1574">
        <f t="shared" si="12"/>
        <v>100</v>
      </c>
      <c r="X37" s="1567"/>
      <c r="Y37" s="3420"/>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1" t="s">
        <v>550</v>
      </c>
      <c r="Q38" s="1572">
        <f t="shared" si="8"/>
        <v>111</v>
      </c>
      <c r="R38" s="1573" t="s">
        <v>8</v>
      </c>
      <c r="S38" s="1574">
        <f t="shared" si="10"/>
        <v>100</v>
      </c>
      <c r="T38" s="1573" t="s">
        <v>8</v>
      </c>
      <c r="U38" s="1574">
        <f t="shared" si="11"/>
        <v>100</v>
      </c>
      <c r="V38" s="1573" t="s">
        <v>8</v>
      </c>
      <c r="W38" s="1574">
        <f t="shared" si="12"/>
        <v>100</v>
      </c>
      <c r="X38" s="1567"/>
      <c r="Y38" s="3422"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2"/>
      <c r="Q39" s="1572">
        <f t="shared" si="8"/>
        <v>111</v>
      </c>
      <c r="R39" s="1577" t="s">
        <v>8</v>
      </c>
      <c r="S39" s="1578">
        <f t="shared" si="10"/>
        <v>100</v>
      </c>
      <c r="T39" s="1577" t="s">
        <v>8</v>
      </c>
      <c r="U39" s="1578">
        <f t="shared" si="11"/>
        <v>100</v>
      </c>
      <c r="V39" s="1577" t="s">
        <v>8</v>
      </c>
      <c r="W39" s="1578">
        <f t="shared" si="12"/>
        <v>100</v>
      </c>
      <c r="X39" s="1579"/>
      <c r="Y39" s="3422"/>
      <c r="Z39" s="1580">
        <f t="shared" si="13"/>
        <v>111</v>
      </c>
      <c r="AA39" s="1576">
        <f t="shared" si="3"/>
        <v>1</v>
      </c>
      <c r="AB39" s="1576">
        <f t="shared" si="4"/>
        <v>1</v>
      </c>
      <c r="AC39" s="1576">
        <f t="shared" si="5"/>
        <v>1</v>
      </c>
    </row>
    <row r="40" spans="1:29" ht="20.25">
      <c r="A40" s="2884" t="s">
        <v>2751</v>
      </c>
      <c r="B40" s="594" t="s">
        <v>552</v>
      </c>
      <c r="C40" s="595">
        <f>'数据-基础表'!A3</f>
        <v>266666.2</v>
      </c>
      <c r="D40" s="596">
        <v>100</v>
      </c>
      <c r="E40" s="595">
        <v>39602</v>
      </c>
      <c r="F40" s="596">
        <f>LOOKUP(E40,119:119,120:120)-LOOKUP(C40,119:119,120:120)+100</f>
        <v>97</v>
      </c>
      <c r="G40" s="595">
        <v>55420</v>
      </c>
      <c r="H40" s="596">
        <f>LOOKUP(G40,119:119,120:120)-LOOKUP(C40,119:119,120:120)+100</f>
        <v>98</v>
      </c>
      <c r="I40" s="597">
        <v>1566</v>
      </c>
      <c r="J40" s="596">
        <f>LOOKUP(I40,119:119,120:120)-LOOKUP(C40,119:119,120:120)+100</f>
        <v>93</v>
      </c>
      <c r="K40" s="580"/>
      <c r="L40" s="2140"/>
      <c r="M40" s="2130"/>
      <c r="N40" s="2130"/>
      <c r="O40" s="2139"/>
      <c r="P40" s="3422"/>
      <c r="Q40" s="1572" t="str">
        <f>B40</f>
        <v>宗地面积</v>
      </c>
      <c r="R40" s="1573" t="s">
        <v>8</v>
      </c>
      <c r="S40" s="1574">
        <f t="shared" si="10"/>
        <v>97</v>
      </c>
      <c r="T40" s="1573" t="s">
        <v>8</v>
      </c>
      <c r="U40" s="1574">
        <f t="shared" si="11"/>
        <v>98</v>
      </c>
      <c r="V40" s="1573" t="s">
        <v>8</v>
      </c>
      <c r="W40" s="1574">
        <f t="shared" si="12"/>
        <v>93</v>
      </c>
      <c r="X40" s="1567"/>
      <c r="Y40" s="3422"/>
      <c r="Z40" s="1575" t="str">
        <f t="shared" si="13"/>
        <v>宗地面积</v>
      </c>
      <c r="AA40" s="1576">
        <f t="shared" si="3"/>
        <v>1.0309278350515463</v>
      </c>
      <c r="AB40" s="1576">
        <f t="shared" si="4"/>
        <v>1.0204081632653061</v>
      </c>
      <c r="AC40" s="1576">
        <f t="shared" si="5"/>
        <v>1.075268817204301</v>
      </c>
    </row>
    <row r="41" spans="1:29" ht="20.25">
      <c r="A41" s="593"/>
      <c r="B41" s="526" t="s">
        <v>553</v>
      </c>
      <c r="C41" s="598" t="s">
        <v>3024</v>
      </c>
      <c r="D41" s="539">
        <v>100</v>
      </c>
      <c r="E41" s="598" t="s">
        <v>3024</v>
      </c>
      <c r="F41" s="539">
        <f>SUMIF(121:121,E41,122:122)-SUMIF(121:121,C41,122:122)+100</f>
        <v>100</v>
      </c>
      <c r="G41" s="598" t="s">
        <v>3024</v>
      </c>
      <c r="H41" s="539">
        <f>SUMIF(121:121,G41,122:122)-SUMIF(121:121,C41,122:122)+100</f>
        <v>100</v>
      </c>
      <c r="I41" s="598" t="s">
        <v>3024</v>
      </c>
      <c r="J41" s="539">
        <f>SUMIF(121:121,I41,122:122)-SUMIF(121:121,C41,122:122)+100</f>
        <v>100</v>
      </c>
      <c r="K41" s="583">
        <v>3</v>
      </c>
      <c r="L41" s="2140"/>
      <c r="M41" s="2130"/>
      <c r="N41" s="2130"/>
      <c r="O41" s="2139"/>
      <c r="P41" s="3422"/>
      <c r="Q41" s="1572" t="str">
        <f t="shared" ref="Q41:Q47" si="14">B41</f>
        <v>宗地形状</v>
      </c>
      <c r="R41" s="1573" t="s">
        <v>8</v>
      </c>
      <c r="S41" s="1574">
        <f t="shared" si="10"/>
        <v>100</v>
      </c>
      <c r="T41" s="1573" t="s">
        <v>8</v>
      </c>
      <c r="U41" s="1574">
        <f t="shared" si="11"/>
        <v>100</v>
      </c>
      <c r="V41" s="1573" t="s">
        <v>8</v>
      </c>
      <c r="W41" s="1574">
        <f t="shared" si="12"/>
        <v>100</v>
      </c>
      <c r="X41" s="1567"/>
      <c r="Y41" s="3422"/>
      <c r="Z41" s="1575" t="str">
        <f t="shared" si="13"/>
        <v>宗地形状</v>
      </c>
      <c r="AA41" s="1576">
        <f t="shared" si="3"/>
        <v>1</v>
      </c>
      <c r="AB41" s="1576">
        <f t="shared" si="4"/>
        <v>1</v>
      </c>
      <c r="AC41" s="1576">
        <f t="shared" si="5"/>
        <v>1</v>
      </c>
    </row>
    <row r="42" spans="1:29" ht="20.25">
      <c r="A42" s="593"/>
      <c r="B42" s="526" t="s">
        <v>554</v>
      </c>
      <c r="C42" s="598" t="s">
        <v>3025</v>
      </c>
      <c r="D42" s="539">
        <v>100</v>
      </c>
      <c r="E42" s="598" t="s">
        <v>3025</v>
      </c>
      <c r="F42" s="539">
        <f>SUMIF(123:123,E42,124:124)-SUMIF(123:123,C42,124:124)+100</f>
        <v>100</v>
      </c>
      <c r="G42" s="598" t="s">
        <v>3025</v>
      </c>
      <c r="H42" s="539">
        <f>SUMIF(123:123,G42,124:124)-SUMIF(123:123,C42,124:124)+100</f>
        <v>100</v>
      </c>
      <c r="I42" s="598" t="s">
        <v>3025</v>
      </c>
      <c r="J42" s="539">
        <f>SUMIF(123:123,I42,124:124)-SUMIF(123:123,C42,124:124)+100</f>
        <v>100</v>
      </c>
      <c r="K42" s="583">
        <v>1</v>
      </c>
      <c r="L42" s="2140"/>
      <c r="M42" s="2130"/>
      <c r="N42" s="2130"/>
      <c r="O42" s="2139"/>
      <c r="P42" s="3422"/>
      <c r="Q42" s="1572" t="str">
        <f t="shared" si="14"/>
        <v>临街宽度及深度</v>
      </c>
      <c r="R42" s="1573" t="s">
        <v>8</v>
      </c>
      <c r="S42" s="1574">
        <f t="shared" si="10"/>
        <v>100</v>
      </c>
      <c r="T42" s="1573" t="s">
        <v>8</v>
      </c>
      <c r="U42" s="1574">
        <f t="shared" si="11"/>
        <v>100</v>
      </c>
      <c r="V42" s="1573" t="s">
        <v>8</v>
      </c>
      <c r="W42" s="1574">
        <f t="shared" si="12"/>
        <v>100</v>
      </c>
      <c r="X42" s="1567"/>
      <c r="Y42" s="3422"/>
      <c r="Z42" s="1575" t="str">
        <f t="shared" si="13"/>
        <v>临街宽度及深度</v>
      </c>
      <c r="AA42" s="1576">
        <f t="shared" si="3"/>
        <v>1</v>
      </c>
      <c r="AB42" s="1576">
        <f t="shared" si="4"/>
        <v>1</v>
      </c>
      <c r="AC42" s="1576">
        <f t="shared" si="5"/>
        <v>1</v>
      </c>
    </row>
    <row r="43" spans="1:29" s="1219" customFormat="1" ht="20.25">
      <c r="A43" s="599"/>
      <c r="B43" s="1893" t="s">
        <v>2420</v>
      </c>
      <c r="C43" s="3205" t="s">
        <v>3260</v>
      </c>
      <c r="D43" s="254">
        <v>100</v>
      </c>
      <c r="E43" s="600" t="s">
        <v>3021</v>
      </c>
      <c r="F43" s="539">
        <f>SUMIF(125:125,E43,126:126)-SUMIF(125:125,C43,126:126)+100</f>
        <v>96</v>
      </c>
      <c r="G43" s="600" t="s">
        <v>3021</v>
      </c>
      <c r="H43" s="539">
        <f>SUMIF(125:125,G43,126:126)-SUMIF(125:125,C43,126:126)+100</f>
        <v>96</v>
      </c>
      <c r="I43" s="600" t="s">
        <v>3021</v>
      </c>
      <c r="J43" s="539">
        <f>SUMIF(125:125,I43,126:126)-SUMIF(125:125,C43,126:126)+100</f>
        <v>96</v>
      </c>
      <c r="K43" s="3209">
        <v>2</v>
      </c>
      <c r="L43" s="2133"/>
      <c r="M43" s="2130"/>
      <c r="N43" s="2130"/>
      <c r="O43" s="2135"/>
      <c r="P43" s="3422"/>
      <c r="Q43" s="1572" t="str">
        <f t="shared" si="14"/>
        <v>宗地开发程度</v>
      </c>
      <c r="R43" s="1568" t="s">
        <v>8</v>
      </c>
      <c r="S43" s="1569">
        <f t="shared" si="10"/>
        <v>96</v>
      </c>
      <c r="T43" s="1568" t="s">
        <v>8</v>
      </c>
      <c r="U43" s="1569">
        <f t="shared" si="11"/>
        <v>96</v>
      </c>
      <c r="V43" s="1568" t="s">
        <v>8</v>
      </c>
      <c r="W43" s="1569">
        <f t="shared" si="12"/>
        <v>96</v>
      </c>
      <c r="X43" s="1570"/>
      <c r="Y43" s="3422"/>
      <c r="Z43" s="1149" t="str">
        <f t="shared" si="13"/>
        <v>宗地开发程度</v>
      </c>
      <c r="AA43" s="1571">
        <f t="shared" si="3"/>
        <v>1.0416666666666667</v>
      </c>
      <c r="AB43" s="1571">
        <f t="shared" si="4"/>
        <v>1.0416666666666667</v>
      </c>
      <c r="AC43" s="1571">
        <f t="shared" si="5"/>
        <v>1.0416666666666667</v>
      </c>
    </row>
    <row r="44" spans="1:29" ht="21" thickBot="1">
      <c r="A44" s="593"/>
      <c r="B44" s="526" t="s">
        <v>555</v>
      </c>
      <c r="C44" s="598" t="s">
        <v>3026</v>
      </c>
      <c r="D44" s="539">
        <v>100</v>
      </c>
      <c r="E44" s="598" t="s">
        <v>3026</v>
      </c>
      <c r="F44" s="539">
        <f>SUMIF(127:127,E44,128:128)-SUMIF(127:127,C44,128:128)+100</f>
        <v>100</v>
      </c>
      <c r="G44" s="598" t="s">
        <v>3026</v>
      </c>
      <c r="H44" s="539">
        <f>SUMIF(127:127,G44,128:128)-SUMIF(127:127,C44,128:128)+100</f>
        <v>100</v>
      </c>
      <c r="I44" s="598" t="s">
        <v>3026</v>
      </c>
      <c r="J44" s="539">
        <f>SUMIF(127:127,I44,128:128)-SUMIF(127:127,C44,128:128)+100</f>
        <v>100</v>
      </c>
      <c r="K44" s="583">
        <v>1</v>
      </c>
      <c r="L44" s="2140"/>
      <c r="M44" s="2130"/>
      <c r="N44" s="2130"/>
      <c r="O44" s="2139"/>
      <c r="P44" s="3422" t="s">
        <v>550</v>
      </c>
      <c r="Q44" s="1572" t="str">
        <f t="shared" si="14"/>
        <v>工程地质条件</v>
      </c>
      <c r="R44" s="1573" t="s">
        <v>8</v>
      </c>
      <c r="S44" s="1574">
        <f t="shared" si="10"/>
        <v>100</v>
      </c>
      <c r="T44" s="1573" t="s">
        <v>8</v>
      </c>
      <c r="U44" s="1574">
        <f t="shared" si="11"/>
        <v>100</v>
      </c>
      <c r="V44" s="1573" t="s">
        <v>8</v>
      </c>
      <c r="W44" s="1574">
        <f t="shared" si="12"/>
        <v>100</v>
      </c>
      <c r="X44" s="1567"/>
      <c r="Y44" s="3422"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2"/>
      <c r="Q45" s="1572">
        <f t="shared" si="14"/>
        <v>111</v>
      </c>
      <c r="R45" s="1573" t="s">
        <v>8</v>
      </c>
      <c r="S45" s="1574">
        <f t="shared" si="10"/>
        <v>100</v>
      </c>
      <c r="T45" s="1573" t="s">
        <v>8</v>
      </c>
      <c r="U45" s="1574">
        <f t="shared" si="11"/>
        <v>100</v>
      </c>
      <c r="V45" s="1573" t="s">
        <v>8</v>
      </c>
      <c r="W45" s="1574">
        <f t="shared" si="12"/>
        <v>100</v>
      </c>
      <c r="X45" s="1567"/>
      <c r="Y45" s="3422"/>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2"/>
      <c r="Q46" s="1572">
        <f t="shared" si="14"/>
        <v>111</v>
      </c>
      <c r="R46" s="1573" t="s">
        <v>8</v>
      </c>
      <c r="S46" s="1574">
        <f t="shared" si="10"/>
        <v>100</v>
      </c>
      <c r="T46" s="1573" t="s">
        <v>8</v>
      </c>
      <c r="U46" s="1574">
        <f t="shared" si="11"/>
        <v>100</v>
      </c>
      <c r="V46" s="1573" t="s">
        <v>8</v>
      </c>
      <c r="W46" s="1574">
        <f t="shared" si="12"/>
        <v>100</v>
      </c>
      <c r="X46" s="1567"/>
      <c r="Y46" s="3422"/>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2"/>
      <c r="Q47" s="1572">
        <f t="shared" si="14"/>
        <v>111</v>
      </c>
      <c r="R47" s="1577" t="s">
        <v>8</v>
      </c>
      <c r="S47" s="1578">
        <f t="shared" si="10"/>
        <v>100</v>
      </c>
      <c r="T47" s="1577" t="s">
        <v>8</v>
      </c>
      <c r="U47" s="1578">
        <f t="shared" si="11"/>
        <v>100</v>
      </c>
      <c r="V47" s="1577" t="s">
        <v>8</v>
      </c>
      <c r="W47" s="1578">
        <f t="shared" si="12"/>
        <v>100</v>
      </c>
      <c r="X47" s="1579"/>
      <c r="Y47" s="3422"/>
      <c r="Z47" s="1580">
        <f t="shared" si="13"/>
        <v>111</v>
      </c>
      <c r="AA47" s="1576">
        <f t="shared" si="3"/>
        <v>1</v>
      </c>
      <c r="AB47" s="1576">
        <f t="shared" si="4"/>
        <v>1</v>
      </c>
      <c r="AC47" s="1576">
        <f t="shared" si="5"/>
        <v>1</v>
      </c>
    </row>
    <row r="48" spans="1:29" ht="20.25">
      <c r="A48" s="606" t="s">
        <v>556</v>
      </c>
      <c r="B48" s="607" t="s">
        <v>3027</v>
      </c>
      <c r="C48" s="608" t="s">
        <v>1</v>
      </c>
      <c r="D48" s="609"/>
      <c r="E48" s="3210">
        <v>454</v>
      </c>
      <c r="F48" s="611"/>
      <c r="G48" s="3211">
        <v>454</v>
      </c>
      <c r="H48" s="613"/>
      <c r="I48" s="3210">
        <v>415</v>
      </c>
      <c r="J48" s="613"/>
      <c r="K48" s="1339"/>
      <c r="L48" s="2142"/>
      <c r="M48" s="2130"/>
      <c r="N48" s="2130"/>
      <c r="O48" s="2143"/>
      <c r="P48" s="3384" t="str">
        <f>A48</f>
        <v>成交单价</v>
      </c>
      <c r="Q48" s="3384"/>
      <c r="R48" s="3385">
        <f>E48</f>
        <v>454</v>
      </c>
      <c r="S48" s="3385"/>
      <c r="T48" s="3385">
        <f>G48</f>
        <v>454</v>
      </c>
      <c r="U48" s="3385"/>
      <c r="V48" s="3385">
        <f>I48</f>
        <v>415</v>
      </c>
      <c r="W48" s="3385"/>
      <c r="X48" s="1559"/>
      <c r="Y48" s="1581"/>
      <c r="Z48" s="1559"/>
      <c r="AA48" s="1559"/>
      <c r="AB48" s="1559"/>
      <c r="AC48" s="1559"/>
    </row>
    <row r="49" spans="1:29" ht="21" thickBot="1">
      <c r="A49" s="614" t="s">
        <v>2689</v>
      </c>
      <c r="B49" s="615"/>
      <c r="C49" s="616">
        <f>R50</f>
        <v>381</v>
      </c>
      <c r="D49" s="617"/>
      <c r="E49" s="616">
        <f>R49</f>
        <v>382</v>
      </c>
      <c r="F49" s="618"/>
      <c r="G49" s="619">
        <f>T49</f>
        <v>378</v>
      </c>
      <c r="H49" s="617"/>
      <c r="I49" s="616">
        <f>V49</f>
        <v>384</v>
      </c>
      <c r="J49" s="617"/>
      <c r="K49" s="1340"/>
      <c r="L49" s="2142"/>
      <c r="M49" s="2130"/>
      <c r="N49" s="2130"/>
      <c r="O49" s="2143"/>
      <c r="P49" s="3384" t="str">
        <f>A49</f>
        <v>比较价格（元/平方米）</v>
      </c>
      <c r="Q49" s="3384"/>
      <c r="R49" s="3386">
        <f>ROUND(PRODUCT(R48,AA9:AA47),0)</f>
        <v>382</v>
      </c>
      <c r="S49" s="3386"/>
      <c r="T49" s="3386">
        <f>ROUND(PRODUCT(T48,AB9:AB47),0)</f>
        <v>378</v>
      </c>
      <c r="U49" s="3386"/>
      <c r="V49" s="3386">
        <f>ROUND(PRODUCT(V48,AC9:AC47),0)</f>
        <v>384</v>
      </c>
      <c r="W49" s="3386"/>
      <c r="X49" s="1559"/>
      <c r="Y49" s="1559"/>
      <c r="Z49" s="1559"/>
      <c r="AA49" s="1559"/>
      <c r="AB49" s="1559"/>
      <c r="AC49" s="1559"/>
    </row>
    <row r="50" spans="1:29" ht="21" thickBot="1">
      <c r="A50" s="620" t="s">
        <v>2929</v>
      </c>
      <c r="B50" s="621"/>
      <c r="C50" s="622">
        <f>R50</f>
        <v>381</v>
      </c>
      <c r="D50" s="622"/>
      <c r="E50" s="622"/>
      <c r="F50" s="622"/>
      <c r="G50" s="622"/>
      <c r="H50" s="622"/>
      <c r="I50" s="622"/>
      <c r="J50" s="622"/>
      <c r="K50" s="1341"/>
      <c r="L50" s="2142"/>
      <c r="M50" s="2130"/>
      <c r="N50" s="2130"/>
      <c r="O50" s="2143"/>
      <c r="P50" s="3381" t="str">
        <f>A50</f>
        <v>估价对象XX用房的比较价格（楼面单价，元/平方米）</v>
      </c>
      <c r="Q50" s="3382"/>
      <c r="R50" s="3383">
        <f>ROUND(AVERAGE(R49:V49),0)</f>
        <v>381</v>
      </c>
      <c r="S50" s="3383"/>
      <c r="T50" s="3383"/>
      <c r="U50" s="3383"/>
      <c r="V50" s="3383"/>
      <c r="W50" s="3383"/>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0.18848167539267013</v>
      </c>
      <c r="F53" s="626" t="str">
        <f>IF(OR(E53&gt;=0.3,E53&lt;=-0.3),"超过30%","")</f>
        <v/>
      </c>
      <c r="G53" s="625">
        <f>IF(G48&lt;G49,G49/G48-1,G48/G49-1)</f>
        <v>0.20105820105820116</v>
      </c>
      <c r="H53" s="626" t="str">
        <f>IF(OR(G53&gt;=0.3,G53&lt;=-0.3),"超过30%","")</f>
        <v/>
      </c>
      <c r="I53" s="625">
        <f>IF(I48&lt;I49,I49/I48-1,I48/I49-1)</f>
        <v>8.0729166666666741E-2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1.0582010582010692E-2</v>
      </c>
      <c r="F54" s="626" t="str">
        <f>IF(OR(E54&gt;=0.2,E54&lt;=-0.2),"超过20%","")</f>
        <v/>
      </c>
      <c r="G54" s="625">
        <f>IF(G49&lt;I49,I49/G49-1,G49/I49-1)</f>
        <v>1.5873015873015817E-2</v>
      </c>
      <c r="H54" s="626" t="str">
        <f>IF(OR(G54&gt;=0.2,G54&lt;=-0.2),"超过20%","")</f>
        <v/>
      </c>
      <c r="I54" s="625">
        <f>IF(I49&lt;E49,E49/I49-1,I49/E49-1)</f>
        <v>5.2356020942407877E-3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411" t="s">
        <v>2279</v>
      </c>
      <c r="H57" s="3412"/>
      <c r="I57" s="1555" t="s">
        <v>1723</v>
      </c>
      <c r="J57" s="1555" t="str">
        <f>项目基本情况!F41</f>
        <v>山东省潍坊市高密市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381</v>
      </c>
      <c r="C58" s="634">
        <v>1</v>
      </c>
      <c r="D58" s="2226">
        <v>1</v>
      </c>
      <c r="E58" s="634">
        <f>'数据-汇总表'!E8+'数据-汇总表'!E9</f>
        <v>1066664.8</v>
      </c>
      <c r="F58" s="635">
        <f t="shared" ref="F58:F67" si="15">ROUND(B58*E58/10000,0)</f>
        <v>40640</v>
      </c>
      <c r="G58" s="3413"/>
      <c r="H58" s="3414"/>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415"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415"/>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415"/>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415"/>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1066664.8</v>
      </c>
      <c r="F68" s="643">
        <f>IF(B48="楼面地价",SUM(F58:F67),ROUND(C50*E68/10000,0))</f>
        <v>40640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3257</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3028</v>
      </c>
      <c r="D108" s="3179" t="s">
        <v>3029</v>
      </c>
      <c r="E108" s="3179" t="s">
        <v>3030</v>
      </c>
      <c r="F108" s="3179" t="s">
        <v>3023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3031</v>
      </c>
      <c r="D121" s="717" t="s">
        <v>3032</v>
      </c>
      <c r="E121" s="717" t="s">
        <v>3033</v>
      </c>
      <c r="F121" s="717" t="s">
        <v>3034</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3035</v>
      </c>
      <c r="D123" s="687" t="s">
        <v>3036</v>
      </c>
      <c r="E123" s="687" t="s">
        <v>3037</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3038</v>
      </c>
      <c r="D125" s="687" t="s">
        <v>3039</v>
      </c>
      <c r="E125" s="687" t="s">
        <v>3040</v>
      </c>
      <c r="F125" s="687" t="s">
        <v>3041</v>
      </c>
      <c r="G125" s="687" t="s">
        <v>3042</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3043</v>
      </c>
      <c r="D127" s="687" t="s">
        <v>3044</v>
      </c>
      <c r="E127" s="717" t="s">
        <v>3045</v>
      </c>
      <c r="F127" s="717" t="s">
        <v>3046</v>
      </c>
      <c r="G127" s="717" t="s">
        <v>3047</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9" sqref="G3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50333</v>
      </c>
      <c r="C2" s="2102"/>
      <c r="D2" s="2102"/>
      <c r="E2" s="2102"/>
      <c r="F2" s="2102"/>
      <c r="G2" s="2102"/>
      <c r="H2" s="2102"/>
      <c r="I2" s="2102"/>
      <c r="J2" s="2102"/>
      <c r="K2" s="2102"/>
    </row>
    <row r="3" spans="1:31" s="2039" customFormat="1" ht="18" customHeight="1">
      <c r="A3" s="2104" t="s">
        <v>1685</v>
      </c>
      <c r="B3" s="2105">
        <f ca="1">ROUND(B2*10000/IF(B1="",'数据-汇总表'!E3,INDIRECT("'数据-取费表'!K"&amp;$K$1)),0)</f>
        <v>472</v>
      </c>
      <c r="C3" s="2102"/>
      <c r="D3" s="2102"/>
      <c r="E3" s="2102"/>
      <c r="F3" s="2102"/>
      <c r="G3" s="2102"/>
      <c r="H3" s="2102"/>
      <c r="I3" s="2102"/>
      <c r="J3" s="2102"/>
      <c r="K3" s="2102"/>
    </row>
    <row r="4" spans="1:31" s="2039" customFormat="1" ht="18" customHeight="1">
      <c r="A4" s="425" t="s">
        <v>468</v>
      </c>
      <c r="B4" s="426">
        <f ca="1">ROUND(B2*10000/IF(B1="",'数据-汇总表'!D3,INDIRECT("'数据-取费表'!R"&amp;$K$1)),0)</f>
        <v>1887</v>
      </c>
      <c r="C4" s="427"/>
      <c r="D4" s="421"/>
      <c r="E4" s="421"/>
      <c r="F4" s="421"/>
      <c r="G4" s="421"/>
      <c r="H4" s="421"/>
      <c r="I4" s="421"/>
      <c r="J4" s="421"/>
      <c r="K4" s="421"/>
    </row>
    <row r="5" spans="1:31" s="2039" customFormat="1" ht="18" customHeight="1" thickBot="1">
      <c r="A5" s="428"/>
      <c r="B5" s="429">
        <f ca="1">ROUND(B2/(IF(B1="",'数据-汇总表'!D3,INDIRECT("'数据-取费表'!R"&amp;$K$1))/666.67),0)</f>
        <v>126</v>
      </c>
      <c r="C5" s="430" t="s">
        <v>469</v>
      </c>
      <c r="D5" s="421"/>
      <c r="E5" s="421"/>
      <c r="F5" s="421"/>
      <c r="G5" s="421"/>
      <c r="H5" s="421"/>
      <c r="I5" s="421"/>
      <c r="J5" s="421"/>
      <c r="K5" s="421"/>
    </row>
    <row r="6" spans="1:31" s="2109" customFormat="1" ht="16.5" customHeight="1">
      <c r="A6" s="2805" t="s">
        <v>1843</v>
      </c>
      <c r="B6" s="2806"/>
      <c r="C6" s="2807">
        <f ca="1">SUM(C10:K10)</f>
        <v>484816</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4545</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1066664.8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484816</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256000</v>
      </c>
      <c r="D13" s="2821"/>
      <c r="E13" s="2822"/>
      <c r="F13" s="2823"/>
      <c r="G13" s="2789"/>
      <c r="H13" s="2790"/>
      <c r="I13" s="2790"/>
      <c r="J13" s="2790"/>
      <c r="K13" s="2791"/>
    </row>
    <row r="14" spans="1:31" s="2114" customFormat="1" ht="13.5" customHeight="1">
      <c r="A14" s="2819" t="s">
        <v>1850</v>
      </c>
      <c r="B14" s="2820" t="s">
        <v>480</v>
      </c>
      <c r="C14" s="53">
        <f ca="1">ROUND(C13*F14,0)</f>
        <v>7680</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21333</v>
      </c>
      <c r="D16" s="2821">
        <f ca="1">IF(B1="",'数据-汇总表'!E3,INDIRECT("'数据-取费表'!K"&amp;$K$1)+INDIRECT("'数据-取费表'!S"&amp;$K$1))</f>
        <v>1066664.8</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3840</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288853</v>
      </c>
      <c r="D18" s="2830"/>
      <c r="E18" s="467"/>
      <c r="F18" s="467"/>
      <c r="G18" s="2793" t="s">
        <v>2426</v>
      </c>
      <c r="H18" s="2794"/>
      <c r="I18" s="2794"/>
      <c r="J18" s="2794"/>
      <c r="K18" s="2795"/>
    </row>
    <row r="19" spans="1:14" s="2114" customFormat="1" ht="13.5" customHeight="1">
      <c r="A19" s="2827" t="s">
        <v>1855</v>
      </c>
      <c r="B19" s="2828" t="s">
        <v>488</v>
      </c>
      <c r="C19" s="2785">
        <f ca="1">ROUND(D19*E19/10000,0)</f>
        <v>5333</v>
      </c>
      <c r="D19" s="2831">
        <f ca="1">D16</f>
        <v>1066664.8</v>
      </c>
      <c r="E19" s="2785">
        <f>'数据-取费表'!B32</f>
        <v>50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8000</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8000</v>
      </c>
      <c r="D22" s="2821">
        <f ca="1">IF(B1="",'数据-汇总表'!E6,IF(INDIRECT("'数据-取费表'!c"&amp;$K$1)="住宅",INDIRECT("'数据-取费表'!s"&amp;$K$1),INDIRECT("'数据-取费表'!k"&amp;$K$1)+INDIRECT("'数据-取费表'!s"&amp;$K$1)))</f>
        <v>1066664.8</v>
      </c>
      <c r="E22" s="53">
        <f>'数据-取费表'!B28</f>
        <v>75</v>
      </c>
      <c r="F22" s="2824"/>
      <c r="G22" s="26"/>
      <c r="H22" s="51"/>
      <c r="I22" s="51"/>
      <c r="J22" s="51"/>
      <c r="K22" s="2796"/>
    </row>
    <row r="23" spans="1:14" s="2114" customFormat="1" ht="13.5" customHeight="1">
      <c r="A23" s="2827" t="s">
        <v>1859</v>
      </c>
      <c r="B23" s="3008" t="s">
        <v>2830</v>
      </c>
      <c r="C23" s="2829">
        <f ca="1">ROUND((C18+C19+C20)*F23,0)</f>
        <v>6044</v>
      </c>
      <c r="D23" s="467"/>
      <c r="E23" s="467"/>
      <c r="F23" s="2833">
        <f>'数据-取费表'!B37</f>
        <v>0.02</v>
      </c>
      <c r="G23" s="2789" t="s">
        <v>2427</v>
      </c>
      <c r="H23" s="2790"/>
      <c r="I23" s="2790"/>
      <c r="J23" s="2790"/>
      <c r="K23" s="2791"/>
      <c r="L23" s="2116"/>
      <c r="M23" s="2116"/>
      <c r="N23" s="2116"/>
    </row>
    <row r="24" spans="1:14" s="2114" customFormat="1" ht="13.5" customHeight="1">
      <c r="A24" s="2827" t="s">
        <v>1860</v>
      </c>
      <c r="B24" s="3008" t="s">
        <v>2833</v>
      </c>
      <c r="C24" s="2829">
        <f ca="1">ROUND(C6*F24,0)</f>
        <v>12120</v>
      </c>
      <c r="D24" s="474"/>
      <c r="E24" s="472"/>
      <c r="F24" s="2833">
        <f>'数据-取费表'!B38</f>
        <v>2.5000000000000001E-2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23094</v>
      </c>
      <c r="D26" s="466">
        <f ca="1">C27</f>
        <v>0.15509999999999999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0.15509999999999999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23094</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25395</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368839</v>
      </c>
      <c r="D30" s="476">
        <f ca="1">C32</f>
        <v>0.19370000000000001</v>
      </c>
      <c r="E30" s="468" t="s">
        <v>495</v>
      </c>
      <c r="F30" s="470"/>
      <c r="G30" s="2797" t="s">
        <v>2968</v>
      </c>
      <c r="H30" s="2790"/>
      <c r="I30" s="2790"/>
      <c r="J30" s="2790"/>
      <c r="K30" s="2791"/>
    </row>
    <row r="31" spans="1:14" s="2118" customFormat="1" ht="13.5" customHeight="1">
      <c r="A31" s="802" t="s">
        <v>1857</v>
      </c>
      <c r="B31" s="2835"/>
      <c r="C31" s="449">
        <f ca="1">C18+C19+C20+C23+C24+C26+C29</f>
        <v>368839</v>
      </c>
      <c r="D31" s="471"/>
      <c r="E31" s="472"/>
      <c r="F31" s="473"/>
      <c r="G31" s="260"/>
      <c r="H31" s="2792"/>
      <c r="I31" s="2792"/>
      <c r="J31" s="2792"/>
      <c r="K31" s="278"/>
    </row>
    <row r="32" spans="1:14" s="2118" customFormat="1" ht="13.5" customHeight="1">
      <c r="A32" s="802" t="s">
        <v>1858</v>
      </c>
      <c r="B32" s="2835"/>
      <c r="C32" s="53">
        <f ca="1">ROUND(C25+D26,4)</f>
        <v>0.19370000000000001</v>
      </c>
      <c r="D32" s="471"/>
      <c r="E32" s="472"/>
      <c r="F32" s="473"/>
      <c r="G32" s="260"/>
      <c r="H32" s="2792"/>
      <c r="I32" s="2792"/>
      <c r="J32" s="2792"/>
      <c r="K32" s="278"/>
    </row>
    <row r="33" spans="1:11" s="2120" customFormat="1" ht="13.5" customHeight="1">
      <c r="A33" s="3007" t="s">
        <v>2829</v>
      </c>
      <c r="B33" s="3005" t="s">
        <v>2827</v>
      </c>
      <c r="C33" s="477">
        <f ca="1">C35</f>
        <v>48053</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48053</v>
      </c>
      <c r="D35" s="1629"/>
      <c r="E35" s="2841"/>
      <c r="F35" s="1630"/>
      <c r="G35" s="2799"/>
      <c r="H35" s="2800"/>
      <c r="I35" s="2800"/>
      <c r="J35" s="2800"/>
      <c r="K35" s="2801"/>
    </row>
    <row r="36" spans="1:11" s="2083" customFormat="1" ht="13.5" customHeight="1" thickBot="1">
      <c r="A36" s="283" t="s">
        <v>1845</v>
      </c>
      <c r="B36" s="2803"/>
      <c r="C36" s="2842">
        <f ca="1">ROUND((C6-C30-C33)/(1+D30+D33),0)</f>
        <v>50333</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6" t="str">
        <f>项目基本情况!B1</f>
        <v>山东省潍坊市高密市小辛庄东南至褚家王吴东北至钟家王吴以东至王吴水库出让国有建设用地使用权抵押价格预评估</v>
      </c>
      <c r="C37" s="3216"/>
      <c r="D37" s="3216"/>
      <c r="E37" s="3216"/>
      <c r="F37" s="3216"/>
      <c r="G37" s="3216"/>
      <c r="H37" s="3216"/>
      <c r="I37" s="3216"/>
    </row>
    <row r="38" spans="1:9">
      <c r="A38" s="1656"/>
      <c r="B38" s="1656"/>
    </row>
    <row r="39" spans="1:9">
      <c r="A39" s="1654" t="s">
        <v>1902</v>
      </c>
      <c r="B39" s="1654" t="s">
        <v>2044</v>
      </c>
    </row>
    <row r="40" spans="1:9">
      <c r="A40" s="1654"/>
      <c r="B40" s="1654" t="str">
        <f>项目基本情况!B5</f>
        <v>国民信托有限公司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256000</v>
      </c>
      <c r="D13" s="450"/>
      <c r="E13" s="364"/>
      <c r="F13" s="451"/>
      <c r="G13" s="443"/>
      <c r="H13" s="446"/>
      <c r="I13" s="446"/>
      <c r="J13" s="446"/>
      <c r="K13" s="447"/>
    </row>
    <row r="14" spans="1:41" s="2114" customFormat="1" ht="13.5" customHeight="1">
      <c r="A14" s="1633" t="s">
        <v>1850</v>
      </c>
      <c r="B14" s="448" t="s">
        <v>480</v>
      </c>
      <c r="C14" s="53">
        <f ca="1">ROUND(C13*F14,0)</f>
        <v>7680</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21333</v>
      </c>
      <c r="D16" s="450">
        <f ca="1">IF(B1="",'数据-汇总表'!E3,INDIRECT("'数据-取费表'!K"&amp;$K$1)+INDIRECT("'数据-取费表'!S"&amp;$K$1))</f>
        <v>1066664.8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3840</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288853</v>
      </c>
      <c r="D18" s="460"/>
      <c r="E18" s="461"/>
      <c r="F18" s="461"/>
      <c r="G18" s="1326" t="s">
        <v>2428</v>
      </c>
      <c r="H18" s="446"/>
      <c r="I18" s="446"/>
      <c r="J18" s="446"/>
      <c r="K18" s="447"/>
    </row>
    <row r="19" spans="1:14" s="2117" customFormat="1" ht="13.5" customHeight="1">
      <c r="A19" s="1634" t="s">
        <v>1855</v>
      </c>
      <c r="B19" s="458" t="s">
        <v>493</v>
      </c>
      <c r="C19" s="459">
        <f ca="1">ROUND(C18*F19,0)</f>
        <v>5777</v>
      </c>
      <c r="D19" s="461"/>
      <c r="E19" s="461"/>
      <c r="F19" s="465">
        <f>'数据-取费表'!B37</f>
        <v>0.02</v>
      </c>
      <c r="G19" s="443" t="s">
        <v>503</v>
      </c>
      <c r="H19" s="446"/>
      <c r="I19" s="446"/>
      <c r="J19" s="446"/>
      <c r="K19" s="447"/>
      <c r="L19" s="2119"/>
      <c r="M19" s="2119"/>
      <c r="N19" s="2119"/>
    </row>
    <row r="20" spans="1:14" s="2117" customFormat="1" ht="13.5" customHeight="1">
      <c r="A20" s="1634" t="s">
        <v>1856</v>
      </c>
      <c r="B20" s="458" t="s">
        <v>504</v>
      </c>
      <c r="C20" s="3003">
        <f>F20</f>
        <v>2.5000000000000001E-2</v>
      </c>
      <c r="D20" s="468" t="s">
        <v>505</v>
      </c>
      <c r="E20" s="468"/>
      <c r="F20" s="485">
        <f>'数据-取费表'!B38</f>
        <v>2.5000000000000001E-2</v>
      </c>
      <c r="G20" s="1326" t="s">
        <v>506</v>
      </c>
      <c r="H20" s="446"/>
      <c r="I20" s="446"/>
      <c r="J20" s="446"/>
      <c r="K20" s="447"/>
      <c r="L20" s="2119"/>
      <c r="M20" s="2119"/>
      <c r="N20" s="2119"/>
    </row>
    <row r="21" spans="1:14" s="2119" customFormat="1" ht="13.5" customHeight="1">
      <c r="A21" s="1634" t="s">
        <v>1859</v>
      </c>
      <c r="B21" s="460" t="s">
        <v>494</v>
      </c>
      <c r="C21" s="469">
        <f ca="1">C22</f>
        <v>21240</v>
      </c>
      <c r="D21" s="466">
        <f ca="1">C23</f>
        <v>1.8E-3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21240</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1.8E-3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44195</v>
      </c>
      <c r="D24" s="488">
        <f ca="1">C26</f>
        <v>3.8E-3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44195</v>
      </c>
      <c r="D25" s="471"/>
      <c r="E25" s="472"/>
      <c r="F25" s="479"/>
      <c r="G25" s="1325" t="s">
        <v>2429</v>
      </c>
      <c r="H25" s="456"/>
      <c r="I25" s="456"/>
      <c r="J25" s="456"/>
      <c r="K25" s="457"/>
    </row>
    <row r="26" spans="1:14" s="2118" customFormat="1" ht="13.5" customHeight="1">
      <c r="A26" s="1633" t="s">
        <v>1850</v>
      </c>
      <c r="B26" s="1327" t="s">
        <v>509</v>
      </c>
      <c r="C26" s="490">
        <f ca="1">ROUND(F20*F24,4)</f>
        <v>3.8E-3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392655</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 sqref="D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26.26</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484816</v>
      </c>
      <c r="C2" s="2055"/>
      <c r="D2" s="2053"/>
      <c r="E2" s="2054"/>
      <c r="F2" s="2054"/>
      <c r="G2" s="1590"/>
      <c r="H2" s="2055"/>
      <c r="I2" s="2055"/>
      <c r="J2" s="2055"/>
      <c r="K2" s="2056"/>
      <c r="L2" s="2055"/>
      <c r="M2" s="2055"/>
    </row>
    <row r="3" spans="1:33" ht="18" customHeight="1" thickBot="1">
      <c r="A3" s="832" t="s">
        <v>1728</v>
      </c>
      <c r="B3" s="833">
        <f ca="1">IF(ISERROR(B2*10000/F43),0,ROUND(B2*10000/F43,0))</f>
        <v>4545</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39811</v>
      </c>
      <c r="D5" s="2473" t="s">
        <v>2457</v>
      </c>
      <c r="E5" s="2467"/>
      <c r="F5" s="2468"/>
      <c r="G5" s="1592"/>
      <c r="H5" s="780">
        <v>1</v>
      </c>
      <c r="I5" s="781" t="s">
        <v>2454</v>
      </c>
      <c r="J5" s="55">
        <f ca="1">J6+J10+J12</f>
        <v>0</v>
      </c>
      <c r="K5" s="2473" t="s">
        <v>2457</v>
      </c>
      <c r="L5" s="2467"/>
      <c r="M5" s="2468"/>
    </row>
    <row r="6" spans="1:33" ht="18" customHeight="1">
      <c r="A6" s="1828" t="s">
        <v>1825</v>
      </c>
      <c r="B6" s="3425" t="s">
        <v>2459</v>
      </c>
      <c r="C6" s="782">
        <f ca="1">ROUND(F6*F8*F7*(1-F9)/10000,0)</f>
        <v>39712</v>
      </c>
      <c r="D6" s="2474" t="s">
        <v>2458</v>
      </c>
      <c r="E6" s="783" t="s">
        <v>1739</v>
      </c>
      <c r="F6" s="784">
        <f ca="1">INDIRECT("'数据-取费表'!u"&amp;$G$1)</f>
        <v>1.2</v>
      </c>
      <c r="G6" s="1592"/>
      <c r="H6" s="2481" t="s">
        <v>2464</v>
      </c>
      <c r="I6" s="3425" t="s">
        <v>2459</v>
      </c>
      <c r="J6" s="782">
        <f ca="1">ROUND(M6*M8*M7*(1-M9)/10000,0)</f>
        <v>0</v>
      </c>
      <c r="K6" s="340" t="s">
        <v>1738</v>
      </c>
      <c r="L6" s="783" t="s">
        <v>1739</v>
      </c>
      <c r="M6" s="784">
        <f ca="1">INDIRECT("'数据-取费表'!z"&amp;$G$1)</f>
        <v>0</v>
      </c>
    </row>
    <row r="7" spans="1:33" ht="18" customHeight="1">
      <c r="A7" s="2477"/>
      <c r="B7" s="3426"/>
      <c r="C7" s="787"/>
      <c r="D7" s="788"/>
      <c r="E7" s="783" t="s">
        <v>1740</v>
      </c>
      <c r="F7" s="784">
        <f ca="1">IF(INDIRECT("'数据-取费表'!ah"&amp;$G$1)="",INDIRECT("'数据-取费表'!k"&amp;$G$1),INDIRECT("'数据-取费表'!ah"&amp;$G$1))</f>
        <v>1066664.8</v>
      </c>
      <c r="G7" s="1592"/>
      <c r="H7" s="2466"/>
      <c r="I7" s="3426"/>
      <c r="J7" s="787"/>
      <c r="K7" s="788"/>
      <c r="L7" s="783" t="s">
        <v>1740</v>
      </c>
      <c r="M7" s="784">
        <f ca="1">F7</f>
        <v>1066664.8</v>
      </c>
    </row>
    <row r="8" spans="1:33" ht="18" customHeight="1">
      <c r="A8" s="2470"/>
      <c r="B8" s="3427"/>
      <c r="C8" s="787"/>
      <c r="D8" s="788"/>
      <c r="E8" s="783" t="s">
        <v>1741</v>
      </c>
      <c r="F8" s="784">
        <f ca="1">INDIRECT("'数据-取费表'!ai"&amp;$G$1)</f>
        <v>365</v>
      </c>
      <c r="G8" s="1592"/>
      <c r="H8" s="2466"/>
      <c r="I8" s="3427"/>
      <c r="J8" s="787"/>
      <c r="K8" s="788"/>
      <c r="L8" s="783" t="s">
        <v>1741</v>
      </c>
      <c r="M8" s="784">
        <f ca="1">INDIRECT("'数据-取费表'!ai"&amp;$G$1)</f>
        <v>365</v>
      </c>
    </row>
    <row r="9" spans="1:33" ht="18" customHeight="1">
      <c r="A9" s="785"/>
      <c r="B9" s="3428"/>
      <c r="C9" s="787"/>
      <c r="D9" s="788"/>
      <c r="E9" s="783" t="s">
        <v>1742</v>
      </c>
      <c r="F9" s="793">
        <f ca="1">INDIRECT("'数据-取费表'!w"&amp;$G$1)</f>
        <v>0.15</v>
      </c>
      <c r="G9" s="1592"/>
      <c r="H9" s="2482"/>
      <c r="I9" s="3427"/>
      <c r="J9" s="787"/>
      <c r="K9" s="788"/>
      <c r="L9" s="794" t="s">
        <v>1742</v>
      </c>
      <c r="M9" s="795">
        <f ca="1">INDIRECT("'数据-取费表'!ab"&amp;$G$1)</f>
        <v>0</v>
      </c>
    </row>
    <row r="10" spans="1:33" ht="18" customHeight="1">
      <c r="A10" s="1828" t="s">
        <v>2462</v>
      </c>
      <c r="B10" s="2471" t="s">
        <v>2455</v>
      </c>
      <c r="C10" s="798">
        <f ca="1">ROUND(IF(F10="押一",C6/12*F11,IF(F10="押二",C6/12*2*F11,IF(F10="押三",C6/12*3*F11,C11*F11))),0)</f>
        <v>99</v>
      </c>
      <c r="D10" s="2478" t="s">
        <v>2970</v>
      </c>
      <c r="E10" s="2475" t="s">
        <v>2460</v>
      </c>
      <c r="F10" s="2598" t="s">
        <v>3272</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392655</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256000</v>
      </c>
      <c r="D14" s="1977" t="s">
        <v>1746</v>
      </c>
      <c r="E14" s="1978"/>
      <c r="F14" s="804"/>
      <c r="G14" s="1592"/>
      <c r="H14" s="1649" t="s">
        <v>1831</v>
      </c>
      <c r="I14" s="2229" t="s">
        <v>2822</v>
      </c>
      <c r="J14" s="53">
        <f ca="1">C29</f>
        <v>392655</v>
      </c>
      <c r="K14" s="26"/>
      <c r="L14" s="800"/>
      <c r="M14" s="801"/>
    </row>
    <row r="15" spans="1:33" s="2062" customFormat="1" ht="18" customHeight="1" thickBot="1">
      <c r="A15" s="1648" t="s">
        <v>1886</v>
      </c>
      <c r="B15" s="783" t="s">
        <v>647</v>
      </c>
      <c r="C15" s="53">
        <f ca="1">ROUND(C14*F15,0)</f>
        <v>7680</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39006</v>
      </c>
      <c r="K16" s="1819" t="s">
        <v>1751</v>
      </c>
      <c r="L16" s="2463"/>
      <c r="M16" s="2468"/>
    </row>
    <row r="17" spans="1:33" s="2062" customFormat="1" ht="18" customHeight="1">
      <c r="A17" s="1648" t="s">
        <v>1888</v>
      </c>
      <c r="B17" s="783" t="s">
        <v>653</v>
      </c>
      <c r="C17" s="53">
        <f ca="1">ROUND(F17*(F43+INDIRECT("'数据-取费表'!S"&amp;$G$1))/10000,0)</f>
        <v>21333</v>
      </c>
      <c r="D17" s="783" t="s">
        <v>1752</v>
      </c>
      <c r="E17" s="783" t="s">
        <v>1753</v>
      </c>
      <c r="F17" s="56">
        <f>'数据-取费表'!B35</f>
        <v>200</v>
      </c>
      <c r="G17" s="1593"/>
      <c r="H17" s="1649" t="s">
        <v>1831</v>
      </c>
      <c r="I17" s="783" t="s">
        <v>656</v>
      </c>
      <c r="J17" s="53">
        <f ca="1">ROUND(IF(项目基本情况!B11="自然人",J5*M17,J18+J19+J20),0)</f>
        <v>33116</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3840</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288853</v>
      </c>
      <c r="D19" s="260" t="s">
        <v>1758</v>
      </c>
      <c r="E19" s="1980"/>
      <c r="F19" s="56"/>
      <c r="G19" s="1592"/>
      <c r="H19" s="1648" t="s">
        <v>1886</v>
      </c>
      <c r="I19" s="783" t="s">
        <v>1759</v>
      </c>
      <c r="J19" s="53">
        <f ca="1">IF(K19="按租金收入计税",ROUND(J5*M19,1),ROUND(C29*F33*0.7,1))</f>
        <v>32983</v>
      </c>
      <c r="K19" s="810" t="s">
        <v>665</v>
      </c>
      <c r="L19" s="783" t="s">
        <v>1748</v>
      </c>
      <c r="M19" s="808">
        <f>IF(K19="按租金收入计税",'数据-取费表'!B51,'数据-取费表'!B50)</f>
        <v>1.2E-2</v>
      </c>
    </row>
    <row r="20" spans="1:33" s="2062" customFormat="1" ht="18" customHeight="1">
      <c r="A20" s="1649" t="s">
        <v>1890</v>
      </c>
      <c r="B20" s="783" t="s">
        <v>666</v>
      </c>
      <c r="C20" s="53">
        <f ca="1">ROUND(C19*F20,0)</f>
        <v>5777</v>
      </c>
      <c r="D20" s="811" t="s">
        <v>1760</v>
      </c>
      <c r="E20" s="783" t="s">
        <v>1748</v>
      </c>
      <c r="F20" s="808">
        <f>'数据-取费表'!B37</f>
        <v>0.02</v>
      </c>
      <c r="G20" s="1593"/>
      <c r="H20" s="1651" t="s">
        <v>1881</v>
      </c>
      <c r="I20" s="340" t="s">
        <v>1761</v>
      </c>
      <c r="J20" s="54">
        <f ca="1">ROUND(M20*M21/10000,0)</f>
        <v>133</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2.5000000000000001E-2</v>
      </c>
      <c r="G21" s="1593"/>
      <c r="H21" s="2483"/>
      <c r="I21" s="792"/>
      <c r="J21" s="69"/>
      <c r="K21" s="815"/>
      <c r="L21" s="783" t="s">
        <v>1767</v>
      </c>
      <c r="M21" s="784">
        <f ca="1">INDIRECT("'数据-取费表'!r"&amp;$G$1)</f>
        <v>266666.2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5890</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21240</v>
      </c>
      <c r="D23" s="2548"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1.8E-3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-39006</v>
      </c>
      <c r="K25" s="2525" t="s">
        <v>1778</v>
      </c>
      <c r="L25" s="2526"/>
      <c r="M25" s="2527"/>
    </row>
    <row r="26" spans="1:33" ht="18" customHeight="1">
      <c r="A26" s="1648" t="s">
        <v>1832</v>
      </c>
      <c r="B26" s="783" t="s">
        <v>2434</v>
      </c>
      <c r="C26" s="53">
        <f ca="1">ROUND((C19+C20)*F26,0)</f>
        <v>44195</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3.8E-3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392655</v>
      </c>
      <c r="D29" s="2522"/>
      <c r="E29" s="2523"/>
      <c r="F29" s="2524"/>
      <c r="G29" s="1593"/>
      <c r="H29" s="822" t="s">
        <v>1788</v>
      </c>
      <c r="I29" s="823" t="s">
        <v>1789</v>
      </c>
      <c r="J29" s="824">
        <f ca="1">ROUND(J26/(1+F40)^F41,0)</f>
        <v>0</v>
      </c>
      <c r="K29" s="825" t="s">
        <v>1790</v>
      </c>
      <c r="L29" s="826"/>
      <c r="M29" s="827">
        <f ca="1">INDIRECT("'数据-取费表'!k"&amp;$G$1)</f>
        <v>1066664.8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13873</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6995.9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2085.3000000000002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4777.3</v>
      </c>
      <c r="D33" s="810" t="s">
        <v>3011</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133.30000000000001</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266666.2</v>
      </c>
      <c r="G35" s="2060"/>
      <c r="H35" s="2063"/>
      <c r="I35" s="836" t="s">
        <v>1815</v>
      </c>
      <c r="J35" s="837">
        <f ca="1">ROUND(C13*J36,0)</f>
        <v>33376</v>
      </c>
      <c r="K35" s="2076"/>
      <c r="L35" s="2075"/>
      <c r="M35" s="2075"/>
    </row>
    <row r="36" spans="1:18" ht="18" customHeight="1">
      <c r="A36" s="1649" t="s">
        <v>1890</v>
      </c>
      <c r="B36" s="783" t="s">
        <v>1803</v>
      </c>
      <c r="C36" s="53">
        <f ca="1">ROUND(C29*F36,1)</f>
        <v>5889.8</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589</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398.1</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25938</v>
      </c>
      <c r="D39" s="2525" t="s">
        <v>1807</v>
      </c>
      <c r="E39" s="2526"/>
      <c r="F39" s="2527"/>
      <c r="G39" s="2060"/>
      <c r="H39" s="2075"/>
      <c r="I39" s="836" t="s">
        <v>1819</v>
      </c>
      <c r="J39" s="844">
        <f ca="1">ROUND(J35/C39,3)</f>
        <v>1.2869999999999999</v>
      </c>
      <c r="K39" s="2081"/>
      <c r="L39" s="2075"/>
      <c r="M39" s="2075"/>
    </row>
    <row r="40" spans="1:18" ht="18" customHeight="1">
      <c r="A40" s="780" t="s">
        <v>1896</v>
      </c>
      <c r="B40" s="2230" t="s">
        <v>2299</v>
      </c>
      <c r="C40" s="782">
        <f ca="1">ROUND(C39*(1-((1+F42)/(1+F40))^F41)/(F40-F42),0)</f>
        <v>484816</v>
      </c>
      <c r="D40" s="813" t="s">
        <v>1808</v>
      </c>
      <c r="E40" s="783" t="s">
        <v>2415</v>
      </c>
      <c r="F40" s="793">
        <f ca="1">INDIRECT("'数据-取费表'!I"&amp;$G$1)</f>
        <v>5.5E-2</v>
      </c>
      <c r="G40" s="2060"/>
      <c r="H40" s="2060"/>
      <c r="I40" s="836" t="s">
        <v>1820</v>
      </c>
      <c r="J40" s="844">
        <f ca="1">1-J39</f>
        <v>-0.28699999999999992</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26.26</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0.81</v>
      </c>
      <c r="K42" s="2080"/>
      <c r="L42" s="1986"/>
      <c r="M42" s="1986"/>
    </row>
    <row r="43" spans="1:18" ht="18" customHeight="1" thickBot="1">
      <c r="A43" s="822" t="s">
        <v>1788</v>
      </c>
      <c r="B43" s="823" t="s">
        <v>1811</v>
      </c>
      <c r="C43" s="824">
        <f ca="1">ROUND(C40*10000/F43,0)</f>
        <v>4545</v>
      </c>
      <c r="D43" s="825" t="s">
        <v>1812</v>
      </c>
      <c r="E43" s="826" t="s">
        <v>1813</v>
      </c>
      <c r="F43" s="827">
        <f ca="1">INDIRECT("'数据-取费表'!k"&amp;$G$1)</f>
        <v>1066664.8</v>
      </c>
      <c r="G43" s="2060"/>
      <c r="H43" s="1986"/>
      <c r="I43" s="846" t="s">
        <v>1823</v>
      </c>
      <c r="J43" s="847">
        <f ca="1">1-J42</f>
        <v>0.18999999999999995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-575566</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3012</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26.26</v>
      </c>
      <c r="O48" s="2375" t="s">
        <v>2375</v>
      </c>
      <c r="P48" s="2376" t="s">
        <v>2401</v>
      </c>
      <c r="Q48" s="2377">
        <f ca="1">C40+J29</f>
        <v>484816</v>
      </c>
      <c r="R48" s="2376" t="s">
        <v>2376</v>
      </c>
    </row>
    <row r="49" spans="1:18" s="2057" customFormat="1" ht="18" customHeight="1" thickBot="1">
      <c r="A49" s="785"/>
      <c r="B49" s="786"/>
      <c r="C49" s="787"/>
      <c r="D49" s="788"/>
      <c r="E49" s="783" t="s">
        <v>1740</v>
      </c>
      <c r="F49" s="784">
        <f ca="1">F7</f>
        <v>1066664.8</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392655</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-107445</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26.26</v>
      </c>
      <c r="K53" s="3423" t="s">
        <v>2962</v>
      </c>
      <c r="L53" s="3424"/>
      <c r="O53" s="2378" t="s">
        <v>2384</v>
      </c>
      <c r="P53" s="2376" t="s">
        <v>2385</v>
      </c>
      <c r="Q53" s="2377">
        <f ca="1">J53</f>
        <v>26.26</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484816</v>
      </c>
      <c r="R54" s="2380" t="s">
        <v>2388</v>
      </c>
    </row>
    <row r="55" spans="1:18" s="2057" customFormat="1" ht="18" customHeight="1" thickTop="1" thickBot="1">
      <c r="A55" s="796">
        <v>2</v>
      </c>
      <c r="B55" s="797" t="s">
        <v>644</v>
      </c>
      <c r="C55" s="798">
        <f ca="1">C13</f>
        <v>392655</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392655</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6612</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484816</v>
      </c>
      <c r="R57" s="2376" t="s">
        <v>2376</v>
      </c>
    </row>
    <row r="58" spans="1:18" s="2057" customFormat="1" ht="28.5" customHeight="1" thickBot="1">
      <c r="A58" s="1649" t="s">
        <v>1825</v>
      </c>
      <c r="B58" s="783" t="s">
        <v>656</v>
      </c>
      <c r="C58" s="53">
        <f ca="1">ROUND(IF(项目基本情况!B11="自然人",C47*F58,C59+C60+C61),1)</f>
        <v>133.30000000000001</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133.30000000000001</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266666.2</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5889.8</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484816</v>
      </c>
      <c r="R63" s="2380" t="s">
        <v>2388</v>
      </c>
    </row>
    <row r="64" spans="1:18" s="2057" customFormat="1" ht="16.5" thickBot="1">
      <c r="A64" s="1649" t="s">
        <v>1891</v>
      </c>
      <c r="B64" s="783" t="s">
        <v>679</v>
      </c>
      <c r="C64" s="53">
        <f ca="1">ROUND(C55*F64,1)</f>
        <v>589</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-6612</v>
      </c>
      <c r="D66" s="2615" t="s">
        <v>700</v>
      </c>
      <c r="E66" s="2614"/>
      <c r="F66" s="819"/>
      <c r="K66" s="2084"/>
      <c r="O66" s="2375" t="s">
        <v>2375</v>
      </c>
      <c r="P66" s="2376" t="s">
        <v>2405</v>
      </c>
      <c r="Q66" s="2377">
        <f ca="1">C40+J29</f>
        <v>484816</v>
      </c>
      <c r="R66" s="2376" t="s">
        <v>2376</v>
      </c>
    </row>
    <row r="67" spans="1:18" s="2057" customFormat="1" ht="20.25" thickBot="1">
      <c r="A67" s="780" t="s">
        <v>1781</v>
      </c>
      <c r="B67" s="2230" t="s">
        <v>2299</v>
      </c>
      <c r="C67" s="782">
        <f ca="1">ROUND(C66*(1-((1+F69)/(1+F67))^F68)/(F67-F69),0)</f>
        <v>-90750</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26.26</v>
      </c>
      <c r="O68" s="2378" t="s">
        <v>2379</v>
      </c>
      <c r="P68" s="2376" t="s">
        <v>2409</v>
      </c>
      <c r="Q68" s="2382">
        <f ca="1">L51</f>
        <v>-107445</v>
      </c>
      <c r="R68" s="2383" t="s">
        <v>2412</v>
      </c>
    </row>
    <row r="69" spans="1:18" ht="20.25" thickBot="1">
      <c r="A69" s="789"/>
      <c r="B69" s="790"/>
      <c r="C69" s="791"/>
      <c r="D69" s="815"/>
      <c r="E69" s="783" t="s">
        <v>710</v>
      </c>
      <c r="F69" s="2348"/>
      <c r="O69" s="2378" t="s">
        <v>2380</v>
      </c>
      <c r="P69" s="2384" t="s">
        <v>2394</v>
      </c>
      <c r="Q69" s="2377">
        <f ca="1">ROUND(Q70-Q71*Q72,0)</f>
        <v>-7438</v>
      </c>
      <c r="R69" s="2380"/>
    </row>
    <row r="70" spans="1:18" ht="15.75" thickBot="1">
      <c r="A70" s="822" t="s">
        <v>1788</v>
      </c>
      <c r="B70" s="823" t="s">
        <v>1811</v>
      </c>
      <c r="C70" s="824">
        <f ca="1">ROUND(C67*10000/F70,0)</f>
        <v>-851</v>
      </c>
      <c r="D70" s="825" t="s">
        <v>1812</v>
      </c>
      <c r="E70" s="826" t="s">
        <v>1813</v>
      </c>
      <c r="F70" s="827">
        <f ca="1">F43</f>
        <v>1066664.8</v>
      </c>
      <c r="O70" s="2378" t="s">
        <v>2395</v>
      </c>
      <c r="P70" s="2384" t="s">
        <v>2396</v>
      </c>
      <c r="Q70" s="2377">
        <f ca="1">C39</f>
        <v>25938</v>
      </c>
      <c r="R70" s="2376" t="s">
        <v>2376</v>
      </c>
    </row>
    <row r="71" spans="1:18" ht="15.75" thickBot="1">
      <c r="O71" s="2378" t="s">
        <v>2397</v>
      </c>
      <c r="P71" s="2384" t="s">
        <v>2398</v>
      </c>
      <c r="Q71" s="2377">
        <f ca="1">C13</f>
        <v>392655</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484816</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90" t="s">
        <v>522</v>
      </c>
      <c r="D6" s="3391"/>
      <c r="E6" s="3431" t="s">
        <v>523</v>
      </c>
      <c r="F6" s="3432"/>
      <c r="G6" s="3390" t="s">
        <v>524</v>
      </c>
      <c r="H6" s="3391"/>
      <c r="I6" s="3390" t="s">
        <v>525</v>
      </c>
      <c r="J6" s="3391"/>
      <c r="K6" s="513" t="s">
        <v>526</v>
      </c>
      <c r="L6" s="2131"/>
      <c r="M6" s="2132"/>
      <c r="N6" s="2132"/>
      <c r="O6" s="2132"/>
      <c r="P6" s="3392" t="s">
        <v>527</v>
      </c>
      <c r="Q6" s="3393"/>
      <c r="R6" s="3398" t="s">
        <v>523</v>
      </c>
      <c r="S6" s="3399"/>
      <c r="T6" s="3398" t="s">
        <v>524</v>
      </c>
      <c r="U6" s="3399"/>
      <c r="V6" s="3385" t="s">
        <v>525</v>
      </c>
      <c r="W6" s="3385"/>
      <c r="X6" s="1567"/>
      <c r="Y6" s="3398" t="s">
        <v>527</v>
      </c>
      <c r="Z6" s="3399"/>
      <c r="AA6" s="3387" t="s">
        <v>523</v>
      </c>
      <c r="AB6" s="3388" t="s">
        <v>524</v>
      </c>
      <c r="AC6" s="3387" t="s">
        <v>525</v>
      </c>
    </row>
    <row r="7" spans="1:29" ht="15">
      <c r="A7" s="514"/>
      <c r="B7" s="515"/>
      <c r="C7" s="3408" t="s">
        <v>2923</v>
      </c>
      <c r="D7" s="3407"/>
      <c r="E7" s="3433" t="s">
        <v>2924</v>
      </c>
      <c r="F7" s="3434"/>
      <c r="G7" s="3408" t="s">
        <v>2925</v>
      </c>
      <c r="H7" s="3407"/>
      <c r="I7" s="3408" t="s">
        <v>2926</v>
      </c>
      <c r="J7" s="3407"/>
      <c r="K7" s="513"/>
      <c r="L7" s="2131"/>
      <c r="M7" s="2132"/>
      <c r="N7" s="2132"/>
      <c r="O7" s="2132"/>
      <c r="P7" s="3394"/>
      <c r="Q7" s="3395"/>
      <c r="R7" s="3400"/>
      <c r="S7" s="3401"/>
      <c r="T7" s="3400"/>
      <c r="U7" s="3401"/>
      <c r="V7" s="3385"/>
      <c r="W7" s="3385"/>
      <c r="X7" s="1567"/>
      <c r="Y7" s="3400"/>
      <c r="Z7" s="3401"/>
      <c r="AA7" s="3388"/>
      <c r="AB7" s="3388"/>
      <c r="AC7" s="3388"/>
    </row>
    <row r="8" spans="1:29" ht="15.75" thickBot="1">
      <c r="A8" s="516"/>
      <c r="B8" s="517"/>
      <c r="C8" s="3404" t="s">
        <v>2927</v>
      </c>
      <c r="D8" s="3405"/>
      <c r="E8" s="3429" t="s">
        <v>2927</v>
      </c>
      <c r="F8" s="3430"/>
      <c r="G8" s="3404" t="s">
        <v>2927</v>
      </c>
      <c r="H8" s="3405"/>
      <c r="I8" s="3404" t="s">
        <v>2927</v>
      </c>
      <c r="J8" s="3405"/>
      <c r="K8" s="513" t="s">
        <v>528</v>
      </c>
      <c r="L8" s="2131"/>
      <c r="M8" s="2132"/>
      <c r="N8" s="2132"/>
      <c r="O8" s="2132"/>
      <c r="P8" s="3396"/>
      <c r="Q8" s="3397"/>
      <c r="R8" s="3400"/>
      <c r="S8" s="3401"/>
      <c r="T8" s="3402"/>
      <c r="U8" s="3403"/>
      <c r="V8" s="3385"/>
      <c r="W8" s="3385"/>
      <c r="X8" s="1567"/>
      <c r="Y8" s="3402"/>
      <c r="Z8" s="3403"/>
      <c r="AA8" s="3389"/>
      <c r="AB8" s="3389"/>
      <c r="AC8" s="3389"/>
    </row>
    <row r="9" spans="1:29" s="1219" customFormat="1" ht="15.75" thickBot="1">
      <c r="A9" s="2888"/>
      <c r="B9" s="2895" t="s">
        <v>529</v>
      </c>
      <c r="C9" s="518">
        <f>'数据-取费表'!B2</f>
        <v>43468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6" t="s">
        <v>530</v>
      </c>
      <c r="Q9" s="3418"/>
      <c r="R9" s="1568" t="s">
        <v>8</v>
      </c>
      <c r="S9" s="1569">
        <f t="shared" ref="S9:S17" si="0">F9</f>
        <v>0</v>
      </c>
      <c r="T9" s="1568" t="s">
        <v>8</v>
      </c>
      <c r="U9" s="1569">
        <f t="shared" ref="U9:U17" si="1">H9</f>
        <v>0</v>
      </c>
      <c r="V9" s="1568" t="s">
        <v>8</v>
      </c>
      <c r="W9" s="1569">
        <f t="shared" ref="W9:W17" si="2">J9</f>
        <v>0</v>
      </c>
      <c r="X9" s="1570"/>
      <c r="Y9" s="3416" t="s">
        <v>530</v>
      </c>
      <c r="Z9" s="3417"/>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6" t="s">
        <v>533</v>
      </c>
      <c r="Q10" s="3417"/>
      <c r="R10" s="1568" t="s">
        <v>8</v>
      </c>
      <c r="S10" s="1569">
        <f t="shared" si="0"/>
        <v>0</v>
      </c>
      <c r="T10" s="1568" t="s">
        <v>8</v>
      </c>
      <c r="U10" s="1569">
        <f t="shared" si="1"/>
        <v>0</v>
      </c>
      <c r="V10" s="1568" t="s">
        <v>8</v>
      </c>
      <c r="W10" s="1569">
        <f t="shared" si="2"/>
        <v>0</v>
      </c>
      <c r="X10" s="1570"/>
      <c r="Y10" s="3416" t="s">
        <v>533</v>
      </c>
      <c r="Z10" s="3417"/>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4" t="s">
        <v>535</v>
      </c>
      <c r="Q11" s="1150" t="str">
        <f t="shared" ref="Q11:Q17" si="6">B11</f>
        <v>用途</v>
      </c>
      <c r="R11" s="1568" t="s">
        <v>8</v>
      </c>
      <c r="S11" s="1569">
        <f t="shared" si="0"/>
        <v>100</v>
      </c>
      <c r="T11" s="1568" t="s">
        <v>8</v>
      </c>
      <c r="U11" s="1569">
        <f t="shared" si="1"/>
        <v>100</v>
      </c>
      <c r="V11" s="1568" t="s">
        <v>8</v>
      </c>
      <c r="W11" s="1569">
        <f t="shared" si="2"/>
        <v>100</v>
      </c>
      <c r="X11" s="1570"/>
      <c r="Y11" s="3330"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84"/>
      <c r="Q12" s="1150" t="str">
        <f t="shared" si="6"/>
        <v>土地使用年限（年）</v>
      </c>
      <c r="R12" s="1568" t="s">
        <v>8</v>
      </c>
      <c r="S12" s="1569">
        <f t="shared" si="0"/>
        <v>119</v>
      </c>
      <c r="T12" s="1568" t="s">
        <v>8</v>
      </c>
      <c r="U12" s="1569">
        <f t="shared" si="1"/>
        <v>119</v>
      </c>
      <c r="V12" s="1568" t="s">
        <v>8</v>
      </c>
      <c r="W12" s="1569">
        <f t="shared" si="2"/>
        <v>119</v>
      </c>
      <c r="X12" s="1570"/>
      <c r="Y12" s="3330"/>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4"/>
      <c r="Q13" s="1150" t="str">
        <f t="shared" si="6"/>
        <v>容积率</v>
      </c>
      <c r="R13" s="1568" t="s">
        <v>8</v>
      </c>
      <c r="S13" s="1569" t="e">
        <f t="shared" si="0"/>
        <v>#N/A</v>
      </c>
      <c r="T13" s="1568" t="s">
        <v>8</v>
      </c>
      <c r="U13" s="1569" t="e">
        <f t="shared" si="1"/>
        <v>#N/A</v>
      </c>
      <c r="V13" s="1568" t="s">
        <v>8</v>
      </c>
      <c r="W13" s="1569" t="e">
        <f t="shared" si="2"/>
        <v>#N/A</v>
      </c>
      <c r="X13" s="1570"/>
      <c r="Y13" s="3330"/>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4"/>
      <c r="Q14" s="1150">
        <f t="shared" si="6"/>
        <v>111</v>
      </c>
      <c r="R14" s="1568" t="s">
        <v>8</v>
      </c>
      <c r="S14" s="1569">
        <f t="shared" si="0"/>
        <v>100</v>
      </c>
      <c r="T14" s="1568" t="s">
        <v>8</v>
      </c>
      <c r="U14" s="1569">
        <f t="shared" si="1"/>
        <v>100</v>
      </c>
      <c r="V14" s="1568" t="s">
        <v>8</v>
      </c>
      <c r="W14" s="1569">
        <f t="shared" si="2"/>
        <v>100</v>
      </c>
      <c r="X14" s="1570"/>
      <c r="Y14" s="3330"/>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4"/>
      <c r="Q15" s="1150">
        <f t="shared" si="6"/>
        <v>111</v>
      </c>
      <c r="R15" s="1568" t="s">
        <v>8</v>
      </c>
      <c r="S15" s="1569">
        <f t="shared" si="0"/>
        <v>100</v>
      </c>
      <c r="T15" s="1568" t="s">
        <v>8</v>
      </c>
      <c r="U15" s="1569">
        <f t="shared" si="1"/>
        <v>100</v>
      </c>
      <c r="V15" s="1568" t="s">
        <v>8</v>
      </c>
      <c r="W15" s="1569">
        <f t="shared" si="2"/>
        <v>100</v>
      </c>
      <c r="X15" s="1570"/>
      <c r="Y15" s="3330"/>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4"/>
      <c r="Q16" s="1150">
        <f t="shared" si="6"/>
        <v>111</v>
      </c>
      <c r="R16" s="1568" t="s">
        <v>8</v>
      </c>
      <c r="S16" s="1569">
        <f t="shared" si="0"/>
        <v>100</v>
      </c>
      <c r="T16" s="1568" t="s">
        <v>8</v>
      </c>
      <c r="U16" s="1569">
        <f t="shared" si="1"/>
        <v>100</v>
      </c>
      <c r="V16" s="1568" t="s">
        <v>8</v>
      </c>
      <c r="W16" s="1569">
        <f t="shared" si="2"/>
        <v>100</v>
      </c>
      <c r="X16" s="1570"/>
      <c r="Y16" s="3330"/>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9" t="s">
        <v>540</v>
      </c>
      <c r="Q17" s="1572" t="str">
        <f t="shared" si="6"/>
        <v>产业集聚程度</v>
      </c>
      <c r="R17" s="1573" t="s">
        <v>8</v>
      </c>
      <c r="S17" s="1574">
        <f t="shared" si="0"/>
        <v>100</v>
      </c>
      <c r="T17" s="1573" t="s">
        <v>8</v>
      </c>
      <c r="U17" s="1574">
        <f t="shared" si="1"/>
        <v>100</v>
      </c>
      <c r="V17" s="1573" t="s">
        <v>8</v>
      </c>
      <c r="W17" s="1574">
        <f t="shared" si="2"/>
        <v>100</v>
      </c>
      <c r="X17" s="1567"/>
      <c r="Y17" s="341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20"/>
      <c r="Q18" s="1572"/>
      <c r="R18" s="1573"/>
      <c r="S18" s="1574"/>
      <c r="T18" s="1573"/>
      <c r="U18" s="1574"/>
      <c r="V18" s="1573"/>
      <c r="W18" s="1574"/>
      <c r="X18" s="1567"/>
      <c r="Y18" s="342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20"/>
      <c r="Q19" s="1572" t="str">
        <f>B19</f>
        <v>交通便捷度</v>
      </c>
      <c r="R19" s="1573" t="s">
        <v>8</v>
      </c>
      <c r="S19" s="1574">
        <f>F19</f>
        <v>100</v>
      </c>
      <c r="T19" s="1573" t="s">
        <v>8</v>
      </c>
      <c r="U19" s="1574">
        <f>H19</f>
        <v>100</v>
      </c>
      <c r="V19" s="1573" t="s">
        <v>8</v>
      </c>
      <c r="W19" s="1574">
        <f>J19</f>
        <v>100</v>
      </c>
      <c r="X19" s="1567"/>
      <c r="Y19" s="342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20"/>
      <c r="Q20" s="1572"/>
      <c r="R20" s="1573"/>
      <c r="S20" s="1574"/>
      <c r="T20" s="1573"/>
      <c r="U20" s="1574"/>
      <c r="V20" s="1573"/>
      <c r="W20" s="1574"/>
      <c r="X20" s="1567"/>
      <c r="Y20" s="342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20"/>
      <c r="Q21" s="1572" t="str">
        <f t="shared" ref="Q21:Q35" si="8">B21</f>
        <v>区域土地利用方向</v>
      </c>
      <c r="R21" s="1573" t="s">
        <v>8</v>
      </c>
      <c r="S21" s="1574">
        <f>F21</f>
        <v>100</v>
      </c>
      <c r="T21" s="1573" t="s">
        <v>8</v>
      </c>
      <c r="U21" s="1574">
        <f>H21</f>
        <v>100</v>
      </c>
      <c r="V21" s="1573" t="s">
        <v>8</v>
      </c>
      <c r="W21" s="1574">
        <f>J21</f>
        <v>100</v>
      </c>
      <c r="X21" s="1567"/>
      <c r="Y21" s="342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20"/>
      <c r="Q22" s="1572"/>
      <c r="R22" s="1573"/>
      <c r="S22" s="1574"/>
      <c r="T22" s="1573"/>
      <c r="U22" s="1574"/>
      <c r="V22" s="1573"/>
      <c r="W22" s="1574"/>
      <c r="X22" s="1567"/>
      <c r="Y22" s="342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20"/>
      <c r="Q23" s="1572" t="str">
        <f t="shared" si="8"/>
        <v>环境状况</v>
      </c>
      <c r="R23" s="1573" t="s">
        <v>8</v>
      </c>
      <c r="S23" s="1574">
        <f>F23</f>
        <v>100</v>
      </c>
      <c r="T23" s="1573" t="s">
        <v>8</v>
      </c>
      <c r="U23" s="1574">
        <f>H23</f>
        <v>100</v>
      </c>
      <c r="V23" s="1573" t="s">
        <v>8</v>
      </c>
      <c r="W23" s="1574">
        <f>J23</f>
        <v>100</v>
      </c>
      <c r="X23" s="1567"/>
      <c r="Y23" s="342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20"/>
      <c r="Q24" s="1572"/>
      <c r="R24" s="1573"/>
      <c r="S24" s="1574"/>
      <c r="T24" s="1573"/>
      <c r="U24" s="1574"/>
      <c r="V24" s="1573"/>
      <c r="W24" s="1574"/>
      <c r="X24" s="1567"/>
      <c r="Y24" s="3420"/>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20"/>
      <c r="Q25" s="1150" t="str">
        <f t="shared" si="8"/>
        <v>公共配套设施</v>
      </c>
      <c r="R25" s="1568" t="s">
        <v>8</v>
      </c>
      <c r="S25" s="1569">
        <f>F25</f>
        <v>100</v>
      </c>
      <c r="T25" s="1568" t="s">
        <v>8</v>
      </c>
      <c r="U25" s="1569">
        <f>H25</f>
        <v>100</v>
      </c>
      <c r="V25" s="1568" t="s">
        <v>8</v>
      </c>
      <c r="W25" s="1569">
        <f>J25</f>
        <v>100</v>
      </c>
      <c r="X25" s="1570"/>
      <c r="Y25" s="3420"/>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20"/>
      <c r="Q26" s="1150"/>
      <c r="R26" s="1568"/>
      <c r="S26" s="1569"/>
      <c r="T26" s="1568"/>
      <c r="U26" s="1569"/>
      <c r="V26" s="1568"/>
      <c r="W26" s="1569"/>
      <c r="X26" s="1570"/>
      <c r="Y26" s="3420"/>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20"/>
      <c r="Q27" s="2555" t="str">
        <f t="shared" ref="Q27" si="9">B27</f>
        <v>基础设施水平</v>
      </c>
      <c r="R27" s="1568" t="s">
        <v>8</v>
      </c>
      <c r="S27" s="1569">
        <f>F27</f>
        <v>100</v>
      </c>
      <c r="T27" s="1568" t="s">
        <v>8</v>
      </c>
      <c r="U27" s="1569">
        <f>H27</f>
        <v>100</v>
      </c>
      <c r="V27" s="1568" t="s">
        <v>8</v>
      </c>
      <c r="W27" s="1569">
        <f>J27</f>
        <v>100</v>
      </c>
      <c r="X27" s="1570"/>
      <c r="Y27" s="3420"/>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20"/>
      <c r="Q28" s="2555"/>
      <c r="R28" s="1568"/>
      <c r="S28" s="1569"/>
      <c r="T28" s="1568"/>
      <c r="U28" s="1569"/>
      <c r="V28" s="1568"/>
      <c r="W28" s="1569"/>
      <c r="X28" s="1570"/>
      <c r="Y28" s="3420"/>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2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0"/>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20"/>
      <c r="Q30" s="1572" t="str">
        <f t="shared" si="8"/>
        <v>毗邻道路的类型与等级</v>
      </c>
      <c r="R30" s="1573" t="s">
        <v>8</v>
      </c>
      <c r="S30" s="1574">
        <f t="shared" si="10"/>
        <v>100</v>
      </c>
      <c r="T30" s="1573" t="s">
        <v>8</v>
      </c>
      <c r="U30" s="1574">
        <f t="shared" si="11"/>
        <v>100</v>
      </c>
      <c r="V30" s="1573" t="s">
        <v>8</v>
      </c>
      <c r="W30" s="1574">
        <f t="shared" si="12"/>
        <v>100</v>
      </c>
      <c r="X30" s="1567"/>
      <c r="Y30" s="3420"/>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20"/>
      <c r="Q31" s="1572"/>
      <c r="R31" s="1573"/>
      <c r="S31" s="1574"/>
      <c r="T31" s="1573"/>
      <c r="U31" s="1574"/>
      <c r="V31" s="1573"/>
      <c r="W31" s="1574"/>
      <c r="X31" s="1567"/>
      <c r="Y31" s="3420"/>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20"/>
      <c r="Q32" s="1572" t="str">
        <f t="shared" si="8"/>
        <v>土地级别</v>
      </c>
      <c r="R32" s="1573" t="s">
        <v>8</v>
      </c>
      <c r="S32" s="1574">
        <f t="shared" si="10"/>
        <v>100</v>
      </c>
      <c r="T32" s="1573" t="s">
        <v>8</v>
      </c>
      <c r="U32" s="1574">
        <f t="shared" si="11"/>
        <v>100</v>
      </c>
      <c r="V32" s="1573" t="s">
        <v>8</v>
      </c>
      <c r="W32" s="1574">
        <f t="shared" si="12"/>
        <v>100</v>
      </c>
      <c r="X32" s="1567"/>
      <c r="Y32" s="3420"/>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20"/>
      <c r="Q33" s="1572">
        <f t="shared" si="8"/>
        <v>111</v>
      </c>
      <c r="R33" s="1573" t="s">
        <v>8</v>
      </c>
      <c r="S33" s="1574">
        <f t="shared" si="10"/>
        <v>100</v>
      </c>
      <c r="T33" s="1573" t="s">
        <v>8</v>
      </c>
      <c r="U33" s="1574">
        <f t="shared" si="11"/>
        <v>100</v>
      </c>
      <c r="V33" s="1573" t="s">
        <v>8</v>
      </c>
      <c r="W33" s="1574">
        <f t="shared" si="12"/>
        <v>100</v>
      </c>
      <c r="X33" s="1567"/>
      <c r="Y33" s="3420"/>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1" t="s">
        <v>550</v>
      </c>
      <c r="Q34" s="1572">
        <f t="shared" si="8"/>
        <v>111</v>
      </c>
      <c r="R34" s="1573" t="s">
        <v>8</v>
      </c>
      <c r="S34" s="1574">
        <f t="shared" si="10"/>
        <v>100</v>
      </c>
      <c r="T34" s="1573" t="s">
        <v>8</v>
      </c>
      <c r="U34" s="1574">
        <f t="shared" si="11"/>
        <v>100</v>
      </c>
      <c r="V34" s="1573" t="s">
        <v>8</v>
      </c>
      <c r="W34" s="1574">
        <f t="shared" si="12"/>
        <v>100</v>
      </c>
      <c r="X34" s="1567"/>
      <c r="Y34" s="3422"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2"/>
      <c r="Q35" s="1572">
        <f t="shared" si="8"/>
        <v>111</v>
      </c>
      <c r="R35" s="1577" t="s">
        <v>8</v>
      </c>
      <c r="S35" s="1578">
        <f t="shared" si="10"/>
        <v>100</v>
      </c>
      <c r="T35" s="1577" t="s">
        <v>8</v>
      </c>
      <c r="U35" s="1578">
        <f t="shared" si="11"/>
        <v>100</v>
      </c>
      <c r="V35" s="1577" t="s">
        <v>8</v>
      </c>
      <c r="W35" s="1578">
        <f t="shared" si="12"/>
        <v>100</v>
      </c>
      <c r="X35" s="1579"/>
      <c r="Y35" s="3422"/>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2"/>
      <c r="Q36" s="1572" t="str">
        <f>B36</f>
        <v>宗地面积</v>
      </c>
      <c r="R36" s="1573" t="s">
        <v>8</v>
      </c>
      <c r="S36" s="1574" t="e">
        <f t="shared" si="10"/>
        <v>#N/A</v>
      </c>
      <c r="T36" s="1573" t="s">
        <v>8</v>
      </c>
      <c r="U36" s="1574" t="e">
        <f t="shared" si="11"/>
        <v>#N/A</v>
      </c>
      <c r="V36" s="1573" t="s">
        <v>8</v>
      </c>
      <c r="W36" s="1574" t="e">
        <f t="shared" si="12"/>
        <v>#N/A</v>
      </c>
      <c r="X36" s="1567"/>
      <c r="Y36" s="3422"/>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2"/>
      <c r="Q37" s="1572" t="str">
        <f t="shared" ref="Q37:Q42" si="14">B37</f>
        <v>宗地形状</v>
      </c>
      <c r="R37" s="1573" t="s">
        <v>8</v>
      </c>
      <c r="S37" s="1574">
        <f t="shared" si="10"/>
        <v>100</v>
      </c>
      <c r="T37" s="1573" t="s">
        <v>8</v>
      </c>
      <c r="U37" s="1574">
        <f t="shared" si="11"/>
        <v>100</v>
      </c>
      <c r="V37" s="1573" t="s">
        <v>8</v>
      </c>
      <c r="W37" s="1574">
        <f t="shared" si="12"/>
        <v>100</v>
      </c>
      <c r="X37" s="1567"/>
      <c r="Y37" s="3422"/>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2"/>
      <c r="Q38" s="1572" t="str">
        <f t="shared" si="14"/>
        <v>宗地开发程度</v>
      </c>
      <c r="R38" s="1568" t="s">
        <v>8</v>
      </c>
      <c r="S38" s="1569">
        <f t="shared" si="10"/>
        <v>100</v>
      </c>
      <c r="T38" s="1568" t="s">
        <v>8</v>
      </c>
      <c r="U38" s="1569">
        <f t="shared" si="11"/>
        <v>100</v>
      </c>
      <c r="V38" s="1568" t="s">
        <v>8</v>
      </c>
      <c r="W38" s="1569">
        <f t="shared" si="12"/>
        <v>100</v>
      </c>
      <c r="X38" s="1570"/>
      <c r="Y38" s="3422"/>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2" t="s">
        <v>601</v>
      </c>
      <c r="Q39" s="1572" t="str">
        <f t="shared" si="14"/>
        <v>工程地质条件</v>
      </c>
      <c r="R39" s="1573" t="s">
        <v>8</v>
      </c>
      <c r="S39" s="1574">
        <f t="shared" si="10"/>
        <v>100</v>
      </c>
      <c r="T39" s="1573" t="s">
        <v>8</v>
      </c>
      <c r="U39" s="1574">
        <f t="shared" si="11"/>
        <v>100</v>
      </c>
      <c r="V39" s="1573" t="s">
        <v>8</v>
      </c>
      <c r="W39" s="1574">
        <f t="shared" si="12"/>
        <v>100</v>
      </c>
      <c r="X39" s="1567"/>
      <c r="Y39" s="3422"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2"/>
      <c r="Q40" s="1572">
        <f t="shared" si="14"/>
        <v>111</v>
      </c>
      <c r="R40" s="1573" t="s">
        <v>8</v>
      </c>
      <c r="S40" s="1574">
        <f t="shared" si="10"/>
        <v>100</v>
      </c>
      <c r="T40" s="1573" t="s">
        <v>8</v>
      </c>
      <c r="U40" s="1574">
        <f t="shared" si="11"/>
        <v>100</v>
      </c>
      <c r="V40" s="1573" t="s">
        <v>8</v>
      </c>
      <c r="W40" s="1574">
        <f t="shared" si="12"/>
        <v>100</v>
      </c>
      <c r="X40" s="1567"/>
      <c r="Y40" s="342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2"/>
      <c r="Q41" s="1572">
        <f t="shared" si="14"/>
        <v>111</v>
      </c>
      <c r="R41" s="1573" t="s">
        <v>8</v>
      </c>
      <c r="S41" s="1574">
        <f t="shared" si="10"/>
        <v>100</v>
      </c>
      <c r="T41" s="1573" t="s">
        <v>8</v>
      </c>
      <c r="U41" s="1574">
        <f t="shared" si="11"/>
        <v>100</v>
      </c>
      <c r="V41" s="1573" t="s">
        <v>8</v>
      </c>
      <c r="W41" s="1574">
        <f t="shared" si="12"/>
        <v>100</v>
      </c>
      <c r="X41" s="1567"/>
      <c r="Y41" s="342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2"/>
      <c r="Q42" s="1572">
        <f t="shared" si="14"/>
        <v>111</v>
      </c>
      <c r="R42" s="1577" t="s">
        <v>8</v>
      </c>
      <c r="S42" s="1578">
        <f t="shared" si="10"/>
        <v>100</v>
      </c>
      <c r="T42" s="1577" t="s">
        <v>8</v>
      </c>
      <c r="U42" s="1578">
        <f t="shared" si="11"/>
        <v>100</v>
      </c>
      <c r="V42" s="1577" t="s">
        <v>8</v>
      </c>
      <c r="W42" s="1578">
        <f t="shared" si="12"/>
        <v>100</v>
      </c>
      <c r="X42" s="1579"/>
      <c r="Y42" s="3422"/>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384" t="str">
        <f>A43</f>
        <v>成交单价</v>
      </c>
      <c r="Q43" s="3384"/>
      <c r="R43" s="3385">
        <f>E43</f>
        <v>0</v>
      </c>
      <c r="S43" s="3385"/>
      <c r="T43" s="3385">
        <f>G43</f>
        <v>0</v>
      </c>
      <c r="U43" s="3385"/>
      <c r="V43" s="3385">
        <f>I43</f>
        <v>0</v>
      </c>
      <c r="W43" s="3385"/>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384" t="str">
        <f>A44</f>
        <v>比较价格（元/平方米）</v>
      </c>
      <c r="Q44" s="3384"/>
      <c r="R44" s="3386" t="e">
        <f>ROUND(PRODUCT(R43,AA9:AA42),0)</f>
        <v>#DIV/0!</v>
      </c>
      <c r="S44" s="3386"/>
      <c r="T44" s="3386" t="e">
        <f>ROUND(PRODUCT(T43,AB9:AB42),0)</f>
        <v>#DIV/0!</v>
      </c>
      <c r="U44" s="3386"/>
      <c r="V44" s="3386" t="e">
        <f>ROUND(PRODUCT(V43,AC9:AC42),0)</f>
        <v>#DIV/0!</v>
      </c>
      <c r="W44" s="3386"/>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381" t="str">
        <f>A45</f>
        <v>估价对象XX用房的比较价格（楼面单价，元/平方米）</v>
      </c>
      <c r="Q45" s="3382"/>
      <c r="R45" s="3383" t="e">
        <f>ROUND(AVERAGE(R44:V44),0)</f>
        <v>#DIV/0!</v>
      </c>
      <c r="S45" s="3383"/>
      <c r="T45" s="3383"/>
      <c r="U45" s="3383"/>
      <c r="V45" s="3383"/>
      <c r="W45" s="3383"/>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5" t="s">
        <v>2282</v>
      </c>
      <c r="H52" s="3436"/>
      <c r="I52" s="1950" t="s">
        <v>1946</v>
      </c>
      <c r="J52" s="1555" t="str">
        <f>项目基本情况!F41</f>
        <v>山东省潍坊市高密市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1066664.8</v>
      </c>
      <c r="F53" s="1948" t="e">
        <f t="shared" ref="F53:F62" si="15">ROUND(B53*E53/10000,0)</f>
        <v>#DIV/0!</v>
      </c>
      <c r="G53" s="3437"/>
      <c r="H53" s="3438"/>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9"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9"/>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9"/>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9"/>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266666.2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49"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v>
      </c>
      <c r="AA7" s="2190"/>
      <c r="AB7" s="2190"/>
      <c r="AC7" s="2191"/>
      <c r="AD7" s="2905"/>
      <c r="AE7" s="2905"/>
      <c r="AF7" s="2905"/>
      <c r="AG7" s="2905"/>
      <c r="AH7" s="2905"/>
      <c r="AI7" s="2905"/>
      <c r="AJ7" s="2906"/>
    </row>
    <row r="8" spans="1:39" ht="15">
      <c r="A8" s="3450"/>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41" t="s">
        <v>2779</v>
      </c>
      <c r="X8" s="3442"/>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50"/>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40"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50"/>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40"/>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50"/>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40" t="s">
        <v>2777</v>
      </c>
      <c r="X11" s="1047" t="s">
        <v>2762</v>
      </c>
      <c r="Y11" s="1653">
        <f>$G$3</f>
        <v>4</v>
      </c>
      <c r="Z11" s="1653">
        <f t="shared" ref="Z11:AJ11" si="3">$G$3</f>
        <v>4</v>
      </c>
      <c r="AA11" s="1653">
        <f t="shared" si="3"/>
        <v>4</v>
      </c>
      <c r="AB11" s="1653">
        <f t="shared" si="3"/>
        <v>4</v>
      </c>
      <c r="AC11" s="1653">
        <f t="shared" si="3"/>
        <v>4</v>
      </c>
      <c r="AD11" s="1653">
        <f t="shared" si="3"/>
        <v>4</v>
      </c>
      <c r="AE11" s="1653">
        <f t="shared" si="3"/>
        <v>4</v>
      </c>
      <c r="AF11" s="1653">
        <f t="shared" si="3"/>
        <v>4</v>
      </c>
      <c r="AG11" s="1653">
        <f t="shared" si="3"/>
        <v>4</v>
      </c>
      <c r="AH11" s="1653">
        <f t="shared" si="3"/>
        <v>4</v>
      </c>
      <c r="AI11" s="1653">
        <f t="shared" si="3"/>
        <v>4</v>
      </c>
      <c r="AJ11" s="1653">
        <f t="shared" si="3"/>
        <v>4</v>
      </c>
    </row>
    <row r="12" spans="1:39" ht="25.5" thickBot="1">
      <c r="A12" s="3449"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40"/>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51"/>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40"/>
      <c r="X13" s="2910"/>
      <c r="Y13" s="2909">
        <f>(-0.163*(Y12^2)-0.59*Y12+7617)*(10^(-4))/Y11</f>
        <v>0.19042500000000001</v>
      </c>
      <c r="Z13" s="2909">
        <f t="shared" ref="Z13:AJ13" si="5">(-0.163*(Z12^2)-0.59*Z12+7617)*(10^(-4))/Z11</f>
        <v>0.19042500000000001</v>
      </c>
      <c r="AA13" s="2909">
        <f t="shared" si="5"/>
        <v>0.19042500000000001</v>
      </c>
      <c r="AB13" s="2909">
        <f t="shared" si="5"/>
        <v>0.19042500000000001</v>
      </c>
      <c r="AC13" s="2909">
        <f t="shared" si="5"/>
        <v>0.19042500000000001</v>
      </c>
      <c r="AD13" s="2909">
        <f t="shared" si="5"/>
        <v>0.19042500000000001</v>
      </c>
      <c r="AE13" s="2909">
        <f t="shared" si="5"/>
        <v>0.19042500000000001</v>
      </c>
      <c r="AF13" s="2909">
        <f t="shared" si="5"/>
        <v>0.19042500000000001</v>
      </c>
      <c r="AG13" s="2909">
        <f t="shared" si="5"/>
        <v>0.19042500000000001</v>
      </c>
      <c r="AH13" s="2909">
        <f t="shared" si="5"/>
        <v>0.19042500000000001</v>
      </c>
      <c r="AI13" s="2909">
        <f t="shared" si="5"/>
        <v>0.19042500000000001</v>
      </c>
      <c r="AJ13" s="2909">
        <f t="shared" si="5"/>
        <v>0.19042500000000001</v>
      </c>
    </row>
    <row r="14" spans="1:39" ht="12.75" customHeight="1" thickBot="1">
      <c r="A14" s="3451"/>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52"/>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49"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50"/>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43468</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5"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6"/>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6"/>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7"/>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53" t="s">
        <v>1634</v>
      </c>
      <c r="B90" s="3453"/>
      <c r="C90" s="3453"/>
      <c r="D90" s="3453"/>
      <c r="E90" s="3453"/>
      <c r="F90" s="3453"/>
      <c r="G90" s="3453"/>
      <c r="H90" s="3453"/>
      <c r="I90" s="3453"/>
      <c r="J90" s="3453"/>
      <c r="K90" s="2427"/>
      <c r="L90" s="2427"/>
      <c r="M90" s="2427"/>
      <c r="N90" s="2427"/>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43"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44"/>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44"/>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44"/>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44"/>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44"/>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44"/>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48" t="s">
        <v>1640</v>
      </c>
      <c r="B110" s="3448"/>
      <c r="C110" s="3448"/>
      <c r="D110" s="3448"/>
      <c r="E110" s="3448"/>
      <c r="F110" s="3448"/>
      <c r="G110" s="3448"/>
      <c r="H110" s="3448"/>
      <c r="I110" s="3448"/>
      <c r="J110" s="3448"/>
      <c r="K110" s="2425"/>
      <c r="L110" s="2425"/>
      <c r="M110" s="2425"/>
      <c r="N110" s="2425"/>
    </row>
    <row r="112" spans="1:14" ht="12.75" thickBot="1"/>
    <row r="113" spans="1:13" ht="25.5" thickBot="1">
      <c r="A113" s="1015" t="s">
        <v>896</v>
      </c>
      <c r="B113" s="2428">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4" t="s">
        <v>1008</v>
      </c>
      <c r="B18" s="1153" t="s">
        <v>1447</v>
      </c>
      <c r="C18" s="1130" t="s">
        <v>1448</v>
      </c>
      <c r="D18" s="1131"/>
      <c r="E18" s="1153">
        <v>1</v>
      </c>
      <c r="F18" s="1132" t="s">
        <v>1449</v>
      </c>
      <c r="G18" s="1133"/>
      <c r="H18" s="1104"/>
      <c r="I18" s="1104"/>
    </row>
    <row r="19" spans="1:9" s="1599" customFormat="1" ht="19.5" customHeight="1">
      <c r="A19" s="3454"/>
      <c r="B19" s="3454" t="s">
        <v>1450</v>
      </c>
      <c r="C19" s="1130" t="s">
        <v>1451</v>
      </c>
      <c r="D19" s="1131"/>
      <c r="E19" s="1153">
        <v>0.9</v>
      </c>
      <c r="F19" s="1132" t="s">
        <v>1452</v>
      </c>
      <c r="G19" s="1133"/>
      <c r="H19" s="1104"/>
      <c r="I19" s="1104"/>
    </row>
    <row r="20" spans="1:9" s="1599" customFormat="1" ht="19.5" customHeight="1">
      <c r="A20" s="3454"/>
      <c r="B20" s="3454"/>
      <c r="C20" s="1130" t="s">
        <v>1453</v>
      </c>
      <c r="D20" s="1131"/>
      <c r="E20" s="1153">
        <v>1.1000000000000001</v>
      </c>
      <c r="F20" s="1132" t="s">
        <v>1454</v>
      </c>
      <c r="G20" s="1133"/>
      <c r="H20" s="1104"/>
      <c r="I20" s="1104"/>
    </row>
    <row r="21" spans="1:9" s="1599" customFormat="1" ht="19.5" customHeight="1">
      <c r="A21" s="3454"/>
      <c r="B21" s="3454"/>
      <c r="C21" s="1130" t="s">
        <v>1455</v>
      </c>
      <c r="D21" s="1131"/>
      <c r="E21" s="1153">
        <v>0.8</v>
      </c>
      <c r="F21" s="1132" t="s">
        <v>1456</v>
      </c>
      <c r="G21" s="1133"/>
      <c r="H21" s="1104"/>
      <c r="I21" s="1104"/>
    </row>
    <row r="22" spans="1:9" s="1599" customFormat="1" ht="19.5" customHeight="1">
      <c r="A22" s="3454"/>
      <c r="B22" s="3454"/>
      <c r="C22" s="1130" t="s">
        <v>1457</v>
      </c>
      <c r="D22" s="1131"/>
      <c r="E22" s="1153">
        <v>0.5</v>
      </c>
      <c r="F22" s="1132"/>
      <c r="G22" s="1133"/>
      <c r="H22" s="1104"/>
      <c r="I22" s="1104"/>
    </row>
    <row r="23" spans="1:9" s="1599" customFormat="1" ht="19.5" customHeight="1">
      <c r="A23" s="3454" t="s">
        <v>1030</v>
      </c>
      <c r="B23" s="1153" t="s">
        <v>1447</v>
      </c>
      <c r="C23" s="1130" t="s">
        <v>1458</v>
      </c>
      <c r="D23" s="1131"/>
      <c r="E23" s="1153">
        <v>1</v>
      </c>
      <c r="F23" s="1132" t="s">
        <v>1459</v>
      </c>
      <c r="G23" s="1133"/>
      <c r="H23" s="1104"/>
      <c r="I23" s="1104"/>
    </row>
    <row r="24" spans="1:9" s="1599" customFormat="1" ht="19.5" customHeight="1">
      <c r="A24" s="3454"/>
      <c r="B24" s="3454" t="s">
        <v>1450</v>
      </c>
      <c r="C24" s="1130" t="s">
        <v>1460</v>
      </c>
      <c r="D24" s="1131"/>
      <c r="E24" s="1153">
        <v>0.5</v>
      </c>
      <c r="F24" s="1132"/>
      <c r="G24" s="1133"/>
      <c r="H24" s="1104"/>
      <c r="I24" s="1104"/>
    </row>
    <row r="25" spans="1:9" s="1599" customFormat="1" ht="19.5" customHeight="1">
      <c r="A25" s="3454"/>
      <c r="B25" s="3454"/>
      <c r="C25" s="1130" t="s">
        <v>1461</v>
      </c>
      <c r="D25" s="1131"/>
      <c r="E25" s="1153">
        <v>1.1000000000000001</v>
      </c>
      <c r="F25" s="1132"/>
      <c r="G25" s="1133"/>
      <c r="H25" s="1104"/>
      <c r="I25" s="1104"/>
    </row>
    <row r="26" spans="1:9" s="1599" customFormat="1" ht="19.5" customHeight="1">
      <c r="A26" s="3454"/>
      <c r="B26" s="3454"/>
      <c r="C26" s="1130" t="s">
        <v>1462</v>
      </c>
      <c r="D26" s="1131"/>
      <c r="E26" s="1153">
        <v>1.1000000000000001</v>
      </c>
      <c r="F26" s="1132"/>
      <c r="G26" s="1133"/>
      <c r="H26" s="1104"/>
      <c r="I26" s="1104"/>
    </row>
    <row r="27" spans="1:9" s="1599" customFormat="1" ht="19.5" customHeight="1">
      <c r="A27" s="3454"/>
      <c r="B27" s="3454"/>
      <c r="C27" s="1130" t="s">
        <v>1463</v>
      </c>
      <c r="D27" s="1131"/>
      <c r="E27" s="1153">
        <v>0.9</v>
      </c>
      <c r="F27" s="1132" t="s">
        <v>1464</v>
      </c>
      <c r="G27" s="1133"/>
      <c r="H27" s="1104"/>
      <c r="I27" s="1104"/>
    </row>
    <row r="28" spans="1:9" s="1599" customFormat="1" ht="19.5" customHeight="1">
      <c r="A28" s="3454"/>
      <c r="B28" s="3454"/>
      <c r="C28" s="1130" t="s">
        <v>1465</v>
      </c>
      <c r="D28" s="1131"/>
      <c r="E28" s="1153">
        <v>0.9</v>
      </c>
      <c r="F28" s="1132" t="s">
        <v>1466</v>
      </c>
      <c r="G28" s="1133"/>
      <c r="H28" s="1104"/>
      <c r="I28" s="1104"/>
    </row>
    <row r="29" spans="1:9" s="1599" customFormat="1" ht="19.5" customHeight="1">
      <c r="A29" s="3454"/>
      <c r="B29" s="3454"/>
      <c r="C29" s="1130" t="s">
        <v>1467</v>
      </c>
      <c r="D29" s="1131"/>
      <c r="E29" s="1153">
        <v>0.9</v>
      </c>
      <c r="F29" s="1132" t="s">
        <v>1468</v>
      </c>
      <c r="G29" s="1133"/>
      <c r="H29" s="1104"/>
      <c r="I29" s="1104"/>
    </row>
    <row r="30" spans="1:9" s="1599" customFormat="1" ht="19.5" customHeight="1">
      <c r="A30" s="3454"/>
      <c r="B30" s="3454"/>
      <c r="C30" s="1130" t="s">
        <v>1469</v>
      </c>
      <c r="D30" s="1131"/>
      <c r="E30" s="1153">
        <v>0.9</v>
      </c>
      <c r="F30" s="1132" t="s">
        <v>1470</v>
      </c>
      <c r="G30" s="1133"/>
      <c r="H30" s="1104"/>
      <c r="I30" s="1104"/>
    </row>
    <row r="31" spans="1:9" s="1599" customFormat="1" ht="19.5" customHeight="1">
      <c r="A31" s="3454"/>
      <c r="B31" s="3454"/>
      <c r="C31" s="1130" t="s">
        <v>1471</v>
      </c>
      <c r="D31" s="1131"/>
      <c r="E31" s="1153">
        <v>0.8</v>
      </c>
      <c r="F31" s="1132" t="s">
        <v>1472</v>
      </c>
      <c r="G31" s="1133"/>
      <c r="H31" s="1104"/>
      <c r="I31" s="1104"/>
    </row>
    <row r="32" spans="1:9" s="1599" customFormat="1" ht="19.5" customHeight="1">
      <c r="A32" s="3454"/>
      <c r="B32" s="3454"/>
      <c r="C32" s="1130" t="s">
        <v>1473</v>
      </c>
      <c r="D32" s="1131"/>
      <c r="E32" s="1153">
        <v>0.8</v>
      </c>
      <c r="F32" s="1132" t="s">
        <v>1474</v>
      </c>
      <c r="G32" s="1133"/>
      <c r="H32" s="1104"/>
      <c r="I32" s="1104"/>
    </row>
    <row r="33" spans="1:9" s="1599" customFormat="1" ht="19.5" customHeight="1">
      <c r="A33" s="3454" t="s">
        <v>1475</v>
      </c>
      <c r="B33" s="1153" t="s">
        <v>1447</v>
      </c>
      <c r="C33" s="1130" t="s">
        <v>1476</v>
      </c>
      <c r="D33" s="1131"/>
      <c r="E33" s="1153">
        <v>1</v>
      </c>
      <c r="F33" s="1132" t="s">
        <v>1477</v>
      </c>
      <c r="G33" s="1133"/>
      <c r="H33" s="1104"/>
      <c r="I33" s="1104"/>
    </row>
    <row r="34" spans="1:9" s="1599" customFormat="1" ht="19.5" customHeight="1">
      <c r="A34" s="3454"/>
      <c r="B34" s="1153" t="s">
        <v>1450</v>
      </c>
      <c r="C34" s="1130" t="s">
        <v>1478</v>
      </c>
      <c r="D34" s="1131"/>
      <c r="E34" s="1153">
        <v>1.5</v>
      </c>
      <c r="F34" s="1132" t="s">
        <v>1479</v>
      </c>
      <c r="G34" s="1133"/>
      <c r="H34" s="1104"/>
      <c r="I34" s="1104"/>
    </row>
    <row r="35" spans="1:9" s="1599" customFormat="1" ht="19.5" customHeight="1">
      <c r="A35" s="3454" t="s">
        <v>1433</v>
      </c>
      <c r="B35" s="1153" t="s">
        <v>1447</v>
      </c>
      <c r="C35" s="1130" t="s">
        <v>1480</v>
      </c>
      <c r="D35" s="1131"/>
      <c r="E35" s="1153">
        <v>1</v>
      </c>
      <c r="F35" s="1132" t="s">
        <v>1481</v>
      </c>
      <c r="G35" s="1133"/>
      <c r="H35" s="1104"/>
      <c r="I35" s="1104"/>
    </row>
    <row r="36" spans="1:9" s="1599" customFormat="1" ht="19.5" customHeight="1">
      <c r="A36" s="3454"/>
      <c r="B36" s="3454" t="s">
        <v>1450</v>
      </c>
      <c r="C36" s="1130" t="s">
        <v>1482</v>
      </c>
      <c r="D36" s="1131"/>
      <c r="E36" s="1153">
        <v>1</v>
      </c>
      <c r="F36" s="1132" t="s">
        <v>1483</v>
      </c>
      <c r="G36" s="1133"/>
      <c r="H36" s="1104"/>
      <c r="I36" s="1104"/>
    </row>
    <row r="37" spans="1:9" s="1599" customFormat="1" ht="19.5" customHeight="1">
      <c r="A37" s="3454"/>
      <c r="B37" s="3454"/>
      <c r="C37" s="1130" t="s">
        <v>1484</v>
      </c>
      <c r="D37" s="1131"/>
      <c r="E37" s="1153">
        <v>1.5</v>
      </c>
      <c r="F37" s="1132" t="s">
        <v>1485</v>
      </c>
      <c r="G37" s="1133"/>
      <c r="H37" s="1104"/>
      <c r="I37" s="1104"/>
    </row>
    <row r="38" spans="1:9" s="1599" customFormat="1" ht="19.5" customHeight="1">
      <c r="A38" s="3454"/>
      <c r="B38" s="3454"/>
      <c r="C38" s="1130" t="s">
        <v>1486</v>
      </c>
      <c r="D38" s="1131"/>
      <c r="E38" s="1153">
        <v>1</v>
      </c>
      <c r="F38" s="1132" t="s">
        <v>1487</v>
      </c>
      <c r="G38" s="1133"/>
      <c r="H38" s="1104"/>
      <c r="I38" s="1104"/>
    </row>
    <row r="39" spans="1:9" s="1599" customFormat="1" ht="19.5" customHeight="1">
      <c r="A39" s="3454"/>
      <c r="B39" s="3454"/>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2" t="s">
        <v>2077</v>
      </c>
      <c r="B1" s="3462"/>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5" t="s">
        <v>2459</v>
      </c>
      <c r="C8" s="1823">
        <f ca="1">ROUND(F8*F10*F9*(1-F11)/10000,0)</f>
        <v>0</v>
      </c>
      <c r="D8" s="1820" t="s">
        <v>2530</v>
      </c>
      <c r="E8" s="61" t="s">
        <v>637</v>
      </c>
      <c r="F8" s="784">
        <f ca="1">INDIRECT("'数据-取费表'!u"&amp;$G$1)</f>
        <v>0</v>
      </c>
      <c r="G8" s="1592"/>
      <c r="H8" s="2481" t="s">
        <v>1825</v>
      </c>
      <c r="I8" s="3425" t="s">
        <v>2459</v>
      </c>
      <c r="J8" s="782">
        <f ca="1">ROUND(M8*M10*M9*(1-M11)/10000,0)</f>
        <v>0</v>
      </c>
      <c r="K8" s="340" t="s">
        <v>2530</v>
      </c>
      <c r="L8" s="783" t="s">
        <v>1739</v>
      </c>
      <c r="M8" s="784">
        <f ca="1">INDIRECT("'数据-取费表'!z"&amp;$G$1)</f>
        <v>0</v>
      </c>
    </row>
    <row r="9" spans="1:25" ht="18" customHeight="1">
      <c r="A9" s="2477"/>
      <c r="B9" s="3426"/>
      <c r="C9" s="1824"/>
      <c r="D9" s="1821"/>
      <c r="E9" s="61" t="s">
        <v>638</v>
      </c>
      <c r="F9" s="784">
        <f ca="1">IF(INDIRECT("'数据-取费表'!ah"&amp;$G$1)="",INDIRECT("'数据-取费表'!k"&amp;$G$1),INDIRECT("'数据-取费表'!ah"&amp;$G$1))</f>
        <v>0</v>
      </c>
      <c r="G9" s="1592"/>
      <c r="H9" s="2466"/>
      <c r="I9" s="3426"/>
      <c r="J9" s="787"/>
      <c r="K9" s="788"/>
      <c r="L9" s="783" t="s">
        <v>1740</v>
      </c>
      <c r="M9" s="784">
        <f ca="1">F9</f>
        <v>0</v>
      </c>
    </row>
    <row r="10" spans="1:25" ht="18" customHeight="1">
      <c r="A10" s="2470"/>
      <c r="B10" s="3427"/>
      <c r="C10" s="1824"/>
      <c r="D10" s="1821"/>
      <c r="E10" s="61" t="s">
        <v>639</v>
      </c>
      <c r="F10" s="784">
        <f ca="1">INDIRECT("'数据-取费表'!ai"&amp;$G$1)</f>
        <v>0</v>
      </c>
      <c r="G10" s="1592"/>
      <c r="H10" s="2466"/>
      <c r="I10" s="3427"/>
      <c r="J10" s="787"/>
      <c r="K10" s="788"/>
      <c r="L10" s="783" t="s">
        <v>1741</v>
      </c>
      <c r="M10" s="784">
        <f ca="1">INDIRECT("'数据-取费表'!ai"&amp;$G$1)</f>
        <v>0</v>
      </c>
    </row>
    <row r="11" spans="1:25" ht="18" customHeight="1">
      <c r="A11" s="785"/>
      <c r="B11" s="3428"/>
      <c r="C11" s="1824"/>
      <c r="D11" s="1821"/>
      <c r="E11" s="61" t="s">
        <v>640</v>
      </c>
      <c r="F11" s="793">
        <f ca="1">INDIRECT("'数据-取费表'!w"&amp;$G$1)</f>
        <v>0</v>
      </c>
      <c r="G11" s="1592"/>
      <c r="H11" s="2482"/>
      <c r="I11" s="3427"/>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2.5000000000000001E-2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1.8E-3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3"/>
      <c r="J36" s="2077"/>
      <c r="K36" s="2078"/>
      <c r="L36" s="2077"/>
      <c r="M36" s="2077"/>
    </row>
    <row r="37" spans="1:18" ht="18" customHeight="1">
      <c r="A37" s="814"/>
      <c r="B37" s="792"/>
      <c r="C37" s="69"/>
      <c r="D37" s="815"/>
      <c r="E37" s="783" t="s">
        <v>674</v>
      </c>
      <c r="F37" s="784">
        <f ca="1">INDIRECT("'数据-取费表'!r"&amp;$G$1)</f>
        <v>0</v>
      </c>
      <c r="G37" s="2060"/>
      <c r="H37" s="2063"/>
      <c r="I37" s="3463"/>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v>
      </c>
      <c r="K54" s="3464"/>
      <c r="L54" s="3465"/>
      <c r="O54" s="2378" t="s">
        <v>2384</v>
      </c>
      <c r="P54" s="2376" t="s">
        <v>2385</v>
      </c>
      <c r="Q54" s="2377">
        <f ca="1">J54</f>
        <v>-3</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本次估价对象为出让国有建设用地使用权，《国有土地使用证》[高国用（2005）第493号]证载土地终止日期为商业2045年4月3日。截至估价期日，出让国有建设用地使用权剩余土地使用年限为商业用地26.26年。</v>
      </c>
    </row>
    <row r="23" spans="1:1" ht="18.75">
      <c r="A23" s="1789" t="str">
        <f>IF(项目基本情况!B16="出让","本次评估设定估价对象剩余土地使用年限为"&amp;项目基本情况!D20&amp;"。","")</f>
        <v>本次评估设定估价对象剩余土地使用年限为商业用地26.26年。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72" t="s">
        <v>2572</v>
      </c>
      <c r="C1" s="3472"/>
      <c r="D1" s="3472"/>
      <c r="E1" s="3472"/>
      <c r="F1" s="3472"/>
      <c r="G1" s="3471" t="s">
        <v>2573</v>
      </c>
      <c r="H1" s="3471"/>
      <c r="I1" s="3471"/>
      <c r="J1" s="3471"/>
      <c r="K1" s="3471"/>
      <c r="L1" s="3471"/>
      <c r="N1" s="3471" t="s">
        <v>2574</v>
      </c>
      <c r="O1" s="3471"/>
      <c r="P1" s="3471"/>
      <c r="Q1" s="3471"/>
      <c r="R1" s="2631"/>
      <c r="S1" s="3471" t="s">
        <v>2575</v>
      </c>
      <c r="T1" s="3471"/>
      <c r="U1" s="3471"/>
      <c r="V1" s="3471"/>
      <c r="X1" s="3470" t="s">
        <v>2635</v>
      </c>
      <c r="Y1" s="3471"/>
      <c r="Z1" s="3471"/>
      <c r="AA1" s="3471"/>
      <c r="AB1" s="3471"/>
      <c r="AD1" s="3470" t="s">
        <v>2639</v>
      </c>
      <c r="AE1" s="3471"/>
      <c r="AF1" s="3471"/>
      <c r="AG1" s="3471"/>
      <c r="AH1" s="3471"/>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69">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7"/>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7"/>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8"/>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6">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7"/>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7"/>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8"/>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6">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7"/>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7"/>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8"/>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73">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4"/>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4"/>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5"/>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66">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67"/>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67"/>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68"/>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66">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7">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67">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68">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66">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7">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67">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68">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66">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7">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67">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68">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66">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7">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67">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68">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66">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7">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67">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68">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66">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7">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67">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68">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66">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7">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67">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68">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66">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7">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67">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68">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66">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67">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67">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68">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66">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67">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67">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68">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2467</v>
      </c>
      <c r="B1" s="3477"/>
      <c r="C1" s="3478"/>
      <c r="D1" s="3479">
        <f>SUM(I10,I15,I20,I21,I23)</f>
        <v>0</v>
      </c>
      <c r="E1" s="3479"/>
      <c r="F1" s="3479"/>
      <c r="G1" s="3479"/>
      <c r="H1" s="3479"/>
      <c r="I1" s="3480"/>
    </row>
    <row r="2" spans="1:9">
      <c r="A2" s="3481" t="s">
        <v>2468</v>
      </c>
      <c r="B2" s="3482" t="s">
        <v>2469</v>
      </c>
      <c r="C2" s="3482"/>
      <c r="D2" s="2484" t="s">
        <v>2470</v>
      </c>
      <c r="E2" s="2484" t="s">
        <v>2471</v>
      </c>
      <c r="F2" s="2484" t="s">
        <v>2472</v>
      </c>
      <c r="G2" s="2484" t="s">
        <v>2473</v>
      </c>
      <c r="H2" s="2484" t="s">
        <v>2474</v>
      </c>
      <c r="I2" s="2485" t="s">
        <v>2475</v>
      </c>
    </row>
    <row r="3" spans="1:9">
      <c r="A3" s="3481"/>
      <c r="B3" s="3482" t="s">
        <v>2476</v>
      </c>
      <c r="C3" s="3482"/>
      <c r="D3" s="2486"/>
      <c r="E3" s="2484"/>
      <c r="F3" s="2487"/>
      <c r="G3" s="2487"/>
      <c r="H3" s="2488"/>
      <c r="I3" s="2489">
        <f>ROUND(D3*E3*F3*G3*H3/10000,0)</f>
        <v>0</v>
      </c>
    </row>
    <row r="4" spans="1:9">
      <c r="A4" s="3481"/>
      <c r="B4" s="3482" t="s">
        <v>2477</v>
      </c>
      <c r="C4" s="3482"/>
      <c r="D4" s="2486"/>
      <c r="E4" s="2484"/>
      <c r="F4" s="2487"/>
      <c r="G4" s="2487"/>
      <c r="H4" s="2488"/>
      <c r="I4" s="2489">
        <f t="shared" ref="I4:I9" si="0">ROUND(D4*E4*F4*G4*H4/10000,0)</f>
        <v>0</v>
      </c>
    </row>
    <row r="5" spans="1:9">
      <c r="A5" s="3481"/>
      <c r="B5" s="3482" t="s">
        <v>2478</v>
      </c>
      <c r="C5" s="3482"/>
      <c r="D5" s="2486"/>
      <c r="E5" s="2484"/>
      <c r="F5" s="2487"/>
      <c r="G5" s="2487"/>
      <c r="H5" s="2488"/>
      <c r="I5" s="2489">
        <f t="shared" si="0"/>
        <v>0</v>
      </c>
    </row>
    <row r="6" spans="1:9">
      <c r="A6" s="3481"/>
      <c r="B6" s="3482" t="s">
        <v>2479</v>
      </c>
      <c r="C6" s="3482"/>
      <c r="D6" s="2486"/>
      <c r="E6" s="2484"/>
      <c r="F6" s="2487"/>
      <c r="G6" s="2487"/>
      <c r="H6" s="2488"/>
      <c r="I6" s="2489">
        <f t="shared" si="0"/>
        <v>0</v>
      </c>
    </row>
    <row r="7" spans="1:9">
      <c r="A7" s="3481"/>
      <c r="B7" s="3482" t="s">
        <v>2480</v>
      </c>
      <c r="C7" s="3482"/>
      <c r="D7" s="2486"/>
      <c r="E7" s="2484"/>
      <c r="F7" s="2487"/>
      <c r="G7" s="2487"/>
      <c r="H7" s="2488"/>
      <c r="I7" s="2489">
        <f t="shared" si="0"/>
        <v>0</v>
      </c>
    </row>
    <row r="8" spans="1:9">
      <c r="A8" s="3481"/>
      <c r="B8" s="3482" t="s">
        <v>2481</v>
      </c>
      <c r="C8" s="3482"/>
      <c r="D8" s="2486"/>
      <c r="E8" s="2484"/>
      <c r="F8" s="2487"/>
      <c r="G8" s="2487"/>
      <c r="H8" s="2488"/>
      <c r="I8" s="2489">
        <f t="shared" si="0"/>
        <v>0</v>
      </c>
    </row>
    <row r="9" spans="1:9">
      <c r="A9" s="3481"/>
      <c r="B9" s="3482" t="s">
        <v>2482</v>
      </c>
      <c r="C9" s="3482"/>
      <c r="D9" s="2486"/>
      <c r="E9" s="2484"/>
      <c r="F9" s="2487"/>
      <c r="G9" s="2487"/>
      <c r="H9" s="2488"/>
      <c r="I9" s="2489">
        <f t="shared" si="0"/>
        <v>0</v>
      </c>
    </row>
    <row r="10" spans="1:9">
      <c r="A10" s="3481"/>
      <c r="B10" s="3483" t="s">
        <v>2483</v>
      </c>
      <c r="C10" s="3483"/>
      <c r="D10" s="2490">
        <v>527</v>
      </c>
      <c r="E10" s="2490" t="e">
        <f>ROUND(D1*10000/D10/H9,0)</f>
        <v>#DIV/0!</v>
      </c>
      <c r="F10" s="2491"/>
      <c r="G10" s="2491"/>
      <c r="H10" s="2492"/>
      <c r="I10" s="2493">
        <f>SUM(I3:I9)</f>
        <v>0</v>
      </c>
    </row>
    <row r="11" spans="1:9" ht="14.25">
      <c r="A11" s="3481" t="s">
        <v>2484</v>
      </c>
      <c r="B11" s="3482" t="s">
        <v>2485</v>
      </c>
      <c r="C11" s="3482"/>
      <c r="D11" s="2486" t="s">
        <v>2486</v>
      </c>
      <c r="E11" s="2486" t="s">
        <v>2487</v>
      </c>
      <c r="F11" s="2487" t="s">
        <v>2488</v>
      </c>
      <c r="G11" s="2487" t="s">
        <v>2489</v>
      </c>
      <c r="H11" s="2494" t="s">
        <v>2490</v>
      </c>
      <c r="I11" s="2485" t="s">
        <v>2491</v>
      </c>
    </row>
    <row r="12" spans="1:9">
      <c r="A12" s="3481"/>
      <c r="B12" s="3482" t="s">
        <v>2492</v>
      </c>
      <c r="C12" s="3482"/>
      <c r="D12" s="2486"/>
      <c r="E12" s="2486"/>
      <c r="F12" s="2487"/>
      <c r="G12" s="2488"/>
      <c r="H12" s="2495"/>
      <c r="I12" s="2485">
        <f>ROUND(D12*E12*F12*G12/10000,0)</f>
        <v>0</v>
      </c>
    </row>
    <row r="13" spans="1:9">
      <c r="A13" s="3481"/>
      <c r="B13" s="3482" t="s">
        <v>2493</v>
      </c>
      <c r="C13" s="3482"/>
      <c r="D13" s="2486"/>
      <c r="E13" s="2486"/>
      <c r="F13" s="2487"/>
      <c r="G13" s="2488"/>
      <c r="H13" s="2495"/>
      <c r="I13" s="2485">
        <f>ROUND(D13*E13*F13*G13/10000,0)</f>
        <v>0</v>
      </c>
    </row>
    <row r="14" spans="1:9">
      <c r="A14" s="3481"/>
      <c r="B14" s="3482" t="s">
        <v>2494</v>
      </c>
      <c r="C14" s="3482"/>
      <c r="D14" s="2486"/>
      <c r="E14" s="2486"/>
      <c r="F14" s="2487"/>
      <c r="G14" s="2488"/>
      <c r="H14" s="2495"/>
      <c r="I14" s="2485">
        <f>ROUND(D14*E14*F14*G14/10000,0)</f>
        <v>0</v>
      </c>
    </row>
    <row r="15" spans="1:9">
      <c r="A15" s="3481"/>
      <c r="B15" s="3483" t="s">
        <v>2483</v>
      </c>
      <c r="C15" s="3483"/>
      <c r="D15" s="2490"/>
      <c r="E15" s="2490">
        <f>SUM(E12:E14)</f>
        <v>0</v>
      </c>
      <c r="F15" s="2491"/>
      <c r="G15" s="2488"/>
      <c r="H15" s="2495"/>
      <c r="I15" s="2496">
        <f>SUM(I12:I14)</f>
        <v>0</v>
      </c>
    </row>
    <row r="16" spans="1:9" ht="24">
      <c r="A16" s="3481" t="s">
        <v>2495</v>
      </c>
      <c r="B16" s="3482" t="s">
        <v>2496</v>
      </c>
      <c r="C16" s="3482"/>
      <c r="D16" s="2486" t="s">
        <v>2497</v>
      </c>
      <c r="E16" s="2497" t="s">
        <v>2498</v>
      </c>
      <c r="F16" s="2487" t="s">
        <v>2499</v>
      </c>
      <c r="G16" s="2488" t="s">
        <v>2489</v>
      </c>
      <c r="H16" s="2494" t="s">
        <v>2490</v>
      </c>
      <c r="I16" s="2485" t="s">
        <v>2491</v>
      </c>
    </row>
    <row r="17" spans="1:9" ht="14.25">
      <c r="A17" s="3481"/>
      <c r="B17" s="3482" t="s">
        <v>2500</v>
      </c>
      <c r="C17" s="3482"/>
      <c r="D17" s="2486"/>
      <c r="E17" s="2486"/>
      <c r="F17" s="2487"/>
      <c r="G17" s="2488"/>
      <c r="H17" s="2498"/>
      <c r="I17" s="2499">
        <f>ROUND(D17*E17*F17*G17/10000,0)</f>
        <v>0</v>
      </c>
    </row>
    <row r="18" spans="1:9" ht="14.25">
      <c r="A18" s="3481"/>
      <c r="B18" s="3482" t="s">
        <v>2501</v>
      </c>
      <c r="C18" s="3482"/>
      <c r="D18" s="2486"/>
      <c r="E18" s="2486"/>
      <c r="F18" s="2487"/>
      <c r="G18" s="2488"/>
      <c r="H18" s="2498"/>
      <c r="I18" s="2499">
        <f>ROUND(D18*E18*F18*G18/10000,0)</f>
        <v>0</v>
      </c>
    </row>
    <row r="19" spans="1:9" ht="14.25">
      <c r="A19" s="3481"/>
      <c r="B19" s="3482" t="s">
        <v>2502</v>
      </c>
      <c r="C19" s="3482"/>
      <c r="D19" s="2486"/>
      <c r="E19" s="2486"/>
      <c r="F19" s="2487"/>
      <c r="G19" s="2488"/>
      <c r="H19" s="2498"/>
      <c r="I19" s="2499">
        <f>ROUND(D19*E19*F19*G19/10000,0)</f>
        <v>0</v>
      </c>
    </row>
    <row r="20" spans="1:9">
      <c r="A20" s="3481"/>
      <c r="B20" s="3483" t="s">
        <v>2483</v>
      </c>
      <c r="C20" s="3483"/>
      <c r="D20" s="2490">
        <f>SUM(D17:D19)</f>
        <v>0</v>
      </c>
      <c r="E20" s="2490"/>
      <c r="F20" s="2491"/>
      <c r="G20" s="2488"/>
      <c r="H20" s="2495"/>
      <c r="I20" s="2496">
        <f>SUM(I17:I19)</f>
        <v>0</v>
      </c>
    </row>
    <row r="21" spans="1:9">
      <c r="A21" s="3481" t="s">
        <v>2503</v>
      </c>
      <c r="B21" s="3485"/>
      <c r="C21" s="3485"/>
      <c r="D21" s="3485"/>
      <c r="E21" s="3485"/>
      <c r="F21" s="3485"/>
      <c r="G21" s="3485"/>
      <c r="H21" s="2500">
        <v>0.1</v>
      </c>
      <c r="I21" s="2493">
        <f>ROUND(I10*H21,0)</f>
        <v>0</v>
      </c>
    </row>
    <row r="22" spans="1:9" ht="14.25">
      <c r="A22" s="3486" t="s">
        <v>2504</v>
      </c>
      <c r="B22" s="3487"/>
      <c r="C22" s="3488"/>
      <c r="D22" s="2501" t="s">
        <v>2505</v>
      </c>
      <c r="E22" s="2501" t="s">
        <v>2506</v>
      </c>
      <c r="F22" s="2502" t="s">
        <v>2507</v>
      </c>
      <c r="G22" s="2502" t="s">
        <v>2508</v>
      </c>
      <c r="H22" s="2494" t="s">
        <v>2509</v>
      </c>
      <c r="I22" s="2485" t="s">
        <v>2510</v>
      </c>
    </row>
    <row r="23" spans="1:9" ht="14.25" thickBot="1">
      <c r="A23" s="3489"/>
      <c r="B23" s="3490"/>
      <c r="C23" s="3491"/>
      <c r="D23" s="2503"/>
      <c r="E23" s="2503"/>
      <c r="F23" s="2503"/>
      <c r="G23" s="2504"/>
      <c r="H23" s="2505"/>
      <c r="I23" s="2506">
        <f>ROUND(E23*D23*F23*(1-G23)/10000,0)</f>
        <v>0</v>
      </c>
    </row>
    <row r="26" spans="1:9">
      <c r="A26" s="2507" t="s">
        <v>2511</v>
      </c>
      <c r="B26" s="2507"/>
      <c r="C26" s="2507"/>
      <c r="D26" s="2507"/>
      <c r="E26" s="3492">
        <f>C27-C30-C31-C32</f>
        <v>0</v>
      </c>
      <c r="F26" s="3492"/>
      <c r="G26" s="3492"/>
      <c r="H26" s="3016" t="s">
        <v>2839</v>
      </c>
    </row>
    <row r="27" spans="1:9">
      <c r="A27" s="2508">
        <v>1</v>
      </c>
      <c r="B27" s="2509" t="s">
        <v>2512</v>
      </c>
      <c r="C27" s="2509"/>
      <c r="D27" s="2509"/>
      <c r="E27" s="3493"/>
      <c r="F27" s="3493"/>
      <c r="G27" s="3493"/>
    </row>
    <row r="28" spans="1:9">
      <c r="A28" s="2510" t="s">
        <v>2513</v>
      </c>
      <c r="B28" s="2509" t="s">
        <v>2514</v>
      </c>
      <c r="C28" s="2509"/>
      <c r="D28" s="2509"/>
      <c r="E28" s="3493"/>
      <c r="F28" s="3493"/>
      <c r="G28" s="3493"/>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84"/>
      <c r="F32" s="3484"/>
      <c r="G32" s="3484"/>
    </row>
    <row r="33" spans="1:7" hidden="1">
      <c r="A33" s="3494" t="s">
        <v>2522</v>
      </c>
      <c r="B33" s="3495"/>
      <c r="C33" s="3495"/>
      <c r="D33" s="3496"/>
      <c r="E33" s="3492"/>
      <c r="F33" s="3492"/>
      <c r="G33" s="3492"/>
    </row>
    <row r="34" spans="1:7" hidden="1">
      <c r="A34" s="2512">
        <v>1</v>
      </c>
      <c r="B34" s="2509" t="s">
        <v>2523</v>
      </c>
      <c r="C34" s="2509"/>
      <c r="D34" s="2509"/>
      <c r="E34" s="3493"/>
      <c r="F34" s="3493"/>
      <c r="G34" s="3493"/>
    </row>
    <row r="35" spans="1:7" hidden="1">
      <c r="A35" s="2512">
        <v>2</v>
      </c>
      <c r="B35" s="2509" t="s">
        <v>2524</v>
      </c>
      <c r="C35" s="2509"/>
      <c r="D35" s="2509"/>
      <c r="E35" s="3493"/>
      <c r="F35" s="3493"/>
      <c r="G35" s="3493"/>
    </row>
    <row r="36" spans="1:7" hidden="1">
      <c r="A36" s="2512">
        <v>3</v>
      </c>
      <c r="B36" s="2509" t="s">
        <v>2525</v>
      </c>
      <c r="C36" s="2509"/>
      <c r="D36" s="2509"/>
      <c r="E36" s="3493"/>
      <c r="F36" s="3493"/>
      <c r="G36" s="3493"/>
    </row>
    <row r="37" spans="1:7" hidden="1">
      <c r="A37" s="2512">
        <v>4</v>
      </c>
      <c r="B37" s="2509" t="s">
        <v>2526</v>
      </c>
      <c r="C37" s="2509"/>
      <c r="D37" s="2509"/>
      <c r="E37" s="3493"/>
      <c r="F37" s="3493"/>
      <c r="G37" s="3493"/>
    </row>
    <row r="38" spans="1:7" hidden="1">
      <c r="A38" s="3494" t="s">
        <v>2527</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1066664.8</v>
      </c>
      <c r="E10" s="748">
        <f>'数据-取费表'!B31</f>
        <v>150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8000</v>
      </c>
      <c r="D13" s="757">
        <f>'数据-汇总表'!E6</f>
        <v>1066664.8</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0.72199999999999998</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90" t="s">
        <v>522</v>
      </c>
      <c r="D4" s="3391"/>
      <c r="E4" s="3431" t="s">
        <v>523</v>
      </c>
      <c r="F4" s="3432"/>
      <c r="G4" s="3390" t="s">
        <v>524</v>
      </c>
      <c r="H4" s="3391"/>
      <c r="I4" s="3390" t="s">
        <v>525</v>
      </c>
      <c r="J4" s="3391"/>
      <c r="K4" s="852" t="s">
        <v>526</v>
      </c>
      <c r="L4" s="2131"/>
      <c r="M4" s="2132"/>
      <c r="N4" s="2132"/>
      <c r="O4" s="2132"/>
      <c r="P4" s="3392" t="s">
        <v>527</v>
      </c>
      <c r="Q4" s="3393"/>
      <c r="R4" s="3398" t="s">
        <v>523</v>
      </c>
      <c r="S4" s="3399"/>
      <c r="T4" s="3398" t="s">
        <v>524</v>
      </c>
      <c r="U4" s="3399"/>
      <c r="V4" s="3385" t="s">
        <v>525</v>
      </c>
      <c r="W4" s="3385"/>
      <c r="X4" s="1567"/>
      <c r="Y4" s="3398" t="s">
        <v>527</v>
      </c>
      <c r="Z4" s="3399"/>
      <c r="AA4" s="3387" t="s">
        <v>523</v>
      </c>
      <c r="AB4" s="3387" t="s">
        <v>524</v>
      </c>
      <c r="AC4" s="3387" t="s">
        <v>525</v>
      </c>
    </row>
    <row r="5" spans="1:29" ht="15">
      <c r="A5" s="514"/>
      <c r="B5" s="515"/>
      <c r="C5" s="3408" t="s">
        <v>2923</v>
      </c>
      <c r="D5" s="3407"/>
      <c r="E5" s="3433" t="s">
        <v>2924</v>
      </c>
      <c r="F5" s="3434"/>
      <c r="G5" s="3408" t="s">
        <v>2925</v>
      </c>
      <c r="H5" s="3407"/>
      <c r="I5" s="3408" t="s">
        <v>2926</v>
      </c>
      <c r="J5" s="3407"/>
      <c r="K5" s="853"/>
      <c r="L5" s="2131"/>
      <c r="M5" s="2132"/>
      <c r="N5" s="2132"/>
      <c r="O5" s="2132"/>
      <c r="P5" s="3394"/>
      <c r="Q5" s="3395"/>
      <c r="R5" s="3400"/>
      <c r="S5" s="3401"/>
      <c r="T5" s="3400"/>
      <c r="U5" s="3401"/>
      <c r="V5" s="3385"/>
      <c r="W5" s="3385"/>
      <c r="X5" s="1567"/>
      <c r="Y5" s="3400"/>
      <c r="Z5" s="3401"/>
      <c r="AA5" s="3388"/>
      <c r="AB5" s="3388"/>
      <c r="AC5" s="3388"/>
    </row>
    <row r="6" spans="1:29" ht="15.75" thickBot="1">
      <c r="A6" s="516"/>
      <c r="B6" s="517"/>
      <c r="C6" s="3404" t="s">
        <v>2927</v>
      </c>
      <c r="D6" s="3405"/>
      <c r="E6" s="3429" t="s">
        <v>2927</v>
      </c>
      <c r="F6" s="3430"/>
      <c r="G6" s="3404" t="s">
        <v>2927</v>
      </c>
      <c r="H6" s="3405"/>
      <c r="I6" s="3404" t="s">
        <v>2927</v>
      </c>
      <c r="J6" s="3405"/>
      <c r="K6" s="853" t="s">
        <v>528</v>
      </c>
      <c r="L6" s="2131"/>
      <c r="M6" s="2132"/>
      <c r="N6" s="2132"/>
      <c r="O6" s="2132"/>
      <c r="P6" s="3396"/>
      <c r="Q6" s="3397"/>
      <c r="R6" s="3400"/>
      <c r="S6" s="3401"/>
      <c r="T6" s="3402"/>
      <c r="U6" s="3403"/>
      <c r="V6" s="3385"/>
      <c r="W6" s="3385"/>
      <c r="X6" s="1567"/>
      <c r="Y6" s="3402"/>
      <c r="Z6" s="3403"/>
      <c r="AA6" s="3389"/>
      <c r="AB6" s="3389"/>
      <c r="AC6" s="3389"/>
    </row>
    <row r="7" spans="1:29" s="1219" customFormat="1" ht="15.75" thickBot="1">
      <c r="A7" s="2888"/>
      <c r="B7" s="2895" t="s">
        <v>529</v>
      </c>
      <c r="C7" s="518">
        <f>'数据-取费表'!B2</f>
        <v>43468</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6" t="s">
        <v>530</v>
      </c>
      <c r="Q7" s="3418"/>
      <c r="R7" s="1568" t="s">
        <v>13</v>
      </c>
      <c r="S7" s="1569">
        <f t="shared" ref="S7:S15" si="0">F7</f>
        <v>0</v>
      </c>
      <c r="T7" s="1568" t="s">
        <v>13</v>
      </c>
      <c r="U7" s="1569">
        <f t="shared" ref="U7:U15" si="1">H7</f>
        <v>0</v>
      </c>
      <c r="V7" s="1568" t="s">
        <v>13</v>
      </c>
      <c r="W7" s="1569">
        <f t="shared" ref="W7:W15" si="2">J7</f>
        <v>0</v>
      </c>
      <c r="X7" s="1570"/>
      <c r="Y7" s="3416" t="s">
        <v>530</v>
      </c>
      <c r="Z7" s="3417"/>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6" t="s">
        <v>533</v>
      </c>
      <c r="Q8" s="3417"/>
      <c r="R8" s="1568" t="s">
        <v>13</v>
      </c>
      <c r="S8" s="1569">
        <f t="shared" si="0"/>
        <v>0</v>
      </c>
      <c r="T8" s="1568" t="s">
        <v>13</v>
      </c>
      <c r="U8" s="1569">
        <f t="shared" si="1"/>
        <v>0</v>
      </c>
      <c r="V8" s="1568" t="s">
        <v>13</v>
      </c>
      <c r="W8" s="1569">
        <f t="shared" si="2"/>
        <v>0</v>
      </c>
      <c r="X8" s="1570"/>
      <c r="Y8" s="3416" t="s">
        <v>533</v>
      </c>
      <c r="Z8" s="3417"/>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4" t="s">
        <v>535</v>
      </c>
      <c r="Q9" s="1150" t="str">
        <f t="shared" ref="Q9:Q15" si="6">B9</f>
        <v>用途</v>
      </c>
      <c r="R9" s="1568" t="s">
        <v>8</v>
      </c>
      <c r="S9" s="1569">
        <f t="shared" si="0"/>
        <v>100</v>
      </c>
      <c r="T9" s="1568" t="s">
        <v>8</v>
      </c>
      <c r="U9" s="1569">
        <f t="shared" si="1"/>
        <v>100</v>
      </c>
      <c r="V9" s="1568" t="s">
        <v>8</v>
      </c>
      <c r="W9" s="1569">
        <f t="shared" si="2"/>
        <v>100</v>
      </c>
      <c r="X9" s="1570"/>
      <c r="Y9" s="3330"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30"/>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4"/>
      <c r="Q11" s="1150" t="str">
        <f t="shared" si="6"/>
        <v>容积率</v>
      </c>
      <c r="R11" s="1568" t="s">
        <v>11</v>
      </c>
      <c r="S11" s="1569" t="e">
        <f t="shared" si="0"/>
        <v>#N/A</v>
      </c>
      <c r="T11" s="1568" t="s">
        <v>11</v>
      </c>
      <c r="U11" s="1569" t="e">
        <f t="shared" si="1"/>
        <v>#N/A</v>
      </c>
      <c r="V11" s="1568" t="s">
        <v>11</v>
      </c>
      <c r="W11" s="1569" t="e">
        <f t="shared" si="2"/>
        <v>#N/A</v>
      </c>
      <c r="X11" s="1570"/>
      <c r="Y11" s="3330"/>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4"/>
      <c r="Q12" s="1150">
        <f t="shared" si="6"/>
        <v>111</v>
      </c>
      <c r="R12" s="1568" t="s">
        <v>11</v>
      </c>
      <c r="S12" s="1569">
        <f t="shared" si="0"/>
        <v>100</v>
      </c>
      <c r="T12" s="1568" t="s">
        <v>11</v>
      </c>
      <c r="U12" s="1569">
        <f t="shared" si="1"/>
        <v>100</v>
      </c>
      <c r="V12" s="1568" t="s">
        <v>11</v>
      </c>
      <c r="W12" s="1569">
        <f t="shared" si="2"/>
        <v>100</v>
      </c>
      <c r="X12" s="1570"/>
      <c r="Y12" s="3330"/>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4"/>
      <c r="Q13" s="1150">
        <f t="shared" si="6"/>
        <v>111</v>
      </c>
      <c r="R13" s="1568" t="s">
        <v>11</v>
      </c>
      <c r="S13" s="1569">
        <f t="shared" si="0"/>
        <v>100</v>
      </c>
      <c r="T13" s="1568" t="s">
        <v>11</v>
      </c>
      <c r="U13" s="1569">
        <f t="shared" si="1"/>
        <v>100</v>
      </c>
      <c r="V13" s="1568" t="s">
        <v>11</v>
      </c>
      <c r="W13" s="1569">
        <f t="shared" si="2"/>
        <v>100</v>
      </c>
      <c r="X13" s="1570"/>
      <c r="Y13" s="3330"/>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4"/>
      <c r="Q14" s="1150">
        <f t="shared" si="6"/>
        <v>111</v>
      </c>
      <c r="R14" s="1568" t="s">
        <v>11</v>
      </c>
      <c r="S14" s="1569">
        <f t="shared" si="0"/>
        <v>100</v>
      </c>
      <c r="T14" s="1568" t="s">
        <v>11</v>
      </c>
      <c r="U14" s="1569">
        <f t="shared" si="1"/>
        <v>100</v>
      </c>
      <c r="V14" s="1568" t="s">
        <v>11</v>
      </c>
      <c r="W14" s="1569">
        <f t="shared" si="2"/>
        <v>100</v>
      </c>
      <c r="X14" s="1570"/>
      <c r="Y14" s="3330"/>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19" t="s">
        <v>540</v>
      </c>
      <c r="Q15" s="1572" t="str">
        <f t="shared" si="6"/>
        <v>居住社区成熟度</v>
      </c>
      <c r="R15" s="1573" t="s">
        <v>11</v>
      </c>
      <c r="S15" s="1574">
        <f t="shared" si="0"/>
        <v>100</v>
      </c>
      <c r="T15" s="1573" t="s">
        <v>11</v>
      </c>
      <c r="U15" s="1574">
        <f t="shared" si="1"/>
        <v>100</v>
      </c>
      <c r="V15" s="1573" t="s">
        <v>11</v>
      </c>
      <c r="W15" s="1574">
        <f t="shared" si="2"/>
        <v>100</v>
      </c>
      <c r="X15" s="1567"/>
      <c r="Y15" s="3419"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20"/>
      <c r="Q16" s="1572"/>
      <c r="R16" s="1573"/>
      <c r="S16" s="1574"/>
      <c r="T16" s="1573"/>
      <c r="U16" s="1574"/>
      <c r="V16" s="1573"/>
      <c r="W16" s="1574"/>
      <c r="X16" s="1567"/>
      <c r="Y16" s="342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20"/>
      <c r="Q17" s="1572" t="str">
        <f>B17</f>
        <v>交通便捷度</v>
      </c>
      <c r="R17" s="1573" t="s">
        <v>11</v>
      </c>
      <c r="S17" s="1574">
        <f>F17</f>
        <v>100</v>
      </c>
      <c r="T17" s="1573" t="s">
        <v>11</v>
      </c>
      <c r="U17" s="1574">
        <f>H17</f>
        <v>100</v>
      </c>
      <c r="V17" s="1573" t="s">
        <v>11</v>
      </c>
      <c r="W17" s="1574">
        <f>J17</f>
        <v>100</v>
      </c>
      <c r="X17" s="1567"/>
      <c r="Y17" s="342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20"/>
      <c r="Q18" s="1572"/>
      <c r="R18" s="1573"/>
      <c r="S18" s="1574"/>
      <c r="T18" s="1573"/>
      <c r="U18" s="1574"/>
      <c r="V18" s="1573"/>
      <c r="W18" s="1574"/>
      <c r="X18" s="1567"/>
      <c r="Y18" s="3420"/>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20"/>
      <c r="Q19" s="1572" t="str">
        <f>B19</f>
        <v>公共配套设施</v>
      </c>
      <c r="R19" s="1573" t="s">
        <v>11</v>
      </c>
      <c r="S19" s="1574">
        <f>F19</f>
        <v>100</v>
      </c>
      <c r="T19" s="1573" t="s">
        <v>11</v>
      </c>
      <c r="U19" s="1574">
        <f>H19</f>
        <v>100</v>
      </c>
      <c r="V19" s="1573" t="s">
        <v>11</v>
      </c>
      <c r="W19" s="1574">
        <f>J19</f>
        <v>100</v>
      </c>
      <c r="X19" s="1567"/>
      <c r="Y19" s="342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20"/>
      <c r="Q20" s="1572"/>
      <c r="R20" s="1573"/>
      <c r="S20" s="1574"/>
      <c r="T20" s="1573"/>
      <c r="U20" s="1574"/>
      <c r="V20" s="1573"/>
      <c r="W20" s="1574"/>
      <c r="X20" s="1567"/>
      <c r="Y20" s="3420"/>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20"/>
      <c r="Q21" s="2556" t="str">
        <f>B21</f>
        <v>基础设施水平</v>
      </c>
      <c r="R21" s="1573" t="s">
        <v>11</v>
      </c>
      <c r="S21" s="1574">
        <f>F21</f>
        <v>100</v>
      </c>
      <c r="T21" s="1573" t="s">
        <v>11</v>
      </c>
      <c r="U21" s="1574">
        <f>H21</f>
        <v>100</v>
      </c>
      <c r="V21" s="1573" t="s">
        <v>11</v>
      </c>
      <c r="W21" s="1574">
        <f>J21</f>
        <v>100</v>
      </c>
      <c r="X21" s="2558"/>
      <c r="Y21" s="3420"/>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20"/>
      <c r="Q22" s="2556"/>
      <c r="R22" s="1573"/>
      <c r="S22" s="1574"/>
      <c r="T22" s="1573"/>
      <c r="U22" s="1574"/>
      <c r="V22" s="1573"/>
      <c r="W22" s="1574"/>
      <c r="X22" s="2558"/>
      <c r="Y22" s="3420"/>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20"/>
      <c r="Q23" s="1572" t="str">
        <f>B23</f>
        <v>自然及人文环境</v>
      </c>
      <c r="R23" s="1573" t="s">
        <v>11</v>
      </c>
      <c r="S23" s="1574">
        <f>F23</f>
        <v>100</v>
      </c>
      <c r="T23" s="1573" t="s">
        <v>11</v>
      </c>
      <c r="U23" s="1574">
        <f>H23</f>
        <v>100</v>
      </c>
      <c r="V23" s="1573" t="s">
        <v>11</v>
      </c>
      <c r="W23" s="1574">
        <f>J23</f>
        <v>100</v>
      </c>
      <c r="X23" s="1567"/>
      <c r="Y23" s="342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20"/>
      <c r="Q24" s="1572"/>
      <c r="R24" s="1573"/>
      <c r="S24" s="1574"/>
      <c r="T24" s="1573"/>
      <c r="U24" s="1574"/>
      <c r="V24" s="1573"/>
      <c r="W24" s="1574"/>
      <c r="X24" s="1567"/>
      <c r="Y24" s="3420"/>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20"/>
      <c r="Q25" s="1572" t="str">
        <f t="shared" ref="Q25:Q46" si="11">B25</f>
        <v>楼层-1</v>
      </c>
      <c r="R25" s="1573" t="s">
        <v>11</v>
      </c>
      <c r="S25" s="1574">
        <f>F25</f>
        <v>100</v>
      </c>
      <c r="T25" s="1573" t="s">
        <v>11</v>
      </c>
      <c r="U25" s="1574">
        <f>H25</f>
        <v>100</v>
      </c>
      <c r="V25" s="1573" t="s">
        <v>11</v>
      </c>
      <c r="W25" s="1574">
        <f>J25</f>
        <v>100</v>
      </c>
      <c r="X25" s="1567"/>
      <c r="Y25" s="3420"/>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20"/>
      <c r="Q26" s="1572" t="str">
        <f t="shared" si="11"/>
        <v>朝向</v>
      </c>
      <c r="R26" s="1573" t="s">
        <v>11</v>
      </c>
      <c r="S26" s="1574">
        <f>F26</f>
        <v>100</v>
      </c>
      <c r="T26" s="1573" t="s">
        <v>11</v>
      </c>
      <c r="U26" s="1574">
        <f>H26</f>
        <v>100</v>
      </c>
      <c r="V26" s="1573" t="s">
        <v>11</v>
      </c>
      <c r="W26" s="1574">
        <f>J26</f>
        <v>100</v>
      </c>
      <c r="X26" s="1567"/>
      <c r="Y26" s="3420"/>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20"/>
      <c r="Q27" s="1150" t="str">
        <f t="shared" si="11"/>
        <v>道路级别</v>
      </c>
      <c r="R27" s="1568" t="s">
        <v>11</v>
      </c>
      <c r="S27" s="1569">
        <f>F27</f>
        <v>100</v>
      </c>
      <c r="T27" s="1568" t="s">
        <v>11</v>
      </c>
      <c r="U27" s="1569">
        <f>H27</f>
        <v>100</v>
      </c>
      <c r="V27" s="1568" t="s">
        <v>11</v>
      </c>
      <c r="W27" s="1569">
        <f>J27</f>
        <v>100</v>
      </c>
      <c r="X27" s="1570"/>
      <c r="Y27" s="3420"/>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2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0"/>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20"/>
      <c r="Q29" s="1572">
        <f t="shared" si="11"/>
        <v>111</v>
      </c>
      <c r="R29" s="1573" t="s">
        <v>11</v>
      </c>
      <c r="S29" s="1574">
        <f t="shared" si="12"/>
        <v>100</v>
      </c>
      <c r="T29" s="1573" t="s">
        <v>11</v>
      </c>
      <c r="U29" s="1574">
        <f t="shared" si="13"/>
        <v>100</v>
      </c>
      <c r="V29" s="1573" t="s">
        <v>11</v>
      </c>
      <c r="W29" s="1574">
        <f t="shared" si="14"/>
        <v>100</v>
      </c>
      <c r="X29" s="1567"/>
      <c r="Y29" s="342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20"/>
      <c r="Q30" s="1572">
        <f t="shared" si="11"/>
        <v>111</v>
      </c>
      <c r="R30" s="1573" t="s">
        <v>11</v>
      </c>
      <c r="S30" s="1574">
        <f t="shared" si="12"/>
        <v>100</v>
      </c>
      <c r="T30" s="1573" t="s">
        <v>11</v>
      </c>
      <c r="U30" s="1574">
        <f t="shared" si="13"/>
        <v>100</v>
      </c>
      <c r="V30" s="1573" t="s">
        <v>11</v>
      </c>
      <c r="W30" s="1574">
        <f t="shared" si="14"/>
        <v>100</v>
      </c>
      <c r="X30" s="1567"/>
      <c r="Y30" s="3420"/>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20"/>
      <c r="Q31" s="1572">
        <f t="shared" si="11"/>
        <v>111</v>
      </c>
      <c r="R31" s="1573" t="s">
        <v>11</v>
      </c>
      <c r="S31" s="1574">
        <f t="shared" si="12"/>
        <v>100</v>
      </c>
      <c r="T31" s="1573" t="s">
        <v>11</v>
      </c>
      <c r="U31" s="1574">
        <f t="shared" si="13"/>
        <v>100</v>
      </c>
      <c r="V31" s="1573" t="s">
        <v>11</v>
      </c>
      <c r="W31" s="1574">
        <f t="shared" si="14"/>
        <v>100</v>
      </c>
      <c r="X31" s="1567"/>
      <c r="Y31" s="3420"/>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1" t="s">
        <v>550</v>
      </c>
      <c r="Q32" s="1572" t="str">
        <f t="shared" si="11"/>
        <v>建筑类型</v>
      </c>
      <c r="R32" s="1573" t="s">
        <v>11</v>
      </c>
      <c r="S32" s="1574">
        <f t="shared" si="12"/>
        <v>100</v>
      </c>
      <c r="T32" s="1573" t="s">
        <v>11</v>
      </c>
      <c r="U32" s="1574">
        <f t="shared" si="13"/>
        <v>100</v>
      </c>
      <c r="V32" s="1573" t="s">
        <v>11</v>
      </c>
      <c r="W32" s="1574">
        <f t="shared" si="14"/>
        <v>100</v>
      </c>
      <c r="X32" s="1567"/>
      <c r="Y32" s="3422"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2"/>
      <c r="Q33" s="1605" t="str">
        <f t="shared" si="11"/>
        <v>项目建筑规模</v>
      </c>
      <c r="R33" s="1577" t="s">
        <v>11</v>
      </c>
      <c r="S33" s="1578" t="e">
        <f t="shared" si="12"/>
        <v>#N/A</v>
      </c>
      <c r="T33" s="1577" t="s">
        <v>11</v>
      </c>
      <c r="U33" s="1578" t="e">
        <f t="shared" si="13"/>
        <v>#N/A</v>
      </c>
      <c r="V33" s="1577" t="s">
        <v>11</v>
      </c>
      <c r="W33" s="1578" t="e">
        <f t="shared" si="14"/>
        <v>#N/A</v>
      </c>
      <c r="X33" s="1579"/>
      <c r="Y33" s="342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2"/>
      <c r="Q34" s="1572" t="str">
        <f t="shared" si="11"/>
        <v>建筑结构</v>
      </c>
      <c r="R34" s="1573" t="s">
        <v>11</v>
      </c>
      <c r="S34" s="1574">
        <f t="shared" si="12"/>
        <v>100</v>
      </c>
      <c r="T34" s="1573" t="s">
        <v>11</v>
      </c>
      <c r="U34" s="1574">
        <f t="shared" si="13"/>
        <v>100</v>
      </c>
      <c r="V34" s="1573" t="s">
        <v>11</v>
      </c>
      <c r="W34" s="1574">
        <f t="shared" si="14"/>
        <v>100</v>
      </c>
      <c r="X34" s="1567"/>
      <c r="Y34" s="3422"/>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2"/>
      <c r="Q35" s="1572" t="str">
        <f t="shared" si="11"/>
        <v>建筑品质</v>
      </c>
      <c r="R35" s="1573" t="s">
        <v>11</v>
      </c>
      <c r="S35" s="1574">
        <f t="shared" si="12"/>
        <v>100</v>
      </c>
      <c r="T35" s="1573" t="s">
        <v>11</v>
      </c>
      <c r="U35" s="1574">
        <f t="shared" si="13"/>
        <v>100</v>
      </c>
      <c r="V35" s="1573" t="s">
        <v>11</v>
      </c>
      <c r="W35" s="1574">
        <f t="shared" si="14"/>
        <v>100</v>
      </c>
      <c r="X35" s="1567"/>
      <c r="Y35" s="3422"/>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2"/>
      <c r="Q36" s="1572" t="str">
        <f t="shared" si="11"/>
        <v>公共部分装修</v>
      </c>
      <c r="R36" s="1573" t="s">
        <v>11</v>
      </c>
      <c r="S36" s="1574">
        <f t="shared" si="12"/>
        <v>100</v>
      </c>
      <c r="T36" s="1573" t="s">
        <v>11</v>
      </c>
      <c r="U36" s="1574">
        <f t="shared" si="13"/>
        <v>100</v>
      </c>
      <c r="V36" s="1573" t="s">
        <v>11</v>
      </c>
      <c r="W36" s="1574">
        <f t="shared" si="14"/>
        <v>100</v>
      </c>
      <c r="X36" s="1567"/>
      <c r="Y36" s="3422"/>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2"/>
      <c r="Q37" s="1150" t="str">
        <f t="shared" si="11"/>
        <v>成新度</v>
      </c>
      <c r="R37" s="1568" t="s">
        <v>11</v>
      </c>
      <c r="S37" s="1569" t="e">
        <f t="shared" si="12"/>
        <v>#N/A</v>
      </c>
      <c r="T37" s="1568" t="s">
        <v>11</v>
      </c>
      <c r="U37" s="1569" t="e">
        <f t="shared" si="13"/>
        <v>#N/A</v>
      </c>
      <c r="V37" s="1568" t="s">
        <v>11</v>
      </c>
      <c r="W37" s="1569" t="e">
        <f t="shared" si="14"/>
        <v>#N/A</v>
      </c>
      <c r="X37" s="1570"/>
      <c r="Y37" s="3422"/>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2" t="s">
        <v>550</v>
      </c>
      <c r="Q38" s="1572" t="str">
        <f t="shared" si="11"/>
        <v>物业管理</v>
      </c>
      <c r="R38" s="1573" t="s">
        <v>11</v>
      </c>
      <c r="S38" s="1574">
        <f t="shared" si="12"/>
        <v>100</v>
      </c>
      <c r="T38" s="1573" t="s">
        <v>11</v>
      </c>
      <c r="U38" s="1574">
        <f t="shared" si="13"/>
        <v>100</v>
      </c>
      <c r="V38" s="1573" t="s">
        <v>11</v>
      </c>
      <c r="W38" s="1574">
        <f t="shared" si="14"/>
        <v>100</v>
      </c>
      <c r="X38" s="1567"/>
      <c r="Y38" s="3422"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2"/>
      <c r="Q39" s="1572" t="str">
        <f t="shared" si="11"/>
        <v>市政基础设施</v>
      </c>
      <c r="R39" s="1573" t="s">
        <v>11</v>
      </c>
      <c r="S39" s="1574">
        <f t="shared" si="12"/>
        <v>100</v>
      </c>
      <c r="T39" s="1573" t="s">
        <v>11</v>
      </c>
      <c r="U39" s="1574">
        <f t="shared" si="13"/>
        <v>100</v>
      </c>
      <c r="V39" s="1573" t="s">
        <v>11</v>
      </c>
      <c r="W39" s="1574">
        <f t="shared" si="14"/>
        <v>100</v>
      </c>
      <c r="X39" s="1567"/>
      <c r="Y39" s="3422"/>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2"/>
      <c r="Q40" s="1572" t="str">
        <f t="shared" si="11"/>
        <v>房型</v>
      </c>
      <c r="R40" s="1573" t="s">
        <v>11</v>
      </c>
      <c r="S40" s="1574">
        <f t="shared" si="12"/>
        <v>100</v>
      </c>
      <c r="T40" s="1573" t="s">
        <v>11</v>
      </c>
      <c r="U40" s="1574">
        <f t="shared" si="13"/>
        <v>100</v>
      </c>
      <c r="V40" s="1573" t="s">
        <v>11</v>
      </c>
      <c r="W40" s="1574">
        <f t="shared" si="14"/>
        <v>100</v>
      </c>
      <c r="X40" s="1567"/>
      <c r="Y40" s="3422"/>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2"/>
      <c r="Q41" s="1605" t="str">
        <f t="shared" si="11"/>
        <v>单套/主力户型建筑面积</v>
      </c>
      <c r="R41" s="1577" t="s">
        <v>11</v>
      </c>
      <c r="S41" s="1578">
        <f t="shared" si="12"/>
        <v>100</v>
      </c>
      <c r="T41" s="1577" t="s">
        <v>11</v>
      </c>
      <c r="U41" s="1578">
        <f t="shared" si="13"/>
        <v>100</v>
      </c>
      <c r="V41" s="1577" t="s">
        <v>11</v>
      </c>
      <c r="W41" s="1578">
        <f t="shared" si="14"/>
        <v>100</v>
      </c>
      <c r="X41" s="1579"/>
      <c r="Y41" s="3422"/>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2"/>
      <c r="Q42" s="1572" t="str">
        <f t="shared" si="11"/>
        <v>内部装修</v>
      </c>
      <c r="R42" s="1573" t="s">
        <v>11</v>
      </c>
      <c r="S42" s="1574">
        <f t="shared" si="12"/>
        <v>100</v>
      </c>
      <c r="T42" s="1573" t="s">
        <v>11</v>
      </c>
      <c r="U42" s="1574">
        <f t="shared" si="13"/>
        <v>100</v>
      </c>
      <c r="V42" s="1573" t="s">
        <v>11</v>
      </c>
      <c r="W42" s="1574">
        <f t="shared" si="14"/>
        <v>100</v>
      </c>
      <c r="X42" s="1567"/>
      <c r="Y42" s="3422"/>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2"/>
      <c r="Q43" s="1572" t="str">
        <f t="shared" si="11"/>
        <v>内部装修维护情况</v>
      </c>
      <c r="R43" s="1573" t="s">
        <v>11</v>
      </c>
      <c r="S43" s="1574">
        <f t="shared" si="12"/>
        <v>100</v>
      </c>
      <c r="T43" s="1573" t="s">
        <v>11</v>
      </c>
      <c r="U43" s="1574">
        <f t="shared" si="13"/>
        <v>100</v>
      </c>
      <c r="V43" s="1573" t="s">
        <v>11</v>
      </c>
      <c r="W43" s="1574">
        <f t="shared" si="14"/>
        <v>100</v>
      </c>
      <c r="X43" s="1567"/>
      <c r="Y43" s="342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2"/>
      <c r="Q44" s="1150">
        <f t="shared" si="11"/>
        <v>111</v>
      </c>
      <c r="R44" s="1568" t="s">
        <v>11</v>
      </c>
      <c r="S44" s="1569">
        <f t="shared" si="12"/>
        <v>100</v>
      </c>
      <c r="T44" s="1568" t="s">
        <v>11</v>
      </c>
      <c r="U44" s="1569">
        <f t="shared" si="13"/>
        <v>100</v>
      </c>
      <c r="V44" s="1568" t="s">
        <v>11</v>
      </c>
      <c r="W44" s="1569">
        <f t="shared" si="14"/>
        <v>100</v>
      </c>
      <c r="X44" s="1570"/>
      <c r="Y44" s="342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2"/>
      <c r="Q45" s="1572">
        <f t="shared" si="11"/>
        <v>111</v>
      </c>
      <c r="R45" s="1573" t="s">
        <v>11</v>
      </c>
      <c r="S45" s="1574">
        <f t="shared" si="12"/>
        <v>100</v>
      </c>
      <c r="T45" s="1573" t="s">
        <v>11</v>
      </c>
      <c r="U45" s="1574">
        <f t="shared" si="13"/>
        <v>100</v>
      </c>
      <c r="V45" s="1573" t="s">
        <v>11</v>
      </c>
      <c r="W45" s="1574">
        <f t="shared" si="14"/>
        <v>100</v>
      </c>
      <c r="X45" s="1567"/>
      <c r="Y45" s="3422"/>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9"/>
      <c r="Q46" s="1572">
        <f t="shared" si="11"/>
        <v>111</v>
      </c>
      <c r="R46" s="1573" t="s">
        <v>10</v>
      </c>
      <c r="S46" s="1574">
        <f t="shared" si="12"/>
        <v>100</v>
      </c>
      <c r="T46" s="1573" t="s">
        <v>10</v>
      </c>
      <c r="U46" s="1574">
        <f t="shared" si="13"/>
        <v>100</v>
      </c>
      <c r="V46" s="1573" t="s">
        <v>10</v>
      </c>
      <c r="W46" s="1574">
        <f t="shared" si="14"/>
        <v>100</v>
      </c>
      <c r="X46" s="1567"/>
      <c r="Y46" s="3499"/>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84" t="str">
        <f>A47</f>
        <v>成交单价（元/平方米）</v>
      </c>
      <c r="Q47" s="3384"/>
      <c r="R47" s="3498">
        <f>E47</f>
        <v>0</v>
      </c>
      <c r="S47" s="3498"/>
      <c r="T47" s="3498">
        <f>G47</f>
        <v>0</v>
      </c>
      <c r="U47" s="3498"/>
      <c r="V47" s="3498">
        <f>I47</f>
        <v>0</v>
      </c>
      <c r="W47" s="3498"/>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384" t="str">
        <f>A48</f>
        <v>比较价格（元/平方米）</v>
      </c>
      <c r="Q48" s="3384"/>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381" t="str">
        <f>A49</f>
        <v>估价对象XX用房的比较价格（楼面单价，元/平方米）</v>
      </c>
      <c r="Q49" s="3382"/>
      <c r="R49" s="3497" t="e">
        <f>IF(F1="售价",ROUND(AVERAGE(R48:V48),0),ROUND(AVERAGE(R48:V48),1))</f>
        <v>#DIV/0!</v>
      </c>
      <c r="S49" s="3497"/>
      <c r="T49" s="3497"/>
      <c r="U49" s="3497"/>
      <c r="V49" s="3497"/>
      <c r="W49" s="3497"/>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90" t="s">
        <v>522</v>
      </c>
      <c r="D4" s="3391"/>
      <c r="E4" s="3431" t="s">
        <v>523</v>
      </c>
      <c r="F4" s="3432"/>
      <c r="G4" s="3390" t="s">
        <v>524</v>
      </c>
      <c r="H4" s="3391"/>
      <c r="I4" s="3390" t="s">
        <v>525</v>
      </c>
      <c r="J4" s="3391"/>
      <c r="K4" s="513" t="s">
        <v>526</v>
      </c>
      <c r="L4" s="2131"/>
      <c r="M4" s="2132"/>
      <c r="N4" s="2132"/>
      <c r="O4" s="2132"/>
      <c r="P4" s="3392" t="s">
        <v>527</v>
      </c>
      <c r="Q4" s="3393"/>
      <c r="R4" s="3398" t="s">
        <v>523</v>
      </c>
      <c r="S4" s="3399"/>
      <c r="T4" s="3398" t="s">
        <v>524</v>
      </c>
      <c r="U4" s="3399"/>
      <c r="V4" s="3385" t="s">
        <v>525</v>
      </c>
      <c r="W4" s="3385"/>
      <c r="X4" s="1567"/>
      <c r="Y4" s="3398" t="s">
        <v>527</v>
      </c>
      <c r="Z4" s="3399"/>
      <c r="AA4" s="3387" t="s">
        <v>523</v>
      </c>
      <c r="AB4" s="3385" t="s">
        <v>524</v>
      </c>
      <c r="AC4" s="3387" t="s">
        <v>525</v>
      </c>
    </row>
    <row r="5" spans="1:29" ht="15">
      <c r="A5" s="514"/>
      <c r="B5" s="515"/>
      <c r="C5" s="3408" t="s">
        <v>2923</v>
      </c>
      <c r="D5" s="3407"/>
      <c r="E5" s="3433" t="s">
        <v>2924</v>
      </c>
      <c r="F5" s="3434"/>
      <c r="G5" s="3408" t="s">
        <v>2925</v>
      </c>
      <c r="H5" s="3407"/>
      <c r="I5" s="3408" t="s">
        <v>2926</v>
      </c>
      <c r="J5" s="3407"/>
      <c r="K5" s="513"/>
      <c r="L5" s="2131"/>
      <c r="M5" s="2132"/>
      <c r="N5" s="2132"/>
      <c r="O5" s="2132"/>
      <c r="P5" s="3394"/>
      <c r="Q5" s="3395"/>
      <c r="R5" s="3400"/>
      <c r="S5" s="3401"/>
      <c r="T5" s="3400"/>
      <c r="U5" s="3401"/>
      <c r="V5" s="3385"/>
      <c r="W5" s="3385"/>
      <c r="X5" s="1567"/>
      <c r="Y5" s="3400"/>
      <c r="Z5" s="3401"/>
      <c r="AA5" s="3388"/>
      <c r="AB5" s="3385"/>
      <c r="AC5" s="3388"/>
    </row>
    <row r="6" spans="1:29" ht="15.75" thickBot="1">
      <c r="A6" s="516"/>
      <c r="B6" s="517"/>
      <c r="C6" s="3404" t="s">
        <v>2927</v>
      </c>
      <c r="D6" s="3405"/>
      <c r="E6" s="3429" t="s">
        <v>2927</v>
      </c>
      <c r="F6" s="3430"/>
      <c r="G6" s="3404" t="s">
        <v>2927</v>
      </c>
      <c r="H6" s="3405"/>
      <c r="I6" s="3404" t="s">
        <v>2927</v>
      </c>
      <c r="J6" s="3405"/>
      <c r="K6" s="513" t="s">
        <v>528</v>
      </c>
      <c r="L6" s="2131"/>
      <c r="M6" s="2132"/>
      <c r="N6" s="2132"/>
      <c r="O6" s="2132"/>
      <c r="P6" s="3396"/>
      <c r="Q6" s="3397"/>
      <c r="R6" s="3400"/>
      <c r="S6" s="3401"/>
      <c r="T6" s="3402"/>
      <c r="U6" s="3403"/>
      <c r="V6" s="3385"/>
      <c r="W6" s="3385"/>
      <c r="X6" s="1567"/>
      <c r="Y6" s="3402"/>
      <c r="Z6" s="3403"/>
      <c r="AA6" s="3389"/>
      <c r="AB6" s="3385"/>
      <c r="AC6" s="3389"/>
    </row>
    <row r="7" spans="1:29" s="1219" customFormat="1" ht="15.75" thickBot="1">
      <c r="A7" s="2888"/>
      <c r="B7" s="2895" t="s">
        <v>529</v>
      </c>
      <c r="C7" s="518">
        <f>'数据-取费表'!B2</f>
        <v>43468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6" t="s">
        <v>530</v>
      </c>
      <c r="Q7" s="3418"/>
      <c r="R7" s="1568" t="s">
        <v>8</v>
      </c>
      <c r="S7" s="1569">
        <f t="shared" ref="S7:S15" si="0">F7</f>
        <v>0</v>
      </c>
      <c r="T7" s="1568" t="s">
        <v>8</v>
      </c>
      <c r="U7" s="1569">
        <f t="shared" ref="U7:U15" si="1">H7</f>
        <v>0</v>
      </c>
      <c r="V7" s="1568" t="s">
        <v>8</v>
      </c>
      <c r="W7" s="1569">
        <f t="shared" ref="W7:W15" si="2">J7</f>
        <v>0</v>
      </c>
      <c r="X7" s="1570"/>
      <c r="Y7" s="3416" t="s">
        <v>530</v>
      </c>
      <c r="Z7" s="3417"/>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6" t="s">
        <v>533</v>
      </c>
      <c r="Q8" s="3417"/>
      <c r="R8" s="1568" t="s">
        <v>8</v>
      </c>
      <c r="S8" s="1569">
        <f t="shared" si="0"/>
        <v>0</v>
      </c>
      <c r="T8" s="1568" t="s">
        <v>8</v>
      </c>
      <c r="U8" s="1569">
        <f t="shared" si="1"/>
        <v>0</v>
      </c>
      <c r="V8" s="1568" t="s">
        <v>8</v>
      </c>
      <c r="W8" s="1569">
        <f t="shared" si="2"/>
        <v>0</v>
      </c>
      <c r="X8" s="1570"/>
      <c r="Y8" s="3416" t="s">
        <v>533</v>
      </c>
      <c r="Z8" s="3417"/>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4" t="s">
        <v>535</v>
      </c>
      <c r="Q9" s="1150" t="str">
        <f t="shared" ref="Q9:Q15" si="6">B9</f>
        <v>用途</v>
      </c>
      <c r="R9" s="1568" t="s">
        <v>8</v>
      </c>
      <c r="S9" s="1569">
        <f t="shared" si="0"/>
        <v>100</v>
      </c>
      <c r="T9" s="1568" t="s">
        <v>8</v>
      </c>
      <c r="U9" s="1569">
        <f t="shared" si="1"/>
        <v>100</v>
      </c>
      <c r="V9" s="1568" t="s">
        <v>8</v>
      </c>
      <c r="W9" s="1569">
        <f t="shared" si="2"/>
        <v>100</v>
      </c>
      <c r="X9" s="1570"/>
      <c r="Y9" s="3330"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30"/>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4"/>
      <c r="Q11" s="1150" t="str">
        <f t="shared" si="6"/>
        <v>容积率</v>
      </c>
      <c r="R11" s="1568" t="s">
        <v>8</v>
      </c>
      <c r="S11" s="1569" t="e">
        <f t="shared" si="0"/>
        <v>#N/A</v>
      </c>
      <c r="T11" s="1568" t="s">
        <v>8</v>
      </c>
      <c r="U11" s="1569" t="e">
        <f t="shared" si="1"/>
        <v>#N/A</v>
      </c>
      <c r="V11" s="1568" t="s">
        <v>8</v>
      </c>
      <c r="W11" s="1569" t="e">
        <f t="shared" si="2"/>
        <v>#N/A</v>
      </c>
      <c r="X11" s="1570"/>
      <c r="Y11" s="3330"/>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30"/>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30"/>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4"/>
      <c r="Q14" s="1150">
        <f t="shared" si="6"/>
        <v>111</v>
      </c>
      <c r="R14" s="1568" t="s">
        <v>8</v>
      </c>
      <c r="S14" s="1569">
        <f t="shared" si="0"/>
        <v>100</v>
      </c>
      <c r="T14" s="1568" t="s">
        <v>8</v>
      </c>
      <c r="U14" s="1569">
        <f t="shared" si="1"/>
        <v>100</v>
      </c>
      <c r="V14" s="1568" t="s">
        <v>8</v>
      </c>
      <c r="W14" s="1569">
        <f t="shared" si="2"/>
        <v>100</v>
      </c>
      <c r="X14" s="1570"/>
      <c r="Y14" s="3330"/>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9" t="s">
        <v>540</v>
      </c>
      <c r="Q15" s="1572" t="str">
        <f t="shared" si="6"/>
        <v>商业繁华度</v>
      </c>
      <c r="R15" s="1573" t="s">
        <v>8</v>
      </c>
      <c r="S15" s="1574">
        <f t="shared" si="0"/>
        <v>100</v>
      </c>
      <c r="T15" s="1573" t="s">
        <v>8</v>
      </c>
      <c r="U15" s="1574">
        <f t="shared" si="1"/>
        <v>100</v>
      </c>
      <c r="V15" s="1573" t="s">
        <v>8</v>
      </c>
      <c r="W15" s="1574">
        <f t="shared" si="2"/>
        <v>100</v>
      </c>
      <c r="X15" s="1567"/>
      <c r="Y15" s="3419"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20"/>
      <c r="Q16" s="1572"/>
      <c r="R16" s="1573"/>
      <c r="S16" s="1574"/>
      <c r="T16" s="1573"/>
      <c r="U16" s="1574"/>
      <c r="V16" s="1573"/>
      <c r="W16" s="1574"/>
      <c r="X16" s="1567"/>
      <c r="Y16" s="342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20"/>
      <c r="Q18" s="1572"/>
      <c r="R18" s="1573"/>
      <c r="S18" s="1574"/>
      <c r="T18" s="1573"/>
      <c r="U18" s="1574"/>
      <c r="V18" s="1573"/>
      <c r="W18" s="1574"/>
      <c r="X18" s="1567"/>
      <c r="Y18" s="3420"/>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20"/>
      <c r="Q20" s="1572"/>
      <c r="R20" s="1573"/>
      <c r="S20" s="1574"/>
      <c r="T20" s="1573"/>
      <c r="U20" s="1574"/>
      <c r="V20" s="1573"/>
      <c r="W20" s="1574"/>
      <c r="X20" s="1567"/>
      <c r="Y20" s="3420"/>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20"/>
      <c r="Q21" s="2556" t="str">
        <f>B21</f>
        <v>基础设施水平</v>
      </c>
      <c r="R21" s="1573" t="s">
        <v>8</v>
      </c>
      <c r="S21" s="1574">
        <f>F21</f>
        <v>100</v>
      </c>
      <c r="T21" s="1573" t="s">
        <v>8</v>
      </c>
      <c r="U21" s="1574">
        <f>H21</f>
        <v>100</v>
      </c>
      <c r="V21" s="1573" t="s">
        <v>8</v>
      </c>
      <c r="W21" s="1574">
        <f>J21</f>
        <v>100</v>
      </c>
      <c r="X21" s="2558"/>
      <c r="Y21" s="3420"/>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20"/>
      <c r="Q22" s="2556"/>
      <c r="R22" s="1573"/>
      <c r="S22" s="1574"/>
      <c r="T22" s="1573"/>
      <c r="U22" s="1574"/>
      <c r="V22" s="1573"/>
      <c r="W22" s="1574"/>
      <c r="X22" s="2558"/>
      <c r="Y22" s="3420"/>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20"/>
      <c r="Q23" s="1572" t="str">
        <f>B23</f>
        <v>自然及人文环境</v>
      </c>
      <c r="R23" s="1573" t="s">
        <v>8</v>
      </c>
      <c r="S23" s="1574">
        <f>F23</f>
        <v>100</v>
      </c>
      <c r="T23" s="1573" t="s">
        <v>8</v>
      </c>
      <c r="U23" s="1574">
        <f>H23</f>
        <v>100</v>
      </c>
      <c r="V23" s="1573" t="s">
        <v>8</v>
      </c>
      <c r="W23" s="1574">
        <f>J23</f>
        <v>100</v>
      </c>
      <c r="X23" s="1567"/>
      <c r="Y23" s="342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20"/>
      <c r="Q24" s="1572"/>
      <c r="R24" s="1573"/>
      <c r="S24" s="1574"/>
      <c r="T24" s="1573"/>
      <c r="U24" s="1574"/>
      <c r="V24" s="1573"/>
      <c r="W24" s="1574"/>
      <c r="X24" s="1567"/>
      <c r="Y24" s="3420"/>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20"/>
      <c r="Q25" s="1572" t="str">
        <f t="shared" ref="Q25:Q46" si="11">B25</f>
        <v>临街状况</v>
      </c>
      <c r="R25" s="1573" t="s">
        <v>8</v>
      </c>
      <c r="S25" s="1574">
        <f>F25</f>
        <v>100</v>
      </c>
      <c r="T25" s="1573" t="s">
        <v>8</v>
      </c>
      <c r="U25" s="1574">
        <f>H25</f>
        <v>100</v>
      </c>
      <c r="V25" s="1573" t="s">
        <v>8</v>
      </c>
      <c r="W25" s="1574">
        <f>J25</f>
        <v>100</v>
      </c>
      <c r="X25" s="1567"/>
      <c r="Y25" s="3420"/>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20"/>
      <c r="Q26" s="1572" t="str">
        <f t="shared" si="11"/>
        <v>平面位置/可视性</v>
      </c>
      <c r="R26" s="1573" t="s">
        <v>8</v>
      </c>
      <c r="S26" s="1574">
        <f>F26</f>
        <v>100</v>
      </c>
      <c r="T26" s="1573" t="s">
        <v>8</v>
      </c>
      <c r="U26" s="1574">
        <f>H26</f>
        <v>100</v>
      </c>
      <c r="V26" s="1573" t="s">
        <v>8</v>
      </c>
      <c r="W26" s="1574">
        <f>J26</f>
        <v>100</v>
      </c>
      <c r="X26" s="1567"/>
      <c r="Y26" s="3420"/>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20"/>
      <c r="Q27" s="1150" t="str">
        <f t="shared" si="11"/>
        <v>人流量</v>
      </c>
      <c r="R27" s="1568" t="s">
        <v>8</v>
      </c>
      <c r="S27" s="1569">
        <f>F27</f>
        <v>100</v>
      </c>
      <c r="T27" s="1568" t="s">
        <v>8</v>
      </c>
      <c r="U27" s="1569">
        <f>H27</f>
        <v>100</v>
      </c>
      <c r="V27" s="1568" t="s">
        <v>8</v>
      </c>
      <c r="W27" s="1569">
        <f>J27</f>
        <v>100</v>
      </c>
      <c r="X27" s="1570"/>
      <c r="Y27" s="3420"/>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2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0"/>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20"/>
      <c r="Q29" s="1572">
        <f t="shared" si="11"/>
        <v>111</v>
      </c>
      <c r="R29" s="1573" t="s">
        <v>8</v>
      </c>
      <c r="S29" s="1574">
        <f t="shared" si="12"/>
        <v>100</v>
      </c>
      <c r="T29" s="1573" t="s">
        <v>8</v>
      </c>
      <c r="U29" s="1574">
        <f t="shared" si="13"/>
        <v>100</v>
      </c>
      <c r="V29" s="1573" t="s">
        <v>8</v>
      </c>
      <c r="W29" s="1574">
        <f t="shared" si="14"/>
        <v>100</v>
      </c>
      <c r="X29" s="1567"/>
      <c r="Y29" s="342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1" t="s">
        <v>550</v>
      </c>
      <c r="Q32" s="1572" t="str">
        <f t="shared" si="11"/>
        <v>商业类型</v>
      </c>
      <c r="R32" s="1573" t="s">
        <v>8</v>
      </c>
      <c r="S32" s="1574">
        <f t="shared" si="12"/>
        <v>100</v>
      </c>
      <c r="T32" s="1573" t="s">
        <v>8</v>
      </c>
      <c r="U32" s="1574">
        <f t="shared" si="13"/>
        <v>100</v>
      </c>
      <c r="V32" s="1573" t="s">
        <v>8</v>
      </c>
      <c r="W32" s="1574">
        <f t="shared" si="14"/>
        <v>100</v>
      </c>
      <c r="X32" s="1567"/>
      <c r="Y32" s="3422"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2"/>
      <c r="Q33" s="1605" t="str">
        <f t="shared" si="11"/>
        <v>项目建筑规模</v>
      </c>
      <c r="R33" s="1577" t="s">
        <v>8</v>
      </c>
      <c r="S33" s="1578" t="e">
        <f t="shared" si="12"/>
        <v>#N/A</v>
      </c>
      <c r="T33" s="1577" t="s">
        <v>8</v>
      </c>
      <c r="U33" s="1578" t="e">
        <f t="shared" si="13"/>
        <v>#N/A</v>
      </c>
      <c r="V33" s="1577" t="s">
        <v>8</v>
      </c>
      <c r="W33" s="1578" t="e">
        <f t="shared" si="14"/>
        <v>#N/A</v>
      </c>
      <c r="X33" s="1579"/>
      <c r="Y33" s="342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2"/>
      <c r="Q34" s="1572" t="str">
        <f t="shared" si="11"/>
        <v>建筑结构</v>
      </c>
      <c r="R34" s="1573" t="s">
        <v>8</v>
      </c>
      <c r="S34" s="1574">
        <f t="shared" si="12"/>
        <v>100</v>
      </c>
      <c r="T34" s="1573" t="s">
        <v>8</v>
      </c>
      <c r="U34" s="1574">
        <f t="shared" si="13"/>
        <v>100</v>
      </c>
      <c r="V34" s="1573" t="s">
        <v>8</v>
      </c>
      <c r="W34" s="1574">
        <f t="shared" si="14"/>
        <v>100</v>
      </c>
      <c r="X34" s="1567"/>
      <c r="Y34" s="3422"/>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2"/>
      <c r="Q35" s="1572" t="str">
        <f t="shared" si="11"/>
        <v>公共部分装修</v>
      </c>
      <c r="R35" s="1573" t="s">
        <v>8</v>
      </c>
      <c r="S35" s="1574">
        <f t="shared" si="12"/>
        <v>100</v>
      </c>
      <c r="T35" s="1573" t="s">
        <v>8</v>
      </c>
      <c r="U35" s="1574">
        <f t="shared" si="13"/>
        <v>100</v>
      </c>
      <c r="V35" s="1573" t="s">
        <v>8</v>
      </c>
      <c r="W35" s="1574">
        <f t="shared" si="14"/>
        <v>100</v>
      </c>
      <c r="X35" s="1567"/>
      <c r="Y35" s="3422"/>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2"/>
      <c r="Q36" s="1572" t="str">
        <f t="shared" si="11"/>
        <v>成新度</v>
      </c>
      <c r="R36" s="1573" t="s">
        <v>8</v>
      </c>
      <c r="S36" s="1574" t="e">
        <f t="shared" si="12"/>
        <v>#N/A</v>
      </c>
      <c r="T36" s="1573" t="s">
        <v>8</v>
      </c>
      <c r="U36" s="1574" t="e">
        <f t="shared" si="13"/>
        <v>#N/A</v>
      </c>
      <c r="V36" s="1573" t="s">
        <v>8</v>
      </c>
      <c r="W36" s="1574" t="e">
        <f t="shared" si="14"/>
        <v>#N/A</v>
      </c>
      <c r="X36" s="1567"/>
      <c r="Y36" s="3422"/>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2"/>
      <c r="Q37" s="1150" t="str">
        <f t="shared" si="11"/>
        <v>市政基础设施</v>
      </c>
      <c r="R37" s="1568" t="s">
        <v>8</v>
      </c>
      <c r="S37" s="1569">
        <f t="shared" si="12"/>
        <v>100</v>
      </c>
      <c r="T37" s="1568" t="s">
        <v>8</v>
      </c>
      <c r="U37" s="1569">
        <f t="shared" si="13"/>
        <v>100</v>
      </c>
      <c r="V37" s="1568" t="s">
        <v>8</v>
      </c>
      <c r="W37" s="1569">
        <f t="shared" si="14"/>
        <v>100</v>
      </c>
      <c r="X37" s="1570"/>
      <c r="Y37" s="3422"/>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2" t="s">
        <v>766</v>
      </c>
      <c r="Q38" s="1572" t="str">
        <f t="shared" si="11"/>
        <v>业态</v>
      </c>
      <c r="R38" s="1573" t="s">
        <v>8</v>
      </c>
      <c r="S38" s="1574">
        <f t="shared" si="12"/>
        <v>100</v>
      </c>
      <c r="T38" s="1573" t="s">
        <v>8</v>
      </c>
      <c r="U38" s="1574">
        <f t="shared" si="13"/>
        <v>100</v>
      </c>
      <c r="V38" s="1573" t="s">
        <v>8</v>
      </c>
      <c r="W38" s="1574">
        <f t="shared" si="14"/>
        <v>100</v>
      </c>
      <c r="X38" s="1567"/>
      <c r="Y38" s="3422"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2"/>
      <c r="Q39" s="1572" t="str">
        <f t="shared" si="11"/>
        <v>层高</v>
      </c>
      <c r="R39" s="1573" t="s">
        <v>8</v>
      </c>
      <c r="S39" s="1574">
        <f t="shared" si="12"/>
        <v>100</v>
      </c>
      <c r="T39" s="1573" t="s">
        <v>8</v>
      </c>
      <c r="U39" s="1574">
        <f t="shared" si="13"/>
        <v>100</v>
      </c>
      <c r="V39" s="1573" t="s">
        <v>8</v>
      </c>
      <c r="W39" s="1574">
        <f t="shared" si="14"/>
        <v>100</v>
      </c>
      <c r="X39" s="1567"/>
      <c r="Y39" s="3422"/>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2"/>
      <c r="Q40" s="1572" t="str">
        <f t="shared" si="11"/>
        <v>单套建筑面积</v>
      </c>
      <c r="R40" s="1573" t="s">
        <v>8</v>
      </c>
      <c r="S40" s="1574">
        <f t="shared" si="12"/>
        <v>100</v>
      </c>
      <c r="T40" s="1573" t="s">
        <v>8</v>
      </c>
      <c r="U40" s="1574">
        <f t="shared" si="13"/>
        <v>100</v>
      </c>
      <c r="V40" s="1573" t="s">
        <v>8</v>
      </c>
      <c r="W40" s="1574">
        <f t="shared" si="14"/>
        <v>100</v>
      </c>
      <c r="X40" s="1567"/>
      <c r="Y40" s="3422"/>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2"/>
      <c r="Q41" s="1605" t="str">
        <f t="shared" si="11"/>
        <v>进深比</v>
      </c>
      <c r="R41" s="1577" t="s">
        <v>8</v>
      </c>
      <c r="S41" s="1578">
        <f t="shared" si="12"/>
        <v>100</v>
      </c>
      <c r="T41" s="1577" t="s">
        <v>8</v>
      </c>
      <c r="U41" s="1578">
        <f t="shared" si="13"/>
        <v>100</v>
      </c>
      <c r="V41" s="1577" t="s">
        <v>8</v>
      </c>
      <c r="W41" s="1578">
        <f t="shared" si="14"/>
        <v>100</v>
      </c>
      <c r="X41" s="1579"/>
      <c r="Y41" s="3422"/>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2"/>
      <c r="Q42" s="1572" t="str">
        <f t="shared" si="11"/>
        <v>内部装修</v>
      </c>
      <c r="R42" s="1573" t="s">
        <v>8</v>
      </c>
      <c r="S42" s="1574">
        <f t="shared" si="12"/>
        <v>100</v>
      </c>
      <c r="T42" s="1573" t="s">
        <v>8</v>
      </c>
      <c r="U42" s="1574">
        <f t="shared" si="13"/>
        <v>100</v>
      </c>
      <c r="V42" s="1573" t="s">
        <v>8</v>
      </c>
      <c r="W42" s="1574">
        <f t="shared" si="14"/>
        <v>100</v>
      </c>
      <c r="X42" s="1567"/>
      <c r="Y42" s="3422"/>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2"/>
      <c r="Q43" s="1572" t="str">
        <f t="shared" si="11"/>
        <v>内部装修维护情况</v>
      </c>
      <c r="R43" s="1573" t="s">
        <v>8</v>
      </c>
      <c r="S43" s="1574">
        <f t="shared" si="12"/>
        <v>100</v>
      </c>
      <c r="T43" s="1573" t="s">
        <v>8</v>
      </c>
      <c r="U43" s="1574">
        <f t="shared" si="13"/>
        <v>100</v>
      </c>
      <c r="V43" s="1573" t="s">
        <v>8</v>
      </c>
      <c r="W43" s="1574">
        <f t="shared" si="14"/>
        <v>100</v>
      </c>
      <c r="X43" s="1567"/>
      <c r="Y43" s="342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2"/>
      <c r="Q44" s="1150">
        <f t="shared" si="11"/>
        <v>111</v>
      </c>
      <c r="R44" s="1568" t="s">
        <v>8</v>
      </c>
      <c r="S44" s="1569">
        <f t="shared" si="12"/>
        <v>100</v>
      </c>
      <c r="T44" s="1568" t="s">
        <v>8</v>
      </c>
      <c r="U44" s="1569">
        <f t="shared" si="13"/>
        <v>100</v>
      </c>
      <c r="V44" s="1568" t="s">
        <v>8</v>
      </c>
      <c r="W44" s="1569">
        <f t="shared" si="14"/>
        <v>100</v>
      </c>
      <c r="X44" s="1570"/>
      <c r="Y44" s="342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2"/>
      <c r="Q45" s="1572">
        <f t="shared" si="11"/>
        <v>111</v>
      </c>
      <c r="R45" s="1573" t="s">
        <v>8</v>
      </c>
      <c r="S45" s="1574">
        <f t="shared" si="12"/>
        <v>100</v>
      </c>
      <c r="T45" s="1573" t="s">
        <v>8</v>
      </c>
      <c r="U45" s="1574">
        <f t="shared" si="13"/>
        <v>100</v>
      </c>
      <c r="V45" s="1573" t="s">
        <v>8</v>
      </c>
      <c r="W45" s="1574">
        <f t="shared" si="14"/>
        <v>100</v>
      </c>
      <c r="X45" s="1567"/>
      <c r="Y45" s="342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9"/>
      <c r="Q46" s="1572">
        <f t="shared" si="11"/>
        <v>111</v>
      </c>
      <c r="R46" s="1573" t="s">
        <v>8</v>
      </c>
      <c r="S46" s="1574">
        <f t="shared" si="12"/>
        <v>100</v>
      </c>
      <c r="T46" s="1573" t="s">
        <v>8</v>
      </c>
      <c r="U46" s="1574">
        <f t="shared" si="13"/>
        <v>100</v>
      </c>
      <c r="V46" s="1573" t="s">
        <v>8</v>
      </c>
      <c r="W46" s="1574">
        <f t="shared" si="14"/>
        <v>100</v>
      </c>
      <c r="X46" s="1567"/>
      <c r="Y46" s="3499"/>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4" t="str">
        <f>A47</f>
        <v>成交单价（元/平方米）</v>
      </c>
      <c r="Q47" s="3384"/>
      <c r="R47" s="3498">
        <f>E47</f>
        <v>0</v>
      </c>
      <c r="S47" s="3498"/>
      <c r="T47" s="3498">
        <f>G47</f>
        <v>0</v>
      </c>
      <c r="U47" s="3498"/>
      <c r="V47" s="3498">
        <f>I47</f>
        <v>0</v>
      </c>
      <c r="W47" s="3498"/>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384" t="str">
        <f>A48</f>
        <v>比较价格（元/平方米）</v>
      </c>
      <c r="Q48" s="3384"/>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381" t="str">
        <f>A49</f>
        <v>估价对象XX用房的比较价格（楼面单价，元/平方米）</v>
      </c>
      <c r="Q49" s="3382"/>
      <c r="R49" s="3497" t="e">
        <f>IF(F1="售价",ROUND(AVERAGE(R48:V48),0),ROUND(AVERAGE(R48:V48),1))</f>
        <v>#DIV/0!</v>
      </c>
      <c r="S49" s="3497"/>
      <c r="T49" s="3497"/>
      <c r="U49" s="3497"/>
      <c r="V49" s="3497"/>
      <c r="W49" s="3497"/>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90" t="s">
        <v>522</v>
      </c>
      <c r="D4" s="3391"/>
      <c r="E4" s="3431" t="s">
        <v>523</v>
      </c>
      <c r="F4" s="3432"/>
      <c r="G4" s="3390" t="s">
        <v>524</v>
      </c>
      <c r="H4" s="3391"/>
      <c r="I4" s="3390" t="s">
        <v>525</v>
      </c>
      <c r="J4" s="3391"/>
      <c r="K4" s="513" t="s">
        <v>526</v>
      </c>
      <c r="L4" s="2131"/>
      <c r="M4" s="2132"/>
      <c r="N4" s="2132"/>
      <c r="O4" s="2132"/>
      <c r="P4" s="3501" t="s">
        <v>527</v>
      </c>
      <c r="Q4" s="3393"/>
      <c r="R4" s="3398" t="s">
        <v>523</v>
      </c>
      <c r="S4" s="3399"/>
      <c r="T4" s="3398" t="s">
        <v>524</v>
      </c>
      <c r="U4" s="3399"/>
      <c r="V4" s="3385" t="s">
        <v>525</v>
      </c>
      <c r="W4" s="3385"/>
      <c r="X4" s="1567"/>
      <c r="Y4" s="3398" t="s">
        <v>527</v>
      </c>
      <c r="Z4" s="3399"/>
      <c r="AA4" s="3387" t="s">
        <v>523</v>
      </c>
      <c r="AB4" s="3387" t="s">
        <v>524</v>
      </c>
      <c r="AC4" s="3387" t="s">
        <v>525</v>
      </c>
    </row>
    <row r="5" spans="1:29" ht="15">
      <c r="A5" s="514"/>
      <c r="B5" s="515"/>
      <c r="C5" s="3408" t="s">
        <v>2923</v>
      </c>
      <c r="D5" s="3407"/>
      <c r="E5" s="3433" t="s">
        <v>2924</v>
      </c>
      <c r="F5" s="3434"/>
      <c r="G5" s="3408" t="s">
        <v>2925</v>
      </c>
      <c r="H5" s="3407"/>
      <c r="I5" s="3408" t="s">
        <v>2926</v>
      </c>
      <c r="J5" s="3407"/>
      <c r="K5" s="513"/>
      <c r="L5" s="2131"/>
      <c r="M5" s="2132"/>
      <c r="N5" s="2132"/>
      <c r="O5" s="2132"/>
      <c r="P5" s="3502"/>
      <c r="Q5" s="3395"/>
      <c r="R5" s="3400"/>
      <c r="S5" s="3401"/>
      <c r="T5" s="3400"/>
      <c r="U5" s="3401"/>
      <c r="V5" s="3385"/>
      <c r="W5" s="3385"/>
      <c r="X5" s="1567"/>
      <c r="Y5" s="3400"/>
      <c r="Z5" s="3401"/>
      <c r="AA5" s="3388"/>
      <c r="AB5" s="3388"/>
      <c r="AC5" s="3388"/>
    </row>
    <row r="6" spans="1:29" ht="15.75" thickBot="1">
      <c r="A6" s="516"/>
      <c r="B6" s="517"/>
      <c r="C6" s="3404" t="s">
        <v>2927</v>
      </c>
      <c r="D6" s="3405"/>
      <c r="E6" s="3429" t="s">
        <v>2927</v>
      </c>
      <c r="F6" s="3430"/>
      <c r="G6" s="3404" t="s">
        <v>2927</v>
      </c>
      <c r="H6" s="3405"/>
      <c r="I6" s="3404" t="s">
        <v>2927</v>
      </c>
      <c r="J6" s="3405"/>
      <c r="K6" s="513" t="s">
        <v>528</v>
      </c>
      <c r="L6" s="2131"/>
      <c r="M6" s="2132"/>
      <c r="N6" s="2132"/>
      <c r="O6" s="2132"/>
      <c r="P6" s="3503"/>
      <c r="Q6" s="3397"/>
      <c r="R6" s="3400"/>
      <c r="S6" s="3401"/>
      <c r="T6" s="3402"/>
      <c r="U6" s="3403"/>
      <c r="V6" s="3385"/>
      <c r="W6" s="3385"/>
      <c r="X6" s="1567"/>
      <c r="Y6" s="3402"/>
      <c r="Z6" s="3403"/>
      <c r="AA6" s="3389"/>
      <c r="AB6" s="3389"/>
      <c r="AC6" s="3389"/>
    </row>
    <row r="7" spans="1:29" s="1219" customFormat="1" ht="15.75" thickBot="1">
      <c r="A7" s="2888"/>
      <c r="B7" s="2895" t="s">
        <v>529</v>
      </c>
      <c r="C7" s="518">
        <f>'数据-取费表'!B2</f>
        <v>43468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8" t="s">
        <v>530</v>
      </c>
      <c r="Q7" s="3418"/>
      <c r="R7" s="1568" t="s">
        <v>8</v>
      </c>
      <c r="S7" s="1569">
        <f t="shared" ref="S7:S15" si="0">F7</f>
        <v>0</v>
      </c>
      <c r="T7" s="1568" t="s">
        <v>8</v>
      </c>
      <c r="U7" s="1569">
        <f t="shared" ref="U7:U15" si="1">H7</f>
        <v>0</v>
      </c>
      <c r="V7" s="1568" t="s">
        <v>8</v>
      </c>
      <c r="W7" s="1569">
        <f t="shared" ref="W7:W15" si="2">J7</f>
        <v>0</v>
      </c>
      <c r="X7" s="1570"/>
      <c r="Y7" s="3416" t="s">
        <v>530</v>
      </c>
      <c r="Z7" s="3417"/>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8" t="s">
        <v>533</v>
      </c>
      <c r="Q8" s="3417"/>
      <c r="R8" s="1568" t="s">
        <v>8</v>
      </c>
      <c r="S8" s="1569">
        <f t="shared" si="0"/>
        <v>0</v>
      </c>
      <c r="T8" s="1568" t="s">
        <v>8</v>
      </c>
      <c r="U8" s="1569">
        <f t="shared" si="1"/>
        <v>0</v>
      </c>
      <c r="V8" s="1568" t="s">
        <v>8</v>
      </c>
      <c r="W8" s="1569">
        <f t="shared" si="2"/>
        <v>0</v>
      </c>
      <c r="X8" s="1570"/>
      <c r="Y8" s="3416" t="s">
        <v>533</v>
      </c>
      <c r="Z8" s="3417"/>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4" t="s">
        <v>535</v>
      </c>
      <c r="Q9" s="1150" t="str">
        <f t="shared" ref="Q9:Q15" si="6">B9</f>
        <v>用途</v>
      </c>
      <c r="R9" s="1568" t="s">
        <v>8</v>
      </c>
      <c r="S9" s="1569">
        <f t="shared" si="0"/>
        <v>100</v>
      </c>
      <c r="T9" s="1568" t="s">
        <v>8</v>
      </c>
      <c r="U9" s="1569">
        <f t="shared" si="1"/>
        <v>100</v>
      </c>
      <c r="V9" s="1568" t="s">
        <v>8</v>
      </c>
      <c r="W9" s="1569">
        <f t="shared" si="2"/>
        <v>100</v>
      </c>
      <c r="X9" s="1570"/>
      <c r="Y9" s="3330"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4"/>
      <c r="Q10" s="1150" t="str">
        <f t="shared" si="6"/>
        <v>土地使用年限（年）</v>
      </c>
      <c r="R10" s="1568" t="s">
        <v>8</v>
      </c>
      <c r="S10" s="1569">
        <f t="shared" si="0"/>
        <v>100</v>
      </c>
      <c r="T10" s="1568" t="s">
        <v>8</v>
      </c>
      <c r="U10" s="1569">
        <f t="shared" si="1"/>
        <v>100</v>
      </c>
      <c r="V10" s="1568" t="s">
        <v>8</v>
      </c>
      <c r="W10" s="1569">
        <f t="shared" si="2"/>
        <v>100</v>
      </c>
      <c r="X10" s="1570"/>
      <c r="Y10" s="3330"/>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4"/>
      <c r="Q11" s="1150" t="str">
        <f t="shared" si="6"/>
        <v>容积率</v>
      </c>
      <c r="R11" s="1568" t="s">
        <v>8</v>
      </c>
      <c r="S11" s="1569" t="e">
        <f t="shared" si="0"/>
        <v>#N/A</v>
      </c>
      <c r="T11" s="1568" t="s">
        <v>8</v>
      </c>
      <c r="U11" s="1569" t="e">
        <f t="shared" si="1"/>
        <v>#N/A</v>
      </c>
      <c r="V11" s="1568" t="s">
        <v>8</v>
      </c>
      <c r="W11" s="1569" t="e">
        <f t="shared" si="2"/>
        <v>#N/A</v>
      </c>
      <c r="X11" s="1570"/>
      <c r="Y11" s="3330"/>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4"/>
      <c r="Q12" s="1150">
        <f t="shared" si="6"/>
        <v>111</v>
      </c>
      <c r="R12" s="1568" t="s">
        <v>8</v>
      </c>
      <c r="S12" s="1569">
        <f t="shared" si="0"/>
        <v>100</v>
      </c>
      <c r="T12" s="1568" t="s">
        <v>8</v>
      </c>
      <c r="U12" s="1569">
        <f t="shared" si="1"/>
        <v>100</v>
      </c>
      <c r="V12" s="1568" t="s">
        <v>8</v>
      </c>
      <c r="W12" s="1569">
        <f t="shared" si="2"/>
        <v>100</v>
      </c>
      <c r="X12" s="1570"/>
      <c r="Y12" s="3330"/>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4"/>
      <c r="Q13" s="1150">
        <f t="shared" si="6"/>
        <v>111</v>
      </c>
      <c r="R13" s="1568" t="s">
        <v>8</v>
      </c>
      <c r="S13" s="1569">
        <f t="shared" si="0"/>
        <v>100</v>
      </c>
      <c r="T13" s="1568" t="s">
        <v>8</v>
      </c>
      <c r="U13" s="1569">
        <f t="shared" si="1"/>
        <v>100</v>
      </c>
      <c r="V13" s="1568" t="s">
        <v>8</v>
      </c>
      <c r="W13" s="1569">
        <f t="shared" si="2"/>
        <v>100</v>
      </c>
      <c r="X13" s="1570"/>
      <c r="Y13" s="3330"/>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4"/>
      <c r="Q14" s="1150">
        <f t="shared" si="6"/>
        <v>111</v>
      </c>
      <c r="R14" s="1568" t="s">
        <v>8</v>
      </c>
      <c r="S14" s="1569">
        <f t="shared" si="0"/>
        <v>100</v>
      </c>
      <c r="T14" s="1568" t="s">
        <v>8</v>
      </c>
      <c r="U14" s="1569">
        <f t="shared" si="1"/>
        <v>100</v>
      </c>
      <c r="V14" s="1568" t="s">
        <v>8</v>
      </c>
      <c r="W14" s="1569">
        <f t="shared" si="2"/>
        <v>100</v>
      </c>
      <c r="X14" s="1570"/>
      <c r="Y14" s="3330"/>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19" t="s">
        <v>540</v>
      </c>
      <c r="Q15" s="1572" t="str">
        <f t="shared" si="6"/>
        <v>办公集聚程度</v>
      </c>
      <c r="R15" s="1573" t="s">
        <v>8</v>
      </c>
      <c r="S15" s="1574">
        <f t="shared" si="0"/>
        <v>100</v>
      </c>
      <c r="T15" s="1573" t="s">
        <v>8</v>
      </c>
      <c r="U15" s="1574">
        <f t="shared" si="1"/>
        <v>100</v>
      </c>
      <c r="V15" s="1573" t="s">
        <v>8</v>
      </c>
      <c r="W15" s="1574">
        <f t="shared" si="2"/>
        <v>100</v>
      </c>
      <c r="X15" s="1567"/>
      <c r="Y15" s="341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20"/>
      <c r="Q16" s="1572"/>
      <c r="R16" s="1573"/>
      <c r="S16" s="1574"/>
      <c r="T16" s="1573"/>
      <c r="U16" s="1574"/>
      <c r="V16" s="1573"/>
      <c r="W16" s="1574"/>
      <c r="X16" s="1567"/>
      <c r="Y16" s="3420"/>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20"/>
      <c r="Q18" s="1572"/>
      <c r="R18" s="1573"/>
      <c r="S18" s="1574"/>
      <c r="T18" s="1573"/>
      <c r="U18" s="1574"/>
      <c r="V18" s="1573"/>
      <c r="W18" s="1574"/>
      <c r="X18" s="1567"/>
      <c r="Y18" s="3420"/>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20"/>
      <c r="Q20" s="1572"/>
      <c r="R20" s="1573"/>
      <c r="S20" s="1574"/>
      <c r="T20" s="1573"/>
      <c r="U20" s="1574"/>
      <c r="V20" s="1573"/>
      <c r="W20" s="1574"/>
      <c r="X20" s="1567"/>
      <c r="Y20" s="3420"/>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20"/>
      <c r="Q21" s="2556" t="str">
        <f>B21</f>
        <v>基础设施水平</v>
      </c>
      <c r="R21" s="1573" t="s">
        <v>8</v>
      </c>
      <c r="S21" s="1574">
        <f>F21</f>
        <v>100</v>
      </c>
      <c r="T21" s="1573" t="s">
        <v>8</v>
      </c>
      <c r="U21" s="1574">
        <f>H21</f>
        <v>100</v>
      </c>
      <c r="V21" s="1573" t="s">
        <v>8</v>
      </c>
      <c r="W21" s="1574">
        <f>J21</f>
        <v>100</v>
      </c>
      <c r="X21" s="2558"/>
      <c r="Y21" s="3420"/>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20"/>
      <c r="Q22" s="2556"/>
      <c r="R22" s="1573"/>
      <c r="S22" s="1574"/>
      <c r="T22" s="1573"/>
      <c r="U22" s="1574"/>
      <c r="V22" s="1573"/>
      <c r="W22" s="1574"/>
      <c r="X22" s="2558"/>
      <c r="Y22" s="3420"/>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20"/>
      <c r="Q24" s="1572"/>
      <c r="R24" s="1573"/>
      <c r="S24" s="1574"/>
      <c r="T24" s="1573"/>
      <c r="U24" s="1574"/>
      <c r="V24" s="1573"/>
      <c r="W24" s="1574"/>
      <c r="X24" s="1567"/>
      <c r="Y24" s="342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20"/>
      <c r="Q25" s="1572" t="str">
        <f>B25</f>
        <v>毗邻道路的类型与等级</v>
      </c>
      <c r="R25" s="1573" t="s">
        <v>8</v>
      </c>
      <c r="S25" s="1574">
        <f>F25</f>
        <v>100</v>
      </c>
      <c r="T25" s="1573" t="s">
        <v>8</v>
      </c>
      <c r="U25" s="1574">
        <f>H25</f>
        <v>100</v>
      </c>
      <c r="V25" s="1573" t="s">
        <v>8</v>
      </c>
      <c r="W25" s="1574">
        <f>J25</f>
        <v>100</v>
      </c>
      <c r="X25" s="1567"/>
      <c r="Y25" s="342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20"/>
      <c r="Q26" s="1572"/>
      <c r="R26" s="1573"/>
      <c r="S26" s="1574"/>
      <c r="T26" s="1573"/>
      <c r="U26" s="1574"/>
      <c r="V26" s="1573"/>
      <c r="W26" s="1574"/>
      <c r="X26" s="1567"/>
      <c r="Y26" s="342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20"/>
      <c r="Q27" s="1572" t="str">
        <f t="shared" ref="Q27:Q47" si="11">B27</f>
        <v>楼层</v>
      </c>
      <c r="R27" s="1573" t="s">
        <v>8</v>
      </c>
      <c r="S27" s="1574">
        <f>F27</f>
        <v>100</v>
      </c>
      <c r="T27" s="1573" t="s">
        <v>8</v>
      </c>
      <c r="U27" s="1574">
        <f>H27</f>
        <v>100</v>
      </c>
      <c r="V27" s="1573" t="s">
        <v>8</v>
      </c>
      <c r="W27" s="1574">
        <f>J27</f>
        <v>100</v>
      </c>
      <c r="X27" s="1567"/>
      <c r="Y27" s="342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20"/>
      <c r="Q28" s="1150" t="str">
        <f t="shared" si="11"/>
        <v>朝向</v>
      </c>
      <c r="R28" s="1568" t="s">
        <v>8</v>
      </c>
      <c r="S28" s="1569">
        <f>F28</f>
        <v>100</v>
      </c>
      <c r="T28" s="1568" t="s">
        <v>8</v>
      </c>
      <c r="U28" s="1569">
        <f>H28</f>
        <v>100</v>
      </c>
      <c r="V28" s="1568" t="s">
        <v>8</v>
      </c>
      <c r="W28" s="1569">
        <f>J28</f>
        <v>100</v>
      </c>
      <c r="X28" s="1570"/>
      <c r="Y28" s="342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20"/>
      <c r="Q29" s="1572">
        <f t="shared" si="11"/>
        <v>111</v>
      </c>
      <c r="R29" s="1573" t="s">
        <v>8</v>
      </c>
      <c r="S29" s="1574">
        <f t="shared" ref="S29:S47" si="12">F29</f>
        <v>100</v>
      </c>
      <c r="T29" s="1573" t="s">
        <v>8</v>
      </c>
      <c r="U29" s="1574">
        <f t="shared" ref="U29:U47" si="13">H29</f>
        <v>100</v>
      </c>
      <c r="V29" s="1573" t="s">
        <v>8</v>
      </c>
      <c r="W29" s="1574">
        <f t="shared" ref="W29:W47" si="14">J29</f>
        <v>100</v>
      </c>
      <c r="X29" s="1567"/>
      <c r="Y29" s="3420"/>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20"/>
      <c r="Q32" s="1572">
        <f t="shared" si="11"/>
        <v>111</v>
      </c>
      <c r="R32" s="1573" t="s">
        <v>8</v>
      </c>
      <c r="S32" s="1574">
        <f t="shared" si="12"/>
        <v>100</v>
      </c>
      <c r="T32" s="1573" t="s">
        <v>8</v>
      </c>
      <c r="U32" s="1574">
        <f t="shared" si="13"/>
        <v>100</v>
      </c>
      <c r="V32" s="1573" t="s">
        <v>8</v>
      </c>
      <c r="W32" s="1574">
        <f t="shared" si="14"/>
        <v>100</v>
      </c>
      <c r="X32" s="1567"/>
      <c r="Y32" s="3420"/>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1" t="s">
        <v>550</v>
      </c>
      <c r="Q33" s="1572" t="str">
        <f t="shared" si="11"/>
        <v>建筑类型</v>
      </c>
      <c r="R33" s="1573" t="s">
        <v>8</v>
      </c>
      <c r="S33" s="1574">
        <f t="shared" si="12"/>
        <v>100</v>
      </c>
      <c r="T33" s="1573" t="s">
        <v>8</v>
      </c>
      <c r="U33" s="1574">
        <f t="shared" si="13"/>
        <v>100</v>
      </c>
      <c r="V33" s="1573" t="s">
        <v>8</v>
      </c>
      <c r="W33" s="1574">
        <f t="shared" si="14"/>
        <v>100</v>
      </c>
      <c r="X33" s="1567"/>
      <c r="Y33" s="3422"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2"/>
      <c r="Q34" s="1605" t="str">
        <f t="shared" si="11"/>
        <v>项目建筑规模</v>
      </c>
      <c r="R34" s="1577" t="s">
        <v>8</v>
      </c>
      <c r="S34" s="1578" t="e">
        <f t="shared" si="12"/>
        <v>#N/A</v>
      </c>
      <c r="T34" s="1577" t="s">
        <v>8</v>
      </c>
      <c r="U34" s="1578" t="e">
        <f t="shared" si="13"/>
        <v>#N/A</v>
      </c>
      <c r="V34" s="1577" t="s">
        <v>8</v>
      </c>
      <c r="W34" s="1578" t="e">
        <f t="shared" si="14"/>
        <v>#N/A</v>
      </c>
      <c r="X34" s="1579"/>
      <c r="Y34" s="3422"/>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2"/>
      <c r="Q35" s="1572" t="str">
        <f t="shared" si="11"/>
        <v>建筑结构</v>
      </c>
      <c r="R35" s="1573" t="s">
        <v>8</v>
      </c>
      <c r="S35" s="1574">
        <f t="shared" si="12"/>
        <v>100</v>
      </c>
      <c r="T35" s="1573" t="s">
        <v>8</v>
      </c>
      <c r="U35" s="1574">
        <f t="shared" si="13"/>
        <v>100</v>
      </c>
      <c r="V35" s="1573" t="s">
        <v>8</v>
      </c>
      <c r="W35" s="1574">
        <f t="shared" si="14"/>
        <v>100</v>
      </c>
      <c r="X35" s="1567"/>
      <c r="Y35" s="3422"/>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2"/>
      <c r="Q36" s="1572" t="str">
        <f t="shared" si="11"/>
        <v>公共部分装修</v>
      </c>
      <c r="R36" s="1573" t="s">
        <v>8</v>
      </c>
      <c r="S36" s="1574">
        <f t="shared" si="12"/>
        <v>100</v>
      </c>
      <c r="T36" s="1573" t="s">
        <v>8</v>
      </c>
      <c r="U36" s="1574">
        <f t="shared" si="13"/>
        <v>100</v>
      </c>
      <c r="V36" s="1573" t="s">
        <v>8</v>
      </c>
      <c r="W36" s="1574">
        <f t="shared" si="14"/>
        <v>100</v>
      </c>
      <c r="X36" s="1567"/>
      <c r="Y36" s="3422"/>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2"/>
      <c r="Q37" s="1572" t="str">
        <f t="shared" si="11"/>
        <v>成新度</v>
      </c>
      <c r="R37" s="1573" t="s">
        <v>8</v>
      </c>
      <c r="S37" s="1574" t="e">
        <f t="shared" si="12"/>
        <v>#N/A</v>
      </c>
      <c r="T37" s="1573" t="s">
        <v>8</v>
      </c>
      <c r="U37" s="1574" t="e">
        <f t="shared" si="13"/>
        <v>#N/A</v>
      </c>
      <c r="V37" s="1573" t="s">
        <v>8</v>
      </c>
      <c r="W37" s="1574" t="e">
        <f t="shared" si="14"/>
        <v>#N/A</v>
      </c>
      <c r="X37" s="1567"/>
      <c r="Y37" s="3422"/>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2"/>
      <c r="Q38" s="1150" t="str">
        <f t="shared" si="11"/>
        <v>写字楼等级</v>
      </c>
      <c r="R38" s="1568" t="s">
        <v>8</v>
      </c>
      <c r="S38" s="1569">
        <f t="shared" si="12"/>
        <v>100</v>
      </c>
      <c r="T38" s="1568" t="s">
        <v>8</v>
      </c>
      <c r="U38" s="1569">
        <f t="shared" si="13"/>
        <v>100</v>
      </c>
      <c r="V38" s="1568" t="s">
        <v>8</v>
      </c>
      <c r="W38" s="1569">
        <f t="shared" si="14"/>
        <v>100</v>
      </c>
      <c r="X38" s="1570"/>
      <c r="Y38" s="3422"/>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2" t="s">
        <v>550</v>
      </c>
      <c r="Q39" s="1572" t="str">
        <f t="shared" si="11"/>
        <v>物业管理</v>
      </c>
      <c r="R39" s="1573" t="s">
        <v>8</v>
      </c>
      <c r="S39" s="1574">
        <f t="shared" si="12"/>
        <v>100</v>
      </c>
      <c r="T39" s="1573" t="s">
        <v>8</v>
      </c>
      <c r="U39" s="1574">
        <f t="shared" si="13"/>
        <v>100</v>
      </c>
      <c r="V39" s="1573" t="s">
        <v>8</v>
      </c>
      <c r="W39" s="1574">
        <f t="shared" si="14"/>
        <v>100</v>
      </c>
      <c r="X39" s="1567"/>
      <c r="Y39" s="3422"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2"/>
      <c r="Q40" s="1572" t="str">
        <f t="shared" si="11"/>
        <v>市政基础设施</v>
      </c>
      <c r="R40" s="1573" t="s">
        <v>8</v>
      </c>
      <c r="S40" s="1574">
        <f t="shared" si="12"/>
        <v>100</v>
      </c>
      <c r="T40" s="1573" t="s">
        <v>8</v>
      </c>
      <c r="U40" s="1574">
        <f t="shared" si="13"/>
        <v>100</v>
      </c>
      <c r="V40" s="1573" t="s">
        <v>8</v>
      </c>
      <c r="W40" s="1574">
        <f t="shared" si="14"/>
        <v>100</v>
      </c>
      <c r="X40" s="1567"/>
      <c r="Y40" s="3422"/>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2"/>
      <c r="Q41" s="1572" t="str">
        <f t="shared" si="11"/>
        <v>层高</v>
      </c>
      <c r="R41" s="1573" t="s">
        <v>8</v>
      </c>
      <c r="S41" s="1574">
        <f t="shared" si="12"/>
        <v>100</v>
      </c>
      <c r="T41" s="1573" t="s">
        <v>8</v>
      </c>
      <c r="U41" s="1574">
        <f t="shared" si="13"/>
        <v>100</v>
      </c>
      <c r="V41" s="1573" t="s">
        <v>8</v>
      </c>
      <c r="W41" s="1574">
        <f t="shared" si="14"/>
        <v>100</v>
      </c>
      <c r="X41" s="1567"/>
      <c r="Y41" s="3422"/>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2"/>
      <c r="Q42" s="1605" t="str">
        <f t="shared" si="11"/>
        <v>单套建筑面积</v>
      </c>
      <c r="R42" s="1577" t="s">
        <v>8</v>
      </c>
      <c r="S42" s="1578">
        <f t="shared" si="12"/>
        <v>100</v>
      </c>
      <c r="T42" s="1577" t="s">
        <v>8</v>
      </c>
      <c r="U42" s="1578">
        <f t="shared" si="13"/>
        <v>100</v>
      </c>
      <c r="V42" s="1577" t="s">
        <v>8</v>
      </c>
      <c r="W42" s="1578">
        <f t="shared" si="14"/>
        <v>100</v>
      </c>
      <c r="X42" s="1579"/>
      <c r="Y42" s="3422"/>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2"/>
      <c r="Q43" s="1572" t="str">
        <f t="shared" si="11"/>
        <v>内部装修</v>
      </c>
      <c r="R43" s="1573" t="s">
        <v>8</v>
      </c>
      <c r="S43" s="1574">
        <f t="shared" si="12"/>
        <v>100</v>
      </c>
      <c r="T43" s="1573" t="s">
        <v>8</v>
      </c>
      <c r="U43" s="1574">
        <f t="shared" si="13"/>
        <v>100</v>
      </c>
      <c r="V43" s="1573" t="s">
        <v>8</v>
      </c>
      <c r="W43" s="1574">
        <f t="shared" si="14"/>
        <v>100</v>
      </c>
      <c r="X43" s="1567"/>
      <c r="Y43" s="3422"/>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2"/>
      <c r="Q44" s="1572" t="str">
        <f t="shared" si="11"/>
        <v>内部装修维护情况</v>
      </c>
      <c r="R44" s="1573" t="s">
        <v>8</v>
      </c>
      <c r="S44" s="1574">
        <f t="shared" si="12"/>
        <v>100</v>
      </c>
      <c r="T44" s="1573" t="s">
        <v>8</v>
      </c>
      <c r="U44" s="1574">
        <f t="shared" si="13"/>
        <v>100</v>
      </c>
      <c r="V44" s="1573" t="s">
        <v>8</v>
      </c>
      <c r="W44" s="1574">
        <f t="shared" si="14"/>
        <v>100</v>
      </c>
      <c r="X44" s="1567"/>
      <c r="Y44" s="342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2"/>
      <c r="Q45" s="1150">
        <f t="shared" si="11"/>
        <v>111</v>
      </c>
      <c r="R45" s="1568" t="s">
        <v>8</v>
      </c>
      <c r="S45" s="1569">
        <f t="shared" si="12"/>
        <v>100</v>
      </c>
      <c r="T45" s="1568" t="s">
        <v>8</v>
      </c>
      <c r="U45" s="1569">
        <f t="shared" si="13"/>
        <v>100</v>
      </c>
      <c r="V45" s="1568" t="s">
        <v>8</v>
      </c>
      <c r="W45" s="1569">
        <f t="shared" si="14"/>
        <v>100</v>
      </c>
      <c r="X45" s="1570"/>
      <c r="Y45" s="342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2"/>
      <c r="Q46" s="1572">
        <f t="shared" si="11"/>
        <v>111</v>
      </c>
      <c r="R46" s="1573" t="s">
        <v>8</v>
      </c>
      <c r="S46" s="1574">
        <f t="shared" si="12"/>
        <v>100</v>
      </c>
      <c r="T46" s="1573" t="s">
        <v>8</v>
      </c>
      <c r="U46" s="1574">
        <f t="shared" si="13"/>
        <v>100</v>
      </c>
      <c r="V46" s="1573" t="s">
        <v>8</v>
      </c>
      <c r="W46" s="1574">
        <f t="shared" si="14"/>
        <v>100</v>
      </c>
      <c r="X46" s="1567"/>
      <c r="Y46" s="342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9"/>
      <c r="Q47" s="1572">
        <f t="shared" si="11"/>
        <v>111</v>
      </c>
      <c r="R47" s="1573" t="s">
        <v>8</v>
      </c>
      <c r="S47" s="1574">
        <f t="shared" si="12"/>
        <v>100</v>
      </c>
      <c r="T47" s="1573" t="s">
        <v>8</v>
      </c>
      <c r="U47" s="1574">
        <f t="shared" si="13"/>
        <v>100</v>
      </c>
      <c r="V47" s="1573" t="s">
        <v>8</v>
      </c>
      <c r="W47" s="1574">
        <f t="shared" si="14"/>
        <v>100</v>
      </c>
      <c r="X47" s="1567"/>
      <c r="Y47" s="3499"/>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382" t="str">
        <f>A48</f>
        <v>成交单价（元/平方米）</v>
      </c>
      <c r="Q48" s="3384"/>
      <c r="R48" s="3498">
        <f>E48</f>
        <v>0</v>
      </c>
      <c r="S48" s="3498"/>
      <c r="T48" s="3498">
        <f>G48</f>
        <v>0</v>
      </c>
      <c r="U48" s="3498"/>
      <c r="V48" s="3498">
        <f>I48</f>
        <v>0</v>
      </c>
      <c r="W48" s="3498"/>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382" t="str">
        <f>A49</f>
        <v>比较价格（元/平方米）</v>
      </c>
      <c r="Q49" s="3384"/>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500" t="str">
        <f>A50</f>
        <v>估价对象XX用房的比较价格（楼面单价，元/平方米）</v>
      </c>
      <c r="Q50" s="3382"/>
      <c r="R50" s="3497" t="e">
        <f>IF(F1="售价",ROUND(AVERAGE(R49:V49),0),ROUND(AVERAGE(R49:V49),1))</f>
        <v>#DIV/0!</v>
      </c>
      <c r="S50" s="3497"/>
      <c r="T50" s="3497"/>
      <c r="U50" s="3497"/>
      <c r="V50" s="3497"/>
      <c r="W50" s="3497"/>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90" t="s">
        <v>522</v>
      </c>
      <c r="D4" s="3391"/>
      <c r="E4" s="3431" t="s">
        <v>523</v>
      </c>
      <c r="F4" s="3432"/>
      <c r="G4" s="3390" t="s">
        <v>524</v>
      </c>
      <c r="H4" s="3391"/>
      <c r="I4" s="3390" t="s">
        <v>525</v>
      </c>
      <c r="J4" s="3391"/>
      <c r="K4" s="513" t="s">
        <v>526</v>
      </c>
      <c r="L4" s="2131"/>
      <c r="M4" s="2132"/>
      <c r="N4" s="2132"/>
      <c r="O4" s="2132"/>
      <c r="P4" s="3392" t="s">
        <v>527</v>
      </c>
      <c r="Q4" s="3393"/>
      <c r="R4" s="3398" t="s">
        <v>523</v>
      </c>
      <c r="S4" s="3399"/>
      <c r="T4" s="3398" t="s">
        <v>524</v>
      </c>
      <c r="U4" s="3399"/>
      <c r="V4" s="3385" t="s">
        <v>525</v>
      </c>
      <c r="W4" s="3385"/>
      <c r="X4" s="1567"/>
      <c r="Y4" s="3398" t="s">
        <v>527</v>
      </c>
      <c r="Z4" s="3399"/>
      <c r="AA4" s="3387" t="s">
        <v>523</v>
      </c>
      <c r="AB4" s="3388" t="s">
        <v>524</v>
      </c>
      <c r="AC4" s="3387" t="s">
        <v>525</v>
      </c>
    </row>
    <row r="5" spans="1:29" ht="15">
      <c r="A5" s="514"/>
      <c r="B5" s="515"/>
      <c r="C5" s="3408" t="s">
        <v>2923</v>
      </c>
      <c r="D5" s="3407"/>
      <c r="E5" s="3433" t="s">
        <v>2924</v>
      </c>
      <c r="F5" s="3434"/>
      <c r="G5" s="3408" t="s">
        <v>2925</v>
      </c>
      <c r="H5" s="3407"/>
      <c r="I5" s="3408" t="s">
        <v>2926</v>
      </c>
      <c r="J5" s="3407"/>
      <c r="K5" s="513"/>
      <c r="L5" s="2131"/>
      <c r="M5" s="2132"/>
      <c r="N5" s="2132"/>
      <c r="O5" s="2132"/>
      <c r="P5" s="3394"/>
      <c r="Q5" s="3395"/>
      <c r="R5" s="3400"/>
      <c r="S5" s="3401"/>
      <c r="T5" s="3400"/>
      <c r="U5" s="3401"/>
      <c r="V5" s="3385"/>
      <c r="W5" s="3385"/>
      <c r="X5" s="1567"/>
      <c r="Y5" s="3400"/>
      <c r="Z5" s="3401"/>
      <c r="AA5" s="3388"/>
      <c r="AB5" s="3388"/>
      <c r="AC5" s="3388"/>
    </row>
    <row r="6" spans="1:29" ht="15.75" thickBot="1">
      <c r="A6" s="516"/>
      <c r="B6" s="517"/>
      <c r="C6" s="3404" t="s">
        <v>2927</v>
      </c>
      <c r="D6" s="3405"/>
      <c r="E6" s="3429" t="s">
        <v>2927</v>
      </c>
      <c r="F6" s="3430"/>
      <c r="G6" s="3404" t="s">
        <v>2927</v>
      </c>
      <c r="H6" s="3405"/>
      <c r="I6" s="3404" t="s">
        <v>2927</v>
      </c>
      <c r="J6" s="3405"/>
      <c r="K6" s="513" t="s">
        <v>528</v>
      </c>
      <c r="L6" s="2131"/>
      <c r="M6" s="2132"/>
      <c r="N6" s="2132"/>
      <c r="O6" s="2132"/>
      <c r="P6" s="3396"/>
      <c r="Q6" s="3397"/>
      <c r="R6" s="3400"/>
      <c r="S6" s="3401"/>
      <c r="T6" s="3402"/>
      <c r="U6" s="3403"/>
      <c r="V6" s="3385"/>
      <c r="W6" s="3385"/>
      <c r="X6" s="1567"/>
      <c r="Y6" s="3402"/>
      <c r="Z6" s="3403"/>
      <c r="AA6" s="3389"/>
      <c r="AB6" s="3389"/>
      <c r="AC6" s="3389"/>
    </row>
    <row r="7" spans="1:29" s="1219" customFormat="1" ht="15.75" thickBot="1">
      <c r="A7" s="2888"/>
      <c r="B7" s="2895" t="s">
        <v>529</v>
      </c>
      <c r="C7" s="518">
        <f>'数据-取费表'!B2</f>
        <v>43468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6" t="s">
        <v>530</v>
      </c>
      <c r="Q7" s="3418"/>
      <c r="R7" s="1568" t="s">
        <v>8</v>
      </c>
      <c r="S7" s="1569">
        <f t="shared" ref="S7:S15" si="0">F7</f>
        <v>0</v>
      </c>
      <c r="T7" s="1568" t="s">
        <v>8</v>
      </c>
      <c r="U7" s="1569">
        <f t="shared" ref="U7:U15" si="1">H7</f>
        <v>0</v>
      </c>
      <c r="V7" s="1568" t="s">
        <v>8</v>
      </c>
      <c r="W7" s="1569">
        <f t="shared" ref="W7:W15" si="2">J7</f>
        <v>0</v>
      </c>
      <c r="X7" s="1570"/>
      <c r="Y7" s="3416" t="s">
        <v>530</v>
      </c>
      <c r="Z7" s="3417"/>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6" t="s">
        <v>533</v>
      </c>
      <c r="Q8" s="3417"/>
      <c r="R8" s="1568" t="s">
        <v>8</v>
      </c>
      <c r="S8" s="1569">
        <f t="shared" si="0"/>
        <v>0</v>
      </c>
      <c r="T8" s="1568" t="s">
        <v>8</v>
      </c>
      <c r="U8" s="1569">
        <f t="shared" si="1"/>
        <v>0</v>
      </c>
      <c r="V8" s="1568" t="s">
        <v>8</v>
      </c>
      <c r="W8" s="1569">
        <f t="shared" si="2"/>
        <v>0</v>
      </c>
      <c r="X8" s="1570"/>
      <c r="Y8" s="3416" t="s">
        <v>533</v>
      </c>
      <c r="Z8" s="3417"/>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4" t="s">
        <v>535</v>
      </c>
      <c r="Q9" s="1150" t="str">
        <f t="shared" ref="Q9:Q15" si="6">B9</f>
        <v>用途</v>
      </c>
      <c r="R9" s="1568" t="s">
        <v>8</v>
      </c>
      <c r="S9" s="1569">
        <f t="shared" si="0"/>
        <v>100</v>
      </c>
      <c r="T9" s="1568" t="s">
        <v>8</v>
      </c>
      <c r="U9" s="1569">
        <f t="shared" si="1"/>
        <v>100</v>
      </c>
      <c r="V9" s="1568" t="s">
        <v>8</v>
      </c>
      <c r="W9" s="1569">
        <f t="shared" si="2"/>
        <v>100</v>
      </c>
      <c r="X9" s="1570"/>
      <c r="Y9" s="3330"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30"/>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4"/>
      <c r="Q11" s="1150" t="str">
        <f t="shared" si="6"/>
        <v>容积率</v>
      </c>
      <c r="R11" s="1568" t="s">
        <v>8</v>
      </c>
      <c r="S11" s="1569" t="e">
        <f t="shared" si="0"/>
        <v>#N/A</v>
      </c>
      <c r="T11" s="1568" t="s">
        <v>8</v>
      </c>
      <c r="U11" s="1569" t="e">
        <f t="shared" si="1"/>
        <v>#N/A</v>
      </c>
      <c r="V11" s="1568" t="s">
        <v>8</v>
      </c>
      <c r="W11" s="1569" t="e">
        <f t="shared" si="2"/>
        <v>#N/A</v>
      </c>
      <c r="X11" s="1570"/>
      <c r="Y11" s="3330"/>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30"/>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30"/>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4"/>
      <c r="Q14" s="1150">
        <f t="shared" si="6"/>
        <v>111</v>
      </c>
      <c r="R14" s="1568" t="s">
        <v>8</v>
      </c>
      <c r="S14" s="1569">
        <f t="shared" si="0"/>
        <v>100</v>
      </c>
      <c r="T14" s="1568" t="s">
        <v>8</v>
      </c>
      <c r="U14" s="1569">
        <f t="shared" si="1"/>
        <v>100</v>
      </c>
      <c r="V14" s="1568" t="s">
        <v>8</v>
      </c>
      <c r="W14" s="1569">
        <f t="shared" si="2"/>
        <v>100</v>
      </c>
      <c r="X14" s="1570"/>
      <c r="Y14" s="3330"/>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9" t="s">
        <v>540</v>
      </c>
      <c r="Q15" s="1572" t="str">
        <f t="shared" si="6"/>
        <v>产业集聚程度</v>
      </c>
      <c r="R15" s="1573" t="s">
        <v>8</v>
      </c>
      <c r="S15" s="1574">
        <f t="shared" si="0"/>
        <v>100</v>
      </c>
      <c r="T15" s="1573" t="s">
        <v>8</v>
      </c>
      <c r="U15" s="1574">
        <f t="shared" si="1"/>
        <v>100</v>
      </c>
      <c r="V15" s="1573" t="s">
        <v>8</v>
      </c>
      <c r="W15" s="1574">
        <f t="shared" si="2"/>
        <v>100</v>
      </c>
      <c r="X15" s="1567"/>
      <c r="Y15" s="341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20"/>
      <c r="Q16" s="1572"/>
      <c r="R16" s="1573"/>
      <c r="S16" s="1574"/>
      <c r="T16" s="1573"/>
      <c r="U16" s="1574"/>
      <c r="V16" s="1573"/>
      <c r="W16" s="1574"/>
      <c r="X16" s="1567"/>
      <c r="Y16" s="342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20"/>
      <c r="Q18" s="1572"/>
      <c r="R18" s="1573"/>
      <c r="S18" s="1574"/>
      <c r="T18" s="1573"/>
      <c r="U18" s="1574"/>
      <c r="V18" s="1573"/>
      <c r="W18" s="1574"/>
      <c r="X18" s="1567"/>
      <c r="Y18" s="3420"/>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20"/>
      <c r="Q20" s="1572"/>
      <c r="R20" s="1573"/>
      <c r="S20" s="1574"/>
      <c r="T20" s="1573"/>
      <c r="U20" s="1574"/>
      <c r="V20" s="1573"/>
      <c r="W20" s="1574"/>
      <c r="X20" s="1567"/>
      <c r="Y20" s="3420"/>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20"/>
      <c r="Q21" s="2556" t="str">
        <f>B21</f>
        <v>基础设施水平</v>
      </c>
      <c r="R21" s="1573" t="s">
        <v>8</v>
      </c>
      <c r="S21" s="1574">
        <f>F21</f>
        <v>100</v>
      </c>
      <c r="T21" s="1573" t="s">
        <v>8</v>
      </c>
      <c r="U21" s="1574">
        <f>H21</f>
        <v>100</v>
      </c>
      <c r="V21" s="1573" t="s">
        <v>8</v>
      </c>
      <c r="W21" s="1574">
        <f>J21</f>
        <v>100</v>
      </c>
      <c r="X21" s="2558"/>
      <c r="Y21" s="3420"/>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20"/>
      <c r="Q22" s="2556"/>
      <c r="R22" s="1573"/>
      <c r="S22" s="1574"/>
      <c r="T22" s="1573"/>
      <c r="U22" s="1574"/>
      <c r="V22" s="1573"/>
      <c r="W22" s="1574"/>
      <c r="X22" s="2558"/>
      <c r="Y22" s="3420"/>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20"/>
      <c r="Q24" s="1572"/>
      <c r="R24" s="1573"/>
      <c r="S24" s="1574"/>
      <c r="T24" s="1573"/>
      <c r="U24" s="1574"/>
      <c r="V24" s="1573"/>
      <c r="W24" s="1574"/>
      <c r="X24" s="1567"/>
      <c r="Y24" s="342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20"/>
      <c r="Q25" s="1572">
        <f>B25</f>
        <v>111</v>
      </c>
      <c r="R25" s="1573" t="s">
        <v>8</v>
      </c>
      <c r="S25" s="1574">
        <f>F25</f>
        <v>100</v>
      </c>
      <c r="T25" s="1573" t="s">
        <v>8</v>
      </c>
      <c r="U25" s="1574">
        <f>H25</f>
        <v>100</v>
      </c>
      <c r="V25" s="1573" t="s">
        <v>8</v>
      </c>
      <c r="W25" s="1574">
        <f>J25</f>
        <v>100</v>
      </c>
      <c r="X25" s="1567"/>
      <c r="Y25" s="342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20"/>
      <c r="Q26" s="1572">
        <f t="shared" ref="Q26:Q40" si="11">B26</f>
        <v>111</v>
      </c>
      <c r="R26" s="1573" t="s">
        <v>8</v>
      </c>
      <c r="S26" s="1574">
        <f>F26</f>
        <v>100</v>
      </c>
      <c r="T26" s="1573" t="s">
        <v>8</v>
      </c>
      <c r="U26" s="1574">
        <f>H26</f>
        <v>100</v>
      </c>
      <c r="V26" s="1573" t="s">
        <v>8</v>
      </c>
      <c r="W26" s="1574">
        <f>J26</f>
        <v>100</v>
      </c>
      <c r="X26" s="1567"/>
      <c r="Y26" s="342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20"/>
      <c r="Q27" s="1150">
        <f t="shared" si="11"/>
        <v>111</v>
      </c>
      <c r="R27" s="1568" t="s">
        <v>8</v>
      </c>
      <c r="S27" s="1569">
        <f>F27</f>
        <v>100</v>
      </c>
      <c r="T27" s="1568" t="s">
        <v>8</v>
      </c>
      <c r="U27" s="1569">
        <f>H27</f>
        <v>100</v>
      </c>
      <c r="V27" s="1568" t="s">
        <v>8</v>
      </c>
      <c r="W27" s="1569">
        <f>J27</f>
        <v>100</v>
      </c>
      <c r="X27" s="1570"/>
      <c r="Y27" s="342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20"/>
      <c r="Q28" s="1572">
        <f t="shared" si="11"/>
        <v>111</v>
      </c>
      <c r="R28" s="1573" t="s">
        <v>8</v>
      </c>
      <c r="S28" s="1574">
        <f t="shared" ref="S28:S40" si="12">F28</f>
        <v>100</v>
      </c>
      <c r="T28" s="1573" t="s">
        <v>8</v>
      </c>
      <c r="U28" s="1574">
        <f t="shared" ref="U28:U40" si="13">H28</f>
        <v>100</v>
      </c>
      <c r="V28" s="1573" t="s">
        <v>8</v>
      </c>
      <c r="W28" s="1574">
        <f t="shared" ref="W28:W40" si="14">J28</f>
        <v>100</v>
      </c>
      <c r="X28" s="1567"/>
      <c r="Y28" s="3420"/>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1" t="s">
        <v>550</v>
      </c>
      <c r="Q29" s="1572" t="str">
        <f t="shared" si="11"/>
        <v>建筑类型</v>
      </c>
      <c r="R29" s="1573" t="s">
        <v>8</v>
      </c>
      <c r="S29" s="1574">
        <f t="shared" si="12"/>
        <v>100</v>
      </c>
      <c r="T29" s="1573" t="s">
        <v>8</v>
      </c>
      <c r="U29" s="1574">
        <f t="shared" si="13"/>
        <v>100</v>
      </c>
      <c r="V29" s="1573" t="s">
        <v>8</v>
      </c>
      <c r="W29" s="1574">
        <f t="shared" si="14"/>
        <v>100</v>
      </c>
      <c r="X29" s="1567"/>
      <c r="Y29" s="3422"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2"/>
      <c r="Q30" s="1605" t="str">
        <f t="shared" si="11"/>
        <v>项目建筑规模</v>
      </c>
      <c r="R30" s="1577" t="s">
        <v>8</v>
      </c>
      <c r="S30" s="1578" t="e">
        <f t="shared" si="12"/>
        <v>#N/A</v>
      </c>
      <c r="T30" s="1577" t="s">
        <v>8</v>
      </c>
      <c r="U30" s="1578" t="e">
        <f t="shared" si="13"/>
        <v>#N/A</v>
      </c>
      <c r="V30" s="1577" t="s">
        <v>8</v>
      </c>
      <c r="W30" s="1578" t="e">
        <f t="shared" si="14"/>
        <v>#N/A</v>
      </c>
      <c r="X30" s="1579"/>
      <c r="Y30" s="3422"/>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2"/>
      <c r="Q31" s="1572" t="str">
        <f t="shared" si="11"/>
        <v>建筑结构</v>
      </c>
      <c r="R31" s="1573" t="s">
        <v>8</v>
      </c>
      <c r="S31" s="1574">
        <f t="shared" si="12"/>
        <v>100</v>
      </c>
      <c r="T31" s="1573" t="s">
        <v>8</v>
      </c>
      <c r="U31" s="1574">
        <f t="shared" si="13"/>
        <v>100</v>
      </c>
      <c r="V31" s="1573" t="s">
        <v>8</v>
      </c>
      <c r="W31" s="1574">
        <f t="shared" si="14"/>
        <v>100</v>
      </c>
      <c r="X31" s="1567"/>
      <c r="Y31" s="3422"/>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2"/>
      <c r="Q32" s="1572" t="str">
        <f t="shared" si="11"/>
        <v>公共部分装修</v>
      </c>
      <c r="R32" s="1573" t="s">
        <v>8</v>
      </c>
      <c r="S32" s="1574">
        <f t="shared" si="12"/>
        <v>100</v>
      </c>
      <c r="T32" s="1573" t="s">
        <v>8</v>
      </c>
      <c r="U32" s="1574">
        <f t="shared" si="13"/>
        <v>100</v>
      </c>
      <c r="V32" s="1573" t="s">
        <v>8</v>
      </c>
      <c r="W32" s="1574">
        <f t="shared" si="14"/>
        <v>100</v>
      </c>
      <c r="X32" s="1567"/>
      <c r="Y32" s="3422"/>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2"/>
      <c r="Q33" s="1572" t="str">
        <f t="shared" si="11"/>
        <v>成新度</v>
      </c>
      <c r="R33" s="1573" t="s">
        <v>8</v>
      </c>
      <c r="S33" s="1574" t="e">
        <f t="shared" si="12"/>
        <v>#N/A</v>
      </c>
      <c r="T33" s="1573" t="s">
        <v>8</v>
      </c>
      <c r="U33" s="1574" t="e">
        <f t="shared" si="13"/>
        <v>#N/A</v>
      </c>
      <c r="V33" s="1573" t="s">
        <v>8</v>
      </c>
      <c r="W33" s="1574" t="e">
        <f t="shared" si="14"/>
        <v>#N/A</v>
      </c>
      <c r="X33" s="1567"/>
      <c r="Y33" s="3422"/>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2"/>
      <c r="Q34" s="1150" t="str">
        <f t="shared" si="11"/>
        <v>物业管理</v>
      </c>
      <c r="R34" s="1568" t="s">
        <v>8</v>
      </c>
      <c r="S34" s="1569">
        <f t="shared" si="12"/>
        <v>100</v>
      </c>
      <c r="T34" s="1568" t="s">
        <v>8</v>
      </c>
      <c r="U34" s="1569">
        <f t="shared" si="13"/>
        <v>100</v>
      </c>
      <c r="V34" s="1568" t="s">
        <v>8</v>
      </c>
      <c r="W34" s="1569">
        <f t="shared" si="14"/>
        <v>100</v>
      </c>
      <c r="X34" s="1570"/>
      <c r="Y34" s="3422"/>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2" t="s">
        <v>550</v>
      </c>
      <c r="Q35" s="1572" t="str">
        <f t="shared" si="11"/>
        <v>市政基础设施</v>
      </c>
      <c r="R35" s="1573" t="s">
        <v>8</v>
      </c>
      <c r="S35" s="1574">
        <f t="shared" si="12"/>
        <v>100</v>
      </c>
      <c r="T35" s="1573" t="s">
        <v>8</v>
      </c>
      <c r="U35" s="1574">
        <f t="shared" si="13"/>
        <v>100</v>
      </c>
      <c r="V35" s="1573" t="s">
        <v>8</v>
      </c>
      <c r="W35" s="1574">
        <f t="shared" si="14"/>
        <v>100</v>
      </c>
      <c r="X35" s="1567"/>
      <c r="Y35" s="3422"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2"/>
      <c r="Q36" s="1572" t="str">
        <f t="shared" si="11"/>
        <v>内部装修</v>
      </c>
      <c r="R36" s="1573" t="s">
        <v>8</v>
      </c>
      <c r="S36" s="1574">
        <f t="shared" si="12"/>
        <v>100</v>
      </c>
      <c r="T36" s="1573" t="s">
        <v>8</v>
      </c>
      <c r="U36" s="1574">
        <f t="shared" si="13"/>
        <v>100</v>
      </c>
      <c r="V36" s="1573" t="s">
        <v>8</v>
      </c>
      <c r="W36" s="1574">
        <f t="shared" si="14"/>
        <v>100</v>
      </c>
      <c r="X36" s="1567"/>
      <c r="Y36" s="3422"/>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2"/>
      <c r="Q37" s="1572" t="str">
        <f t="shared" si="11"/>
        <v>内部装修状况</v>
      </c>
      <c r="R37" s="1573" t="s">
        <v>8</v>
      </c>
      <c r="S37" s="1574">
        <f t="shared" si="12"/>
        <v>100</v>
      </c>
      <c r="T37" s="1573" t="s">
        <v>8</v>
      </c>
      <c r="U37" s="1574">
        <f t="shared" si="13"/>
        <v>100</v>
      </c>
      <c r="V37" s="1573" t="s">
        <v>8</v>
      </c>
      <c r="W37" s="1574">
        <f t="shared" si="14"/>
        <v>100</v>
      </c>
      <c r="X37" s="1567"/>
      <c r="Y37" s="342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2"/>
      <c r="Q38" s="1605">
        <f t="shared" si="11"/>
        <v>111</v>
      </c>
      <c r="R38" s="1577" t="s">
        <v>8</v>
      </c>
      <c r="S38" s="1578">
        <f t="shared" si="12"/>
        <v>100</v>
      </c>
      <c r="T38" s="1577" t="s">
        <v>8</v>
      </c>
      <c r="U38" s="1578">
        <f t="shared" si="13"/>
        <v>100</v>
      </c>
      <c r="V38" s="1577" t="s">
        <v>8</v>
      </c>
      <c r="W38" s="1578">
        <f t="shared" si="14"/>
        <v>100</v>
      </c>
      <c r="X38" s="1579"/>
      <c r="Y38" s="342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2"/>
      <c r="Q39" s="1572">
        <f t="shared" si="11"/>
        <v>111</v>
      </c>
      <c r="R39" s="1573" t="s">
        <v>8</v>
      </c>
      <c r="S39" s="1574">
        <f t="shared" si="12"/>
        <v>100</v>
      </c>
      <c r="T39" s="1573" t="s">
        <v>8</v>
      </c>
      <c r="U39" s="1574">
        <f t="shared" si="13"/>
        <v>100</v>
      </c>
      <c r="V39" s="1573" t="s">
        <v>8</v>
      </c>
      <c r="W39" s="1574">
        <f t="shared" si="14"/>
        <v>100</v>
      </c>
      <c r="X39" s="1567"/>
      <c r="Y39" s="342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9"/>
      <c r="Q40" s="1572">
        <f t="shared" si="11"/>
        <v>111</v>
      </c>
      <c r="R40" s="1573" t="s">
        <v>8</v>
      </c>
      <c r="S40" s="1574">
        <f t="shared" si="12"/>
        <v>100</v>
      </c>
      <c r="T40" s="1573" t="s">
        <v>8</v>
      </c>
      <c r="U40" s="1574">
        <f t="shared" si="13"/>
        <v>100</v>
      </c>
      <c r="V40" s="1573" t="s">
        <v>8</v>
      </c>
      <c r="W40" s="1574">
        <f t="shared" si="14"/>
        <v>100</v>
      </c>
      <c r="X40" s="1567"/>
      <c r="Y40" s="3499"/>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4" t="str">
        <f>A41</f>
        <v>成交单价（元/平方米）</v>
      </c>
      <c r="Q41" s="3384"/>
      <c r="R41" s="3498">
        <f>E41</f>
        <v>0</v>
      </c>
      <c r="S41" s="3498"/>
      <c r="T41" s="3498">
        <f>G41</f>
        <v>0</v>
      </c>
      <c r="U41" s="3498"/>
      <c r="V41" s="3498">
        <f>I41</f>
        <v>0</v>
      </c>
      <c r="W41" s="3498"/>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384" t="str">
        <f>A42</f>
        <v>比较价格（元/平方米）</v>
      </c>
      <c r="Q42" s="3384"/>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381" t="str">
        <f>A43</f>
        <v>估价对象XX用房的比较价格（楼面单价，元/平方米）</v>
      </c>
      <c r="Q43" s="3382"/>
      <c r="R43" s="3497" t="e">
        <f>IF(F1="售价",ROUND(AVERAGE(R42:V42),0),ROUND(AVERAGE(R42:V42),1))</f>
        <v>#DIV/0!</v>
      </c>
      <c r="S43" s="3497"/>
      <c r="T43" s="3497"/>
      <c r="U43" s="3497"/>
      <c r="V43" s="3497"/>
      <c r="W43" s="3497"/>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0" t="s">
        <v>798</v>
      </c>
      <c r="D4" s="3391"/>
      <c r="E4" s="3390" t="s">
        <v>799</v>
      </c>
      <c r="F4" s="3391"/>
      <c r="G4" s="3390" t="s">
        <v>800</v>
      </c>
      <c r="H4" s="3391"/>
      <c r="I4" s="3390" t="s">
        <v>801</v>
      </c>
      <c r="J4" s="3391"/>
      <c r="K4" s="513" t="s">
        <v>802</v>
      </c>
      <c r="L4" s="2131"/>
      <c r="M4" s="2132"/>
      <c r="N4" s="2132"/>
      <c r="O4" s="2132"/>
      <c r="P4" s="3392" t="s">
        <v>803</v>
      </c>
      <c r="Q4" s="3393"/>
      <c r="R4" s="3398" t="s">
        <v>799</v>
      </c>
      <c r="S4" s="3399"/>
      <c r="T4" s="3398" t="s">
        <v>800</v>
      </c>
      <c r="U4" s="3399"/>
      <c r="V4" s="3385" t="s">
        <v>801</v>
      </c>
      <c r="W4" s="3385"/>
      <c r="X4" s="1567"/>
      <c r="Y4" s="3398" t="s">
        <v>803</v>
      </c>
      <c r="Z4" s="3399"/>
      <c r="AA4" s="3387" t="s">
        <v>799</v>
      </c>
      <c r="AB4" s="3388" t="s">
        <v>800</v>
      </c>
      <c r="AC4" s="3387" t="s">
        <v>801</v>
      </c>
    </row>
    <row r="5" spans="1:29" ht="15">
      <c r="A5" s="514"/>
      <c r="B5" s="515"/>
      <c r="C5" s="3408" t="s">
        <v>2923</v>
      </c>
      <c r="D5" s="3407"/>
      <c r="E5" s="3408" t="s">
        <v>2924</v>
      </c>
      <c r="F5" s="3407"/>
      <c r="G5" s="3408" t="s">
        <v>2925</v>
      </c>
      <c r="H5" s="3407"/>
      <c r="I5" s="3408" t="s">
        <v>2926</v>
      </c>
      <c r="J5" s="3407"/>
      <c r="K5" s="513"/>
      <c r="L5" s="2131"/>
      <c r="M5" s="2132"/>
      <c r="N5" s="2132"/>
      <c r="O5" s="2132"/>
      <c r="P5" s="3394"/>
      <c r="Q5" s="3395"/>
      <c r="R5" s="3400"/>
      <c r="S5" s="3401"/>
      <c r="T5" s="3400"/>
      <c r="U5" s="3401"/>
      <c r="V5" s="3385"/>
      <c r="W5" s="3385"/>
      <c r="X5" s="1567"/>
      <c r="Y5" s="3400"/>
      <c r="Z5" s="3401"/>
      <c r="AA5" s="3388"/>
      <c r="AB5" s="3388"/>
      <c r="AC5" s="3388"/>
    </row>
    <row r="6" spans="1:29" ht="15.75" thickBot="1">
      <c r="A6" s="516"/>
      <c r="B6" s="517"/>
      <c r="C6" s="3404" t="s">
        <v>2927</v>
      </c>
      <c r="D6" s="3405"/>
      <c r="E6" s="3409" t="s">
        <v>2927</v>
      </c>
      <c r="F6" s="3410"/>
      <c r="G6" s="3404" t="s">
        <v>2927</v>
      </c>
      <c r="H6" s="3405"/>
      <c r="I6" s="3404" t="s">
        <v>2927</v>
      </c>
      <c r="J6" s="3405"/>
      <c r="K6" s="513" t="s">
        <v>528</v>
      </c>
      <c r="L6" s="2131"/>
      <c r="M6" s="2132"/>
      <c r="N6" s="2132"/>
      <c r="O6" s="2132"/>
      <c r="P6" s="3396"/>
      <c r="Q6" s="3397"/>
      <c r="R6" s="3400"/>
      <c r="S6" s="3401"/>
      <c r="T6" s="3402"/>
      <c r="U6" s="3403"/>
      <c r="V6" s="3385"/>
      <c r="W6" s="3385"/>
      <c r="X6" s="1567"/>
      <c r="Y6" s="3402"/>
      <c r="Z6" s="3403"/>
      <c r="AA6" s="3389"/>
      <c r="AB6" s="3389"/>
      <c r="AC6" s="3389"/>
    </row>
    <row r="7" spans="1:29" s="1219" customFormat="1" ht="15.75" thickBot="1">
      <c r="A7" s="2888"/>
      <c r="B7" s="2895" t="s">
        <v>529</v>
      </c>
      <c r="C7" s="518">
        <f>'数据-取费表'!B2</f>
        <v>43468</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6" t="s">
        <v>530</v>
      </c>
      <c r="Q7" s="3418"/>
      <c r="R7" s="1568" t="s">
        <v>8</v>
      </c>
      <c r="S7" s="1569">
        <f t="shared" ref="S7:S14" si="0">F7</f>
        <v>0</v>
      </c>
      <c r="T7" s="1568" t="s">
        <v>8</v>
      </c>
      <c r="U7" s="1569">
        <f t="shared" ref="U7:U14" si="1">H7</f>
        <v>0</v>
      </c>
      <c r="V7" s="1568" t="s">
        <v>8</v>
      </c>
      <c r="W7" s="1569">
        <f t="shared" ref="W7:W14" si="2">J7</f>
        <v>0</v>
      </c>
      <c r="X7" s="1570"/>
      <c r="Y7" s="3416" t="s">
        <v>530</v>
      </c>
      <c r="Z7" s="3417"/>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6" t="s">
        <v>533</v>
      </c>
      <c r="Q8" s="3417"/>
      <c r="R8" s="1568" t="s">
        <v>8</v>
      </c>
      <c r="S8" s="1569">
        <f t="shared" si="0"/>
        <v>0</v>
      </c>
      <c r="T8" s="1568" t="s">
        <v>8</v>
      </c>
      <c r="U8" s="1569">
        <f t="shared" si="1"/>
        <v>0</v>
      </c>
      <c r="V8" s="1568" t="s">
        <v>8</v>
      </c>
      <c r="W8" s="1569">
        <f t="shared" si="2"/>
        <v>0</v>
      </c>
      <c r="X8" s="1570"/>
      <c r="Y8" s="3416" t="s">
        <v>533</v>
      </c>
      <c r="Z8" s="3417"/>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4" t="s">
        <v>535</v>
      </c>
      <c r="Q9" s="1150" t="str">
        <f t="shared" ref="Q9:Q14" si="6">B9</f>
        <v>用途</v>
      </c>
      <c r="R9" s="1568" t="s">
        <v>8</v>
      </c>
      <c r="S9" s="1569">
        <f t="shared" si="0"/>
        <v>100</v>
      </c>
      <c r="T9" s="1568" t="s">
        <v>8</v>
      </c>
      <c r="U9" s="1569">
        <f t="shared" si="1"/>
        <v>100</v>
      </c>
      <c r="V9" s="1568" t="s">
        <v>8</v>
      </c>
      <c r="W9" s="1569">
        <f t="shared" si="2"/>
        <v>100</v>
      </c>
      <c r="X9" s="1570"/>
      <c r="Y9" s="3330"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30"/>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4"/>
      <c r="Q11" s="1150">
        <f t="shared" si="6"/>
        <v>111</v>
      </c>
      <c r="R11" s="1568" t="s">
        <v>8</v>
      </c>
      <c r="S11" s="1569">
        <f t="shared" si="0"/>
        <v>100</v>
      </c>
      <c r="T11" s="1568" t="s">
        <v>8</v>
      </c>
      <c r="U11" s="1569">
        <f t="shared" si="1"/>
        <v>100</v>
      </c>
      <c r="V11" s="1568" t="s">
        <v>8</v>
      </c>
      <c r="W11" s="1569">
        <f t="shared" si="2"/>
        <v>100</v>
      </c>
      <c r="X11" s="1570"/>
      <c r="Y11" s="3330"/>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30"/>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30"/>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20"/>
      <c r="Q15" s="1572"/>
      <c r="R15" s="1573"/>
      <c r="S15" s="1574"/>
      <c r="T15" s="1573"/>
      <c r="U15" s="1574"/>
      <c r="V15" s="1573"/>
      <c r="W15" s="1574"/>
      <c r="X15" s="1567"/>
      <c r="Y15" s="3420"/>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20"/>
      <c r="Q17" s="1572"/>
      <c r="R17" s="1573"/>
      <c r="S17" s="1574"/>
      <c r="T17" s="1573"/>
      <c r="U17" s="1574"/>
      <c r="V17" s="1573"/>
      <c r="W17" s="1574"/>
      <c r="X17" s="1567"/>
      <c r="Y17" s="3420"/>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20"/>
      <c r="Q18" s="2556" t="str">
        <f>B18</f>
        <v>基础设施水平</v>
      </c>
      <c r="R18" s="1573" t="s">
        <v>8</v>
      </c>
      <c r="S18" s="1574">
        <f>F18</f>
        <v>100</v>
      </c>
      <c r="T18" s="1573" t="s">
        <v>8</v>
      </c>
      <c r="U18" s="1574">
        <f>H18</f>
        <v>100</v>
      </c>
      <c r="V18" s="1573" t="s">
        <v>8</v>
      </c>
      <c r="W18" s="1574">
        <f>J18</f>
        <v>100</v>
      </c>
      <c r="X18" s="2558"/>
      <c r="Y18" s="3420"/>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20"/>
      <c r="Q19" s="2556"/>
      <c r="R19" s="1573"/>
      <c r="S19" s="1574"/>
      <c r="T19" s="1573"/>
      <c r="U19" s="1574"/>
      <c r="V19" s="1573"/>
      <c r="W19" s="1574"/>
      <c r="X19" s="2558"/>
      <c r="Y19" s="3420"/>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20"/>
      <c r="Q21" s="1572"/>
      <c r="R21" s="1573"/>
      <c r="S21" s="1574"/>
      <c r="T21" s="1573"/>
      <c r="U21" s="1574"/>
      <c r="V21" s="1573"/>
      <c r="W21" s="1574"/>
      <c r="X21" s="1567"/>
      <c r="Y21" s="342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20"/>
      <c r="Q24" s="1572">
        <f t="shared" ref="Q24:Q36"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20"/>
      <c r="Q25" s="1150">
        <f t="shared" si="11"/>
        <v>111</v>
      </c>
      <c r="R25" s="1568" t="s">
        <v>8</v>
      </c>
      <c r="S25" s="1569">
        <f>F25</f>
        <v>100</v>
      </c>
      <c r="T25" s="1568" t="s">
        <v>8</v>
      </c>
      <c r="U25" s="1569">
        <f>H25</f>
        <v>100</v>
      </c>
      <c r="V25" s="1568" t="s">
        <v>8</v>
      </c>
      <c r="W25" s="1569">
        <f>J25</f>
        <v>100</v>
      </c>
      <c r="X25" s="1570"/>
      <c r="Y25" s="3420"/>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2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2"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2"/>
      <c r="Q27" s="1605" t="str">
        <f t="shared" si="11"/>
        <v>项目停车位配比</v>
      </c>
      <c r="R27" s="1577" t="s">
        <v>8</v>
      </c>
      <c r="S27" s="1578">
        <f t="shared" si="12"/>
        <v>100</v>
      </c>
      <c r="T27" s="1577" t="s">
        <v>8</v>
      </c>
      <c r="U27" s="1578">
        <f t="shared" si="13"/>
        <v>100</v>
      </c>
      <c r="V27" s="1577" t="s">
        <v>8</v>
      </c>
      <c r="W27" s="1578">
        <f t="shared" si="14"/>
        <v>100</v>
      </c>
      <c r="X27" s="1579"/>
      <c r="Y27" s="3422"/>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22"/>
      <c r="Q28" s="1572" t="str">
        <f t="shared" si="11"/>
        <v>公共部分装修</v>
      </c>
      <c r="R28" s="1573" t="s">
        <v>8</v>
      </c>
      <c r="S28" s="1574">
        <f t="shared" si="12"/>
        <v>100</v>
      </c>
      <c r="T28" s="1573" t="s">
        <v>8</v>
      </c>
      <c r="U28" s="1574">
        <f t="shared" si="13"/>
        <v>100</v>
      </c>
      <c r="V28" s="1573" t="s">
        <v>8</v>
      </c>
      <c r="W28" s="1574">
        <f t="shared" si="14"/>
        <v>100</v>
      </c>
      <c r="X28" s="1567"/>
      <c r="Y28" s="3422"/>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22"/>
      <c r="Q29" s="1572" t="str">
        <f t="shared" si="11"/>
        <v>成新率</v>
      </c>
      <c r="R29" s="1573" t="s">
        <v>8</v>
      </c>
      <c r="S29" s="1574" t="e">
        <f t="shared" si="12"/>
        <v>#N/A</v>
      </c>
      <c r="T29" s="1573" t="s">
        <v>8</v>
      </c>
      <c r="U29" s="1574" t="e">
        <f t="shared" si="13"/>
        <v>#N/A</v>
      </c>
      <c r="V29" s="1573" t="s">
        <v>8</v>
      </c>
      <c r="W29" s="1574" t="e">
        <f t="shared" si="14"/>
        <v>#N/A</v>
      </c>
      <c r="X29" s="1567"/>
      <c r="Y29" s="3422"/>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22"/>
      <c r="Q30" s="1572" t="str">
        <f t="shared" si="11"/>
        <v>物业等级</v>
      </c>
      <c r="R30" s="1573" t="s">
        <v>8</v>
      </c>
      <c r="S30" s="1574">
        <f t="shared" si="12"/>
        <v>100</v>
      </c>
      <c r="T30" s="1573" t="s">
        <v>8</v>
      </c>
      <c r="U30" s="1574">
        <f t="shared" si="13"/>
        <v>100</v>
      </c>
      <c r="V30" s="1573" t="s">
        <v>8</v>
      </c>
      <c r="W30" s="1574">
        <f t="shared" si="14"/>
        <v>100</v>
      </c>
      <c r="X30" s="1567"/>
      <c r="Y30" s="3422"/>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22"/>
      <c r="Q31" s="1150" t="str">
        <f t="shared" si="11"/>
        <v>停车位面积</v>
      </c>
      <c r="R31" s="1568" t="s">
        <v>8</v>
      </c>
      <c r="S31" s="1569" t="e">
        <f t="shared" si="12"/>
        <v>#N/A</v>
      </c>
      <c r="T31" s="1568" t="s">
        <v>8</v>
      </c>
      <c r="U31" s="1569" t="e">
        <f t="shared" si="13"/>
        <v>#N/A</v>
      </c>
      <c r="V31" s="1568" t="s">
        <v>8</v>
      </c>
      <c r="W31" s="1569" t="e">
        <f t="shared" si="14"/>
        <v>#N/A</v>
      </c>
      <c r="X31" s="1570"/>
      <c r="Y31" s="3422"/>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22" t="s">
        <v>550</v>
      </c>
      <c r="Q32" s="1572" t="str">
        <f t="shared" si="11"/>
        <v>车位类型</v>
      </c>
      <c r="R32" s="1573" t="s">
        <v>8</v>
      </c>
      <c r="S32" s="1574">
        <f t="shared" si="12"/>
        <v>100</v>
      </c>
      <c r="T32" s="1573" t="s">
        <v>8</v>
      </c>
      <c r="U32" s="1574">
        <f t="shared" si="13"/>
        <v>100</v>
      </c>
      <c r="V32" s="1573" t="s">
        <v>8</v>
      </c>
      <c r="W32" s="1574">
        <f t="shared" si="14"/>
        <v>100</v>
      </c>
      <c r="X32" s="1567"/>
      <c r="Y32" s="3422"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22"/>
      <c r="Q33" s="1572" t="str">
        <f t="shared" si="11"/>
        <v>是否直接入户</v>
      </c>
      <c r="R33" s="1573" t="s">
        <v>8</v>
      </c>
      <c r="S33" s="1574">
        <f t="shared" si="12"/>
        <v>100</v>
      </c>
      <c r="T33" s="1573" t="s">
        <v>8</v>
      </c>
      <c r="U33" s="1574">
        <f t="shared" si="13"/>
        <v>100</v>
      </c>
      <c r="V33" s="1573" t="s">
        <v>8</v>
      </c>
      <c r="W33" s="1574">
        <f t="shared" si="14"/>
        <v>100</v>
      </c>
      <c r="X33" s="1567"/>
      <c r="Y33" s="342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2"/>
      <c r="Q35" s="1605">
        <f t="shared" si="11"/>
        <v>111</v>
      </c>
      <c r="R35" s="1577" t="s">
        <v>8</v>
      </c>
      <c r="S35" s="1578">
        <f t="shared" si="12"/>
        <v>100</v>
      </c>
      <c r="T35" s="1577" t="s">
        <v>8</v>
      </c>
      <c r="U35" s="1578">
        <f t="shared" si="13"/>
        <v>100</v>
      </c>
      <c r="V35" s="1577" t="s">
        <v>8</v>
      </c>
      <c r="W35" s="1578">
        <f t="shared" si="14"/>
        <v>100</v>
      </c>
      <c r="X35" s="1579"/>
      <c r="Y35" s="342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2"/>
      <c r="Q36" s="1572">
        <f t="shared" si="11"/>
        <v>111</v>
      </c>
      <c r="R36" s="1573" t="s">
        <v>8</v>
      </c>
      <c r="S36" s="1574">
        <f t="shared" si="12"/>
        <v>100</v>
      </c>
      <c r="T36" s="1573" t="s">
        <v>8</v>
      </c>
      <c r="U36" s="1574">
        <f t="shared" si="13"/>
        <v>100</v>
      </c>
      <c r="V36" s="1573" t="s">
        <v>8</v>
      </c>
      <c r="W36" s="1574">
        <f t="shared" si="14"/>
        <v>100</v>
      </c>
      <c r="X36" s="1567"/>
      <c r="Y36" s="3422"/>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84" t="str">
        <f>A37</f>
        <v>成交单价</v>
      </c>
      <c r="Q37" s="3384"/>
      <c r="R37" s="3498">
        <f>E37</f>
        <v>0</v>
      </c>
      <c r="S37" s="3498"/>
      <c r="T37" s="3498">
        <f>G37</f>
        <v>0</v>
      </c>
      <c r="U37" s="3498"/>
      <c r="V37" s="3498">
        <f>I37</f>
        <v>0</v>
      </c>
      <c r="W37" s="3498"/>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384" t="str">
        <f>A38</f>
        <v>比较价格（元/平方米）</v>
      </c>
      <c r="Q38" s="3384"/>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381" t="str">
        <f>A39</f>
        <v>估价对象XX用房的比较价格（楼面单价，元/平方米）</v>
      </c>
      <c r="Q39" s="3382"/>
      <c r="R39" s="3497" t="e">
        <f>IF(F1="售价",ROUND(AVERAGE(R38:V38),0),ROUND(AVERAGE(R38:V38),1))</f>
        <v>#DIV/0!</v>
      </c>
      <c r="S39" s="3497"/>
      <c r="T39" s="3497"/>
      <c r="U39" s="3497"/>
      <c r="V39" s="3497"/>
      <c r="W39" s="3497"/>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0" t="s">
        <v>798</v>
      </c>
      <c r="D4" s="3391"/>
      <c r="E4" s="3431" t="s">
        <v>799</v>
      </c>
      <c r="F4" s="3432"/>
      <c r="G4" s="3390" t="s">
        <v>800</v>
      </c>
      <c r="H4" s="3391"/>
      <c r="I4" s="3390" t="s">
        <v>801</v>
      </c>
      <c r="J4" s="3391"/>
      <c r="K4" s="513" t="s">
        <v>802</v>
      </c>
      <c r="L4" s="2131"/>
      <c r="M4" s="2132"/>
      <c r="N4" s="2132"/>
      <c r="O4" s="2132"/>
      <c r="P4" s="3392" t="s">
        <v>803</v>
      </c>
      <c r="Q4" s="3393"/>
      <c r="R4" s="3398" t="s">
        <v>799</v>
      </c>
      <c r="S4" s="3399"/>
      <c r="T4" s="3398" t="s">
        <v>800</v>
      </c>
      <c r="U4" s="3399"/>
      <c r="V4" s="3385" t="s">
        <v>801</v>
      </c>
      <c r="W4" s="3385"/>
      <c r="X4" s="1567"/>
      <c r="Y4" s="3398" t="s">
        <v>803</v>
      </c>
      <c r="Z4" s="3399"/>
      <c r="AA4" s="3387" t="s">
        <v>799</v>
      </c>
      <c r="AB4" s="3388" t="s">
        <v>800</v>
      </c>
      <c r="AC4" s="3387" t="s">
        <v>801</v>
      </c>
    </row>
    <row r="5" spans="1:29" ht="15">
      <c r="A5" s="514"/>
      <c r="B5" s="515"/>
      <c r="C5" s="3408" t="s">
        <v>2923</v>
      </c>
      <c r="D5" s="3407"/>
      <c r="E5" s="3433" t="s">
        <v>2924</v>
      </c>
      <c r="F5" s="3434"/>
      <c r="G5" s="3408" t="s">
        <v>2925</v>
      </c>
      <c r="H5" s="3407"/>
      <c r="I5" s="3408" t="s">
        <v>2926</v>
      </c>
      <c r="J5" s="3407"/>
      <c r="K5" s="513"/>
      <c r="L5" s="2131"/>
      <c r="M5" s="2132"/>
      <c r="N5" s="2132"/>
      <c r="O5" s="2132"/>
      <c r="P5" s="3394"/>
      <c r="Q5" s="3395"/>
      <c r="R5" s="3400"/>
      <c r="S5" s="3401"/>
      <c r="T5" s="3400"/>
      <c r="U5" s="3401"/>
      <c r="V5" s="3385"/>
      <c r="W5" s="3385"/>
      <c r="X5" s="1567"/>
      <c r="Y5" s="3400"/>
      <c r="Z5" s="3401"/>
      <c r="AA5" s="3388"/>
      <c r="AB5" s="3388"/>
      <c r="AC5" s="3388"/>
    </row>
    <row r="6" spans="1:29" ht="15.75" thickBot="1">
      <c r="A6" s="516"/>
      <c r="B6" s="517"/>
      <c r="C6" s="3404" t="s">
        <v>2927</v>
      </c>
      <c r="D6" s="3405"/>
      <c r="E6" s="3429" t="s">
        <v>2927</v>
      </c>
      <c r="F6" s="3430"/>
      <c r="G6" s="3404" t="s">
        <v>2927</v>
      </c>
      <c r="H6" s="3405"/>
      <c r="I6" s="3404" t="s">
        <v>2927</v>
      </c>
      <c r="J6" s="3405"/>
      <c r="K6" s="513" t="s">
        <v>528</v>
      </c>
      <c r="L6" s="2131"/>
      <c r="M6" s="2132"/>
      <c r="N6" s="2132"/>
      <c r="O6" s="2132"/>
      <c r="P6" s="3396"/>
      <c r="Q6" s="3397"/>
      <c r="R6" s="3400"/>
      <c r="S6" s="3401"/>
      <c r="T6" s="3402"/>
      <c r="U6" s="3403"/>
      <c r="V6" s="3385"/>
      <c r="W6" s="3385"/>
      <c r="X6" s="1567"/>
      <c r="Y6" s="3402"/>
      <c r="Z6" s="3403"/>
      <c r="AA6" s="3389"/>
      <c r="AB6" s="3389"/>
      <c r="AC6" s="3389"/>
    </row>
    <row r="7" spans="1:29" s="1219" customFormat="1" ht="15.75" thickBot="1">
      <c r="A7" s="2888"/>
      <c r="B7" s="2895" t="s">
        <v>529</v>
      </c>
      <c r="C7" s="518">
        <f>'数据-取费表'!B2</f>
        <v>43468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6" t="s">
        <v>530</v>
      </c>
      <c r="Q7" s="3418"/>
      <c r="R7" s="1568" t="s">
        <v>8</v>
      </c>
      <c r="S7" s="1569">
        <f t="shared" ref="S7:S14" si="0">F7</f>
        <v>0</v>
      </c>
      <c r="T7" s="1568" t="s">
        <v>8</v>
      </c>
      <c r="U7" s="1569">
        <f t="shared" ref="U7:U14" si="1">H7</f>
        <v>0</v>
      </c>
      <c r="V7" s="1568" t="s">
        <v>8</v>
      </c>
      <c r="W7" s="1569">
        <f t="shared" ref="W7:W14" si="2">J7</f>
        <v>0</v>
      </c>
      <c r="X7" s="1570"/>
      <c r="Y7" s="3416" t="s">
        <v>530</v>
      </c>
      <c r="Z7" s="3417"/>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6" t="s">
        <v>533</v>
      </c>
      <c r="Q8" s="3417"/>
      <c r="R8" s="1568" t="s">
        <v>8</v>
      </c>
      <c r="S8" s="1569">
        <f t="shared" si="0"/>
        <v>0</v>
      </c>
      <c r="T8" s="1568" t="s">
        <v>8</v>
      </c>
      <c r="U8" s="1569">
        <f t="shared" si="1"/>
        <v>0</v>
      </c>
      <c r="V8" s="1568" t="s">
        <v>8</v>
      </c>
      <c r="W8" s="1569">
        <f t="shared" si="2"/>
        <v>0</v>
      </c>
      <c r="X8" s="1570"/>
      <c r="Y8" s="3416" t="s">
        <v>533</v>
      </c>
      <c r="Z8" s="3417"/>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4" t="s">
        <v>535</v>
      </c>
      <c r="Q9" s="1150" t="str">
        <f t="shared" ref="Q9:Q14" si="6">B9</f>
        <v>用途</v>
      </c>
      <c r="R9" s="1568" t="s">
        <v>8</v>
      </c>
      <c r="S9" s="1569">
        <f t="shared" si="0"/>
        <v>100</v>
      </c>
      <c r="T9" s="1568" t="s">
        <v>8</v>
      </c>
      <c r="U9" s="1569">
        <f t="shared" si="1"/>
        <v>100</v>
      </c>
      <c r="V9" s="1568" t="s">
        <v>8</v>
      </c>
      <c r="W9" s="1569">
        <f t="shared" si="2"/>
        <v>100</v>
      </c>
      <c r="X9" s="1570"/>
      <c r="Y9" s="3330"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30"/>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4"/>
      <c r="Q11" s="1150">
        <f t="shared" si="6"/>
        <v>111</v>
      </c>
      <c r="R11" s="1568" t="s">
        <v>8</v>
      </c>
      <c r="S11" s="1569">
        <f t="shared" si="0"/>
        <v>100</v>
      </c>
      <c r="T11" s="1568" t="s">
        <v>8</v>
      </c>
      <c r="U11" s="1569">
        <f t="shared" si="1"/>
        <v>100</v>
      </c>
      <c r="V11" s="1568" t="s">
        <v>8</v>
      </c>
      <c r="W11" s="1569">
        <f t="shared" si="2"/>
        <v>100</v>
      </c>
      <c r="X11" s="1570"/>
      <c r="Y11" s="3330"/>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30"/>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30"/>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20"/>
      <c r="Q15" s="1572"/>
      <c r="R15" s="1573"/>
      <c r="S15" s="1574"/>
      <c r="T15" s="1573"/>
      <c r="U15" s="1574"/>
      <c r="V15" s="1573"/>
      <c r="W15" s="1574"/>
      <c r="X15" s="1567"/>
      <c r="Y15" s="3420"/>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20"/>
      <c r="Q17" s="1572"/>
      <c r="R17" s="1573"/>
      <c r="S17" s="1574"/>
      <c r="T17" s="1573"/>
      <c r="U17" s="1574"/>
      <c r="V17" s="1573"/>
      <c r="W17" s="1574"/>
      <c r="X17" s="1567"/>
      <c r="Y17" s="3420"/>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20"/>
      <c r="Q18" s="2556" t="str">
        <f>B18</f>
        <v>基础设施水平</v>
      </c>
      <c r="R18" s="1573" t="s">
        <v>8</v>
      </c>
      <c r="S18" s="1574">
        <f>F18</f>
        <v>100</v>
      </c>
      <c r="T18" s="1573" t="s">
        <v>8</v>
      </c>
      <c r="U18" s="1574">
        <f>H18</f>
        <v>100</v>
      </c>
      <c r="V18" s="1573" t="s">
        <v>8</v>
      </c>
      <c r="W18" s="1574">
        <f>J18</f>
        <v>100</v>
      </c>
      <c r="X18" s="2558"/>
      <c r="Y18" s="3420"/>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20"/>
      <c r="Q19" s="2556"/>
      <c r="R19" s="1573"/>
      <c r="S19" s="1574"/>
      <c r="T19" s="1573"/>
      <c r="U19" s="1574"/>
      <c r="V19" s="1573"/>
      <c r="W19" s="1574"/>
      <c r="X19" s="2558"/>
      <c r="Y19" s="3420"/>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20"/>
      <c r="Q21" s="1572"/>
      <c r="R21" s="1573"/>
      <c r="S21" s="1574"/>
      <c r="T21" s="1573"/>
      <c r="U21" s="1574"/>
      <c r="V21" s="1573"/>
      <c r="W21" s="1574"/>
      <c r="X21" s="1567"/>
      <c r="Y21" s="342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20"/>
      <c r="Q24" s="1572">
        <f t="shared" ref="Q24:Q34"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20"/>
      <c r="Q25" s="1150">
        <f t="shared" si="11"/>
        <v>111</v>
      </c>
      <c r="R25" s="1568" t="s">
        <v>8</v>
      </c>
      <c r="S25" s="1569">
        <f>F25</f>
        <v>100</v>
      </c>
      <c r="T25" s="1568" t="s">
        <v>8</v>
      </c>
      <c r="U25" s="1569">
        <f>H25</f>
        <v>100</v>
      </c>
      <c r="V25" s="1568" t="s">
        <v>8</v>
      </c>
      <c r="W25" s="1569">
        <f>J25</f>
        <v>100</v>
      </c>
      <c r="X25" s="1570"/>
      <c r="Y25" s="3420"/>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2"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2"/>
      <c r="Q27" s="1605" t="str">
        <f t="shared" si="11"/>
        <v>成新率</v>
      </c>
      <c r="R27" s="1577" t="s">
        <v>8</v>
      </c>
      <c r="S27" s="1578" t="e">
        <f t="shared" si="12"/>
        <v>#N/A</v>
      </c>
      <c r="T27" s="1577" t="s">
        <v>8</v>
      </c>
      <c r="U27" s="1578" t="e">
        <f t="shared" si="13"/>
        <v>#N/A</v>
      </c>
      <c r="V27" s="1577" t="s">
        <v>8</v>
      </c>
      <c r="W27" s="1578" t="e">
        <f t="shared" si="14"/>
        <v>#N/A</v>
      </c>
      <c r="X27" s="1579"/>
      <c r="Y27" s="3422"/>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2"/>
      <c r="Q28" s="1572" t="str">
        <f t="shared" si="11"/>
        <v>物业等级</v>
      </c>
      <c r="R28" s="1573" t="s">
        <v>8</v>
      </c>
      <c r="S28" s="1574">
        <f t="shared" si="12"/>
        <v>100</v>
      </c>
      <c r="T28" s="1573" t="s">
        <v>8</v>
      </c>
      <c r="U28" s="1574">
        <f t="shared" si="13"/>
        <v>100</v>
      </c>
      <c r="V28" s="1573" t="s">
        <v>8</v>
      </c>
      <c r="W28" s="1574">
        <f t="shared" si="14"/>
        <v>100</v>
      </c>
      <c r="X28" s="1567"/>
      <c r="Y28" s="3422"/>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2"/>
      <c r="Q29" s="1572" t="str">
        <f t="shared" si="11"/>
        <v>有无电梯</v>
      </c>
      <c r="R29" s="1573" t="s">
        <v>8</v>
      </c>
      <c r="S29" s="1574">
        <f t="shared" si="12"/>
        <v>100</v>
      </c>
      <c r="T29" s="1573" t="s">
        <v>8</v>
      </c>
      <c r="U29" s="1574">
        <f t="shared" si="13"/>
        <v>100</v>
      </c>
      <c r="V29" s="1573" t="s">
        <v>8</v>
      </c>
      <c r="W29" s="1574">
        <f t="shared" si="14"/>
        <v>100</v>
      </c>
      <c r="X29" s="1567"/>
      <c r="Y29" s="3422"/>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2"/>
      <c r="Q30" s="1572" t="str">
        <f t="shared" si="11"/>
        <v>建筑面积</v>
      </c>
      <c r="R30" s="1573" t="s">
        <v>8</v>
      </c>
      <c r="S30" s="1574" t="e">
        <f t="shared" si="12"/>
        <v>#N/A</v>
      </c>
      <c r="T30" s="1573" t="s">
        <v>8</v>
      </c>
      <c r="U30" s="1574" t="e">
        <f t="shared" si="13"/>
        <v>#N/A</v>
      </c>
      <c r="V30" s="1573" t="s">
        <v>8</v>
      </c>
      <c r="W30" s="1574" t="e">
        <f t="shared" si="14"/>
        <v>#N/A</v>
      </c>
      <c r="X30" s="1567"/>
      <c r="Y30" s="3422"/>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2"/>
      <c r="Q31" s="1150" t="str">
        <f t="shared" si="11"/>
        <v>是否封闭</v>
      </c>
      <c r="R31" s="1568" t="s">
        <v>8</v>
      </c>
      <c r="S31" s="1569">
        <f t="shared" si="12"/>
        <v>100</v>
      </c>
      <c r="T31" s="1568" t="s">
        <v>8</v>
      </c>
      <c r="U31" s="1569">
        <f t="shared" si="13"/>
        <v>100</v>
      </c>
      <c r="V31" s="1568" t="s">
        <v>8</v>
      </c>
      <c r="W31" s="1569">
        <f t="shared" si="14"/>
        <v>100</v>
      </c>
      <c r="X31" s="1570"/>
      <c r="Y31" s="342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2" t="s">
        <v>550</v>
      </c>
      <c r="Q32" s="1572">
        <f t="shared" si="11"/>
        <v>111</v>
      </c>
      <c r="R32" s="1573" t="s">
        <v>8</v>
      </c>
      <c r="S32" s="1574">
        <f t="shared" si="12"/>
        <v>100</v>
      </c>
      <c r="T32" s="1573" t="s">
        <v>8</v>
      </c>
      <c r="U32" s="1574">
        <f t="shared" si="13"/>
        <v>100</v>
      </c>
      <c r="V32" s="1573" t="s">
        <v>8</v>
      </c>
      <c r="W32" s="1574">
        <f t="shared" si="14"/>
        <v>100</v>
      </c>
      <c r="X32" s="1567"/>
      <c r="Y32" s="3422"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2"/>
      <c r="Q33" s="1572">
        <f t="shared" si="11"/>
        <v>111</v>
      </c>
      <c r="R33" s="1573" t="s">
        <v>8</v>
      </c>
      <c r="S33" s="1574">
        <f t="shared" si="12"/>
        <v>100</v>
      </c>
      <c r="T33" s="1573" t="s">
        <v>8</v>
      </c>
      <c r="U33" s="1574">
        <f t="shared" si="13"/>
        <v>100</v>
      </c>
      <c r="V33" s="1573" t="s">
        <v>8</v>
      </c>
      <c r="W33" s="1574">
        <f t="shared" si="14"/>
        <v>100</v>
      </c>
      <c r="X33" s="1567"/>
      <c r="Y33" s="342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4" t="str">
        <f>A35</f>
        <v>成交单价（元/平方米）</v>
      </c>
      <c r="Q35" s="3384"/>
      <c r="R35" s="3498">
        <f>E35</f>
        <v>0</v>
      </c>
      <c r="S35" s="3498"/>
      <c r="T35" s="3498">
        <f>G35</f>
        <v>0</v>
      </c>
      <c r="U35" s="3498"/>
      <c r="V35" s="3498">
        <f>I35</f>
        <v>0</v>
      </c>
      <c r="W35" s="3498"/>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384" t="str">
        <f>A36</f>
        <v>比较价格（元/平方米）</v>
      </c>
      <c r="Q36" s="3384"/>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381" t="str">
        <f>A37</f>
        <v>估价对象XX用房的比较价格（楼面单价，元/平方米）</v>
      </c>
      <c r="Q37" s="3382"/>
      <c r="R37" s="3497" t="e">
        <f>IF(F1="售价",ROUND(AVERAGE(R36:V36),0),ROUND(AVERAGE(R36:V36),1))</f>
        <v>#DIV/0!</v>
      </c>
      <c r="S37" s="3497"/>
      <c r="T37" s="3497"/>
      <c r="U37" s="3497"/>
      <c r="V37" s="3497"/>
      <c r="W37" s="3497"/>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07" t="s">
        <v>2302</v>
      </c>
      <c r="D1" s="3508"/>
      <c r="E1" s="3508"/>
      <c r="F1" s="3508"/>
      <c r="G1" s="3508"/>
      <c r="H1" s="3508"/>
      <c r="I1" s="3508"/>
      <c r="J1" s="3508"/>
      <c r="K1" s="3508"/>
      <c r="L1" s="3508"/>
      <c r="M1" s="3508"/>
      <c r="N1" s="3508"/>
      <c r="O1" s="3508"/>
      <c r="P1" s="3508"/>
      <c r="Q1" s="3508"/>
      <c r="R1" s="3508"/>
      <c r="S1" s="3509"/>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4" t="s">
        <v>20</v>
      </c>
      <c r="D22" s="3505"/>
      <c r="E22" s="3505"/>
      <c r="F22" s="3505"/>
      <c r="G22" s="3505"/>
      <c r="H22" s="3505"/>
      <c r="I22" s="3505"/>
      <c r="J22" s="3505"/>
      <c r="K22" s="3505"/>
      <c r="L22" s="3505"/>
      <c r="M22" s="3505"/>
      <c r="N22" s="3505"/>
      <c r="O22" s="3505"/>
      <c r="P22" s="3505"/>
      <c r="Q22" s="3506"/>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43468</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workbookViewId="0">
      <pane ySplit="1" topLeftCell="A2" activePane="bottomLeft" state="frozen"/>
      <selection pane="bottomLeft" activeCell="I25" sqref="I25"/>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3048</v>
      </c>
      <c r="B1" s="3180" t="s">
        <v>3049</v>
      </c>
      <c r="C1" s="3180" t="s">
        <v>3050</v>
      </c>
      <c r="D1" s="3180" t="s">
        <v>3051</v>
      </c>
      <c r="E1" s="3180" t="s">
        <v>3052</v>
      </c>
      <c r="F1" s="3180" t="s">
        <v>3053</v>
      </c>
      <c r="G1" s="3180" t="s">
        <v>3054</v>
      </c>
      <c r="H1" s="3180" t="s">
        <v>3055</v>
      </c>
      <c r="I1" s="3180" t="s">
        <v>2030</v>
      </c>
      <c r="J1" s="3180" t="s">
        <v>3056</v>
      </c>
      <c r="K1" s="3180" t="s">
        <v>3057</v>
      </c>
      <c r="L1" s="3180" t="s">
        <v>3058</v>
      </c>
      <c r="M1" s="3180" t="s">
        <v>3059</v>
      </c>
      <c r="N1" s="3180" t="s">
        <v>3060</v>
      </c>
      <c r="O1" s="3180" t="s">
        <v>3061</v>
      </c>
      <c r="P1" s="3180" t="s">
        <v>3062</v>
      </c>
      <c r="Q1" s="3180" t="s">
        <v>3063</v>
      </c>
    </row>
    <row r="2" spans="1:17">
      <c r="A2" s="3180" t="s">
        <v>3064</v>
      </c>
      <c r="B2" s="3180" t="s">
        <v>3065</v>
      </c>
      <c r="C2" s="3180" t="s">
        <v>3066</v>
      </c>
      <c r="D2" s="3180" t="s">
        <v>3064</v>
      </c>
      <c r="E2" s="3180" t="s">
        <v>3067</v>
      </c>
      <c r="F2" s="3180" t="s">
        <v>3068</v>
      </c>
      <c r="G2" s="3180">
        <v>1313</v>
      </c>
      <c r="H2" s="3180">
        <v>787.8</v>
      </c>
      <c r="I2" s="3180" t="s">
        <v>3069</v>
      </c>
      <c r="J2" s="3180" t="s">
        <v>2814</v>
      </c>
      <c r="K2" s="3180" t="s">
        <v>3070</v>
      </c>
      <c r="L2" s="3180" t="s">
        <v>3071</v>
      </c>
      <c r="M2" s="3180">
        <v>92</v>
      </c>
      <c r="N2" s="3180">
        <v>92</v>
      </c>
      <c r="O2" s="3180">
        <v>1167.8</v>
      </c>
      <c r="P2" s="3180">
        <v>0</v>
      </c>
      <c r="Q2" s="3180" t="s">
        <v>3072</v>
      </c>
    </row>
    <row r="3" spans="1:17">
      <c r="A3" s="3180" t="s">
        <v>3073</v>
      </c>
      <c r="B3" s="3180" t="s">
        <v>3065</v>
      </c>
      <c r="C3" s="3180" t="s">
        <v>3066</v>
      </c>
      <c r="D3" s="3180" t="s">
        <v>3073</v>
      </c>
      <c r="E3" s="3180" t="s">
        <v>3067</v>
      </c>
      <c r="F3" s="3180" t="s">
        <v>3074</v>
      </c>
      <c r="G3" s="3180">
        <v>2000</v>
      </c>
      <c r="H3" s="3180">
        <v>1200</v>
      </c>
      <c r="I3" s="3180" t="s">
        <v>3069</v>
      </c>
      <c r="J3" s="3180" t="s">
        <v>2814</v>
      </c>
      <c r="K3" s="3180" t="s">
        <v>3070</v>
      </c>
      <c r="L3" s="3180" t="s">
        <v>3075</v>
      </c>
      <c r="M3" s="3180">
        <v>115</v>
      </c>
      <c r="N3" s="3180">
        <v>115</v>
      </c>
      <c r="O3" s="3180">
        <v>958.33</v>
      </c>
      <c r="P3" s="3180">
        <v>0</v>
      </c>
      <c r="Q3" s="3180" t="s">
        <v>3072</v>
      </c>
    </row>
    <row r="4" spans="1:17">
      <c r="A4" s="3180" t="s">
        <v>3076</v>
      </c>
      <c r="B4" s="3180" t="s">
        <v>3065</v>
      </c>
      <c r="C4" s="3180" t="s">
        <v>3066</v>
      </c>
      <c r="D4" s="3180" t="s">
        <v>3076</v>
      </c>
      <c r="E4" s="3180" t="s">
        <v>3067</v>
      </c>
      <c r="F4" s="3180" t="s">
        <v>3077</v>
      </c>
      <c r="G4" s="3180">
        <v>1568</v>
      </c>
      <c r="H4" s="3180">
        <v>940.8</v>
      </c>
      <c r="I4" s="3180" t="s">
        <v>3069</v>
      </c>
      <c r="J4" s="3180" t="s">
        <v>2814</v>
      </c>
      <c r="K4" s="3180" t="s">
        <v>3070</v>
      </c>
      <c r="L4" s="3180" t="s">
        <v>3078</v>
      </c>
      <c r="M4" s="3180">
        <v>107</v>
      </c>
      <c r="N4" s="3180">
        <v>107</v>
      </c>
      <c r="O4" s="3180">
        <v>1137.32</v>
      </c>
      <c r="P4" s="3180">
        <v>0</v>
      </c>
      <c r="Q4" s="3180" t="s">
        <v>3072</v>
      </c>
    </row>
    <row r="5" spans="1:17">
      <c r="A5" s="3180" t="s">
        <v>3079</v>
      </c>
      <c r="B5" s="3180" t="s">
        <v>3065</v>
      </c>
      <c r="C5" s="3180" t="s">
        <v>3066</v>
      </c>
      <c r="D5" s="3180" t="s">
        <v>3079</v>
      </c>
      <c r="E5" s="3180" t="s">
        <v>3067</v>
      </c>
      <c r="F5" s="3180" t="s">
        <v>3080</v>
      </c>
      <c r="G5" s="3180">
        <v>2000</v>
      </c>
      <c r="H5" s="3180">
        <v>1200</v>
      </c>
      <c r="I5" s="3180" t="s">
        <v>3069</v>
      </c>
      <c r="J5" s="3180" t="s">
        <v>2814</v>
      </c>
      <c r="K5" s="3180" t="s">
        <v>3081</v>
      </c>
      <c r="L5" s="3180" t="s">
        <v>3082</v>
      </c>
      <c r="M5" s="3180">
        <v>75</v>
      </c>
      <c r="N5" s="3180">
        <v>75</v>
      </c>
      <c r="O5" s="3180">
        <v>625</v>
      </c>
      <c r="P5" s="3180">
        <v>0</v>
      </c>
      <c r="Q5" s="3180" t="s">
        <v>3072</v>
      </c>
    </row>
    <row r="6" spans="1:17">
      <c r="A6" s="3180" t="s">
        <v>3083</v>
      </c>
      <c r="B6" s="3180" t="s">
        <v>3065</v>
      </c>
      <c r="C6" s="3180" t="s">
        <v>3066</v>
      </c>
      <c r="D6" s="3180" t="s">
        <v>3083</v>
      </c>
      <c r="E6" s="3180" t="s">
        <v>3067</v>
      </c>
      <c r="F6" s="3180" t="s">
        <v>3084</v>
      </c>
      <c r="G6" s="3180">
        <v>3022</v>
      </c>
      <c r="H6" s="3180">
        <v>1813.2</v>
      </c>
      <c r="I6" s="3180" t="s">
        <v>3069</v>
      </c>
      <c r="J6" s="3180" t="s">
        <v>2814</v>
      </c>
      <c r="K6" s="3180" t="s">
        <v>3085</v>
      </c>
      <c r="L6" s="3180" t="s">
        <v>3086</v>
      </c>
      <c r="M6" s="3180">
        <v>169</v>
      </c>
      <c r="N6" s="3180">
        <v>169</v>
      </c>
      <c r="O6" s="3180">
        <v>932.04</v>
      </c>
      <c r="P6" s="3180">
        <v>0</v>
      </c>
      <c r="Q6" s="3180" t="s">
        <v>3072</v>
      </c>
    </row>
    <row r="7" spans="1:17">
      <c r="A7" s="3180" t="s">
        <v>3087</v>
      </c>
      <c r="B7" s="3180" t="s">
        <v>3065</v>
      </c>
      <c r="C7" s="3180" t="s">
        <v>3066</v>
      </c>
      <c r="D7" s="3180" t="s">
        <v>3087</v>
      </c>
      <c r="E7" s="3180" t="s">
        <v>3067</v>
      </c>
      <c r="F7" s="3180" t="s">
        <v>3088</v>
      </c>
      <c r="G7" s="3180">
        <v>1500</v>
      </c>
      <c r="H7" s="3180">
        <v>900</v>
      </c>
      <c r="I7" s="3180" t="s">
        <v>3069</v>
      </c>
      <c r="J7" s="3180" t="s">
        <v>2814</v>
      </c>
      <c r="K7" s="3180" t="s">
        <v>3089</v>
      </c>
      <c r="L7" s="3180" t="s">
        <v>3090</v>
      </c>
      <c r="M7" s="3180">
        <v>54</v>
      </c>
      <c r="N7" s="3180">
        <v>54</v>
      </c>
      <c r="O7" s="3180">
        <v>600</v>
      </c>
      <c r="P7" s="3180">
        <v>0</v>
      </c>
      <c r="Q7" s="3180" t="s">
        <v>3072</v>
      </c>
    </row>
    <row r="8" spans="1:17" s="3194" customFormat="1">
      <c r="A8" s="3194" t="s">
        <v>3091</v>
      </c>
      <c r="B8" s="3194" t="s">
        <v>3065</v>
      </c>
      <c r="C8" s="3194" t="s">
        <v>3066</v>
      </c>
      <c r="D8" s="3196" t="s">
        <v>3239</v>
      </c>
      <c r="E8" s="3194" t="s">
        <v>3067</v>
      </c>
      <c r="F8" s="3194" t="s">
        <v>3092</v>
      </c>
      <c r="G8" s="3194">
        <v>2938</v>
      </c>
      <c r="H8" s="3194">
        <v>11164.4</v>
      </c>
      <c r="I8" s="3194" t="s">
        <v>3093</v>
      </c>
      <c r="J8" s="3194" t="s">
        <v>2814</v>
      </c>
      <c r="K8" s="3195">
        <v>42874</v>
      </c>
      <c r="L8" s="3194" t="s">
        <v>3095</v>
      </c>
      <c r="M8" s="3194">
        <v>183</v>
      </c>
      <c r="N8" s="3194">
        <v>183</v>
      </c>
      <c r="O8" s="3194">
        <v>163.9</v>
      </c>
      <c r="P8" s="3194">
        <v>0</v>
      </c>
      <c r="Q8" s="3194" t="s">
        <v>3072</v>
      </c>
    </row>
    <row r="9" spans="1:17">
      <c r="A9" s="3180" t="s">
        <v>3091</v>
      </c>
      <c r="B9" s="3180" t="s">
        <v>3065</v>
      </c>
      <c r="C9" s="3180" t="s">
        <v>3066</v>
      </c>
      <c r="D9" s="3180" t="s">
        <v>3091</v>
      </c>
      <c r="E9" s="3180" t="s">
        <v>3067</v>
      </c>
      <c r="F9" s="3180" t="s">
        <v>3096</v>
      </c>
      <c r="G9" s="3180">
        <v>5040</v>
      </c>
      <c r="H9" s="3180">
        <v>27720</v>
      </c>
      <c r="I9" s="3180" t="s">
        <v>3097</v>
      </c>
      <c r="J9" s="3180" t="s">
        <v>2814</v>
      </c>
      <c r="K9" s="3180" t="s">
        <v>3094</v>
      </c>
      <c r="L9" s="3180" t="s">
        <v>3095</v>
      </c>
      <c r="M9" s="3180">
        <v>334</v>
      </c>
      <c r="N9" s="3180">
        <v>334</v>
      </c>
      <c r="O9" s="3180">
        <v>120.48</v>
      </c>
      <c r="P9" s="3180">
        <v>0</v>
      </c>
      <c r="Q9" s="3180" t="s">
        <v>3072</v>
      </c>
    </row>
    <row r="10" spans="1:17">
      <c r="A10" s="3180" t="s">
        <v>3091</v>
      </c>
      <c r="B10" s="3180" t="s">
        <v>3065</v>
      </c>
      <c r="C10" s="3180" t="s">
        <v>3066</v>
      </c>
      <c r="D10" s="3180" t="s">
        <v>3091</v>
      </c>
      <c r="E10" s="3180" t="s">
        <v>3067</v>
      </c>
      <c r="F10" s="3180" t="s">
        <v>3098</v>
      </c>
      <c r="G10" s="3180">
        <v>3071</v>
      </c>
      <c r="H10" s="3180">
        <v>11055.6</v>
      </c>
      <c r="I10" s="3180" t="s">
        <v>3099</v>
      </c>
      <c r="J10" s="3180" t="s">
        <v>2814</v>
      </c>
      <c r="K10" s="3180" t="s">
        <v>3094</v>
      </c>
      <c r="L10" s="3180" t="s">
        <v>3100</v>
      </c>
      <c r="M10" s="3180">
        <v>186</v>
      </c>
      <c r="N10" s="3180">
        <v>186</v>
      </c>
      <c r="O10" s="3180">
        <v>168.24</v>
      </c>
      <c r="P10" s="3180">
        <v>0</v>
      </c>
      <c r="Q10" s="3180" t="s">
        <v>3072</v>
      </c>
    </row>
    <row r="11" spans="1:17">
      <c r="A11" s="3180" t="s">
        <v>3101</v>
      </c>
      <c r="B11" s="3180" t="s">
        <v>3065</v>
      </c>
      <c r="C11" s="3180" t="s">
        <v>3066</v>
      </c>
      <c r="D11" s="3180" t="s">
        <v>3101</v>
      </c>
      <c r="E11" s="3180" t="s">
        <v>3067</v>
      </c>
      <c r="F11" s="3180" t="s">
        <v>3102</v>
      </c>
      <c r="G11" s="3180">
        <v>25180</v>
      </c>
      <c r="H11" s="3180">
        <v>45324</v>
      </c>
      <c r="I11" s="3180" t="s">
        <v>3103</v>
      </c>
      <c r="J11" s="3180" t="s">
        <v>2814</v>
      </c>
      <c r="K11" s="3180" t="s">
        <v>3104</v>
      </c>
      <c r="L11" s="3180" t="s">
        <v>3105</v>
      </c>
      <c r="M11" s="3180">
        <v>643</v>
      </c>
      <c r="N11" s="3180">
        <v>643</v>
      </c>
      <c r="O11" s="3180">
        <v>141.87</v>
      </c>
      <c r="P11" s="3180">
        <v>0</v>
      </c>
      <c r="Q11" s="3180" t="s">
        <v>3072</v>
      </c>
    </row>
    <row r="12" spans="1:17">
      <c r="A12" s="3181" t="s">
        <v>3106</v>
      </c>
      <c r="B12" s="3181" t="s">
        <v>3065</v>
      </c>
      <c r="C12" s="3181" t="s">
        <v>3066</v>
      </c>
      <c r="D12" s="3184" t="s">
        <v>3256</v>
      </c>
      <c r="E12" s="3181" t="s">
        <v>3067</v>
      </c>
      <c r="F12" s="3181" t="s">
        <v>3107</v>
      </c>
      <c r="G12" s="3181">
        <v>39602</v>
      </c>
      <c r="H12" s="3181">
        <v>69303.5</v>
      </c>
      <c r="I12" s="3181" t="s">
        <v>3108</v>
      </c>
      <c r="J12" s="3181" t="s">
        <v>2814</v>
      </c>
      <c r="K12" s="3181" t="s">
        <v>3109</v>
      </c>
      <c r="L12" s="3181" t="s">
        <v>3110</v>
      </c>
      <c r="M12" s="3181">
        <v>3145</v>
      </c>
      <c r="N12" s="3181">
        <v>3145</v>
      </c>
      <c r="O12" s="3181">
        <v>453.8</v>
      </c>
      <c r="P12" s="3180">
        <v>0</v>
      </c>
      <c r="Q12" s="3180" t="s">
        <v>3072</v>
      </c>
    </row>
    <row r="13" spans="1:17">
      <c r="A13" s="3181" t="s">
        <v>3106</v>
      </c>
      <c r="B13" s="3181" t="s">
        <v>3065</v>
      </c>
      <c r="C13" s="3181" t="s">
        <v>3066</v>
      </c>
      <c r="D13" s="3181" t="s">
        <v>3106</v>
      </c>
      <c r="E13" s="3181" t="s">
        <v>3067</v>
      </c>
      <c r="F13" s="3181" t="s">
        <v>3111</v>
      </c>
      <c r="G13" s="3181">
        <v>55420</v>
      </c>
      <c r="H13" s="3181">
        <v>96985</v>
      </c>
      <c r="I13" s="3181" t="s">
        <v>3108</v>
      </c>
      <c r="J13" s="3181" t="s">
        <v>2814</v>
      </c>
      <c r="K13" s="3181" t="s">
        <v>3109</v>
      </c>
      <c r="L13" s="3181" t="s">
        <v>3110</v>
      </c>
      <c r="M13" s="3181">
        <v>4401</v>
      </c>
      <c r="N13" s="3181">
        <v>4401</v>
      </c>
      <c r="O13" s="3181">
        <v>453.77</v>
      </c>
      <c r="P13" s="3180">
        <v>0</v>
      </c>
      <c r="Q13" s="3180" t="s">
        <v>3072</v>
      </c>
    </row>
    <row r="14" spans="1:17">
      <c r="A14" s="3180" t="s">
        <v>3112</v>
      </c>
      <c r="B14" s="3180" t="s">
        <v>3065</v>
      </c>
      <c r="C14" s="3180" t="s">
        <v>3066</v>
      </c>
      <c r="D14" s="3180" t="s">
        <v>3112</v>
      </c>
      <c r="E14" s="3180" t="s">
        <v>3067</v>
      </c>
      <c r="F14" s="3180" t="s">
        <v>3113</v>
      </c>
      <c r="G14" s="3180">
        <v>3520</v>
      </c>
      <c r="H14" s="3180">
        <v>2112</v>
      </c>
      <c r="I14" s="3180" t="s">
        <v>3069</v>
      </c>
      <c r="J14" s="3180" t="s">
        <v>2814</v>
      </c>
      <c r="K14" s="3180" t="s">
        <v>3114</v>
      </c>
      <c r="L14" s="3180" t="s">
        <v>3115</v>
      </c>
      <c r="M14" s="3180">
        <v>218</v>
      </c>
      <c r="N14" s="3180">
        <v>218</v>
      </c>
      <c r="O14" s="3180">
        <v>1032.2</v>
      </c>
      <c r="P14" s="3180">
        <v>0</v>
      </c>
      <c r="Q14" s="3180" t="s">
        <v>3072</v>
      </c>
    </row>
    <row r="15" spans="1:17">
      <c r="A15" s="3180" t="s">
        <v>3116</v>
      </c>
      <c r="B15" s="3180" t="s">
        <v>3065</v>
      </c>
      <c r="C15" s="3180" t="s">
        <v>3066</v>
      </c>
      <c r="D15" s="3180" t="s">
        <v>3116</v>
      </c>
      <c r="E15" s="3180" t="s">
        <v>3067</v>
      </c>
      <c r="F15" s="3180" t="s">
        <v>3117</v>
      </c>
      <c r="G15" s="3180">
        <v>3732</v>
      </c>
      <c r="H15" s="3180">
        <v>5598</v>
      </c>
      <c r="I15" s="3180" t="s">
        <v>3118</v>
      </c>
      <c r="J15" s="3180" t="s">
        <v>2814</v>
      </c>
      <c r="K15" s="3180" t="s">
        <v>3119</v>
      </c>
      <c r="L15" s="3180" t="s">
        <v>3120</v>
      </c>
      <c r="M15" s="3180">
        <v>90</v>
      </c>
      <c r="N15" s="3180">
        <v>90</v>
      </c>
      <c r="O15" s="3180">
        <v>160.77000000000001</v>
      </c>
      <c r="P15" s="3180">
        <v>0</v>
      </c>
      <c r="Q15" s="3180" t="s">
        <v>3072</v>
      </c>
    </row>
    <row r="16" spans="1:17" s="3181" customFormat="1">
      <c r="A16" s="3181" t="s">
        <v>3121</v>
      </c>
      <c r="B16" s="3181" t="s">
        <v>3065</v>
      </c>
      <c r="C16" s="3181" t="s">
        <v>3066</v>
      </c>
      <c r="D16" s="3184" t="s">
        <v>3240</v>
      </c>
      <c r="E16" s="3181" t="s">
        <v>3067</v>
      </c>
      <c r="F16" s="3181" t="s">
        <v>3122</v>
      </c>
      <c r="G16" s="3181">
        <v>1566</v>
      </c>
      <c r="H16" s="3181">
        <v>7516.8</v>
      </c>
      <c r="I16" s="3181" t="s">
        <v>3123</v>
      </c>
      <c r="J16" s="3181" t="s">
        <v>2814</v>
      </c>
      <c r="K16" s="3185">
        <v>42407</v>
      </c>
      <c r="L16" s="3181" t="s">
        <v>3125</v>
      </c>
      <c r="M16" s="3181">
        <v>312</v>
      </c>
      <c r="N16" s="3181">
        <v>312</v>
      </c>
      <c r="O16" s="3181">
        <v>415.06</v>
      </c>
      <c r="P16" s="3181">
        <v>0</v>
      </c>
      <c r="Q16" s="3181" t="s">
        <v>3072</v>
      </c>
    </row>
    <row r="17" spans="1:17">
      <c r="A17" s="3182" t="s">
        <v>3126</v>
      </c>
      <c r="B17" s="3182" t="s">
        <v>3065</v>
      </c>
      <c r="C17" s="3182" t="s">
        <v>3066</v>
      </c>
      <c r="D17" s="3182" t="s">
        <v>3126</v>
      </c>
      <c r="E17" s="3182" t="s">
        <v>3067</v>
      </c>
      <c r="F17" s="3182" t="s">
        <v>3127</v>
      </c>
      <c r="G17" s="3182">
        <v>2966</v>
      </c>
      <c r="H17" s="3182">
        <v>1779.6</v>
      </c>
      <c r="I17" s="3182" t="s">
        <v>3069</v>
      </c>
      <c r="J17" s="3182" t="s">
        <v>2814</v>
      </c>
      <c r="K17" s="3182" t="s">
        <v>3128</v>
      </c>
      <c r="L17" s="3182" t="s">
        <v>3129</v>
      </c>
    </row>
    <row r="18" spans="1:17" s="3194" customFormat="1">
      <c r="A18" s="3194" t="s">
        <v>3130</v>
      </c>
      <c r="B18" s="3194" t="s">
        <v>3065</v>
      </c>
      <c r="C18" s="3194" t="s">
        <v>3066</v>
      </c>
      <c r="D18" s="3196" t="s">
        <v>3241</v>
      </c>
      <c r="E18" s="3194" t="s">
        <v>3067</v>
      </c>
      <c r="F18" s="3194" t="s">
        <v>3131</v>
      </c>
      <c r="G18" s="3194">
        <v>26000</v>
      </c>
      <c r="H18" s="3194">
        <v>64220</v>
      </c>
      <c r="I18" s="3194" t="s">
        <v>3132</v>
      </c>
      <c r="J18" s="3194" t="s">
        <v>2814</v>
      </c>
      <c r="K18" s="3195">
        <v>42327</v>
      </c>
      <c r="L18" s="3194" t="s">
        <v>3134</v>
      </c>
    </row>
    <row r="19" spans="1:17">
      <c r="A19" s="3182" t="s">
        <v>3135</v>
      </c>
      <c r="B19" s="3182" t="s">
        <v>3065</v>
      </c>
      <c r="C19" s="3182" t="s">
        <v>3066</v>
      </c>
      <c r="D19" s="3182" t="s">
        <v>3135</v>
      </c>
      <c r="E19" s="3182" t="s">
        <v>3067</v>
      </c>
      <c r="F19" s="3182" t="s">
        <v>3136</v>
      </c>
      <c r="G19" s="3182">
        <v>2130</v>
      </c>
      <c r="H19" s="3182">
        <v>1278</v>
      </c>
      <c r="I19" s="3182" t="s">
        <v>3069</v>
      </c>
      <c r="J19" s="3182" t="s">
        <v>2814</v>
      </c>
      <c r="K19" s="3182" t="s">
        <v>3137</v>
      </c>
      <c r="L19" s="3182" t="s">
        <v>3138</v>
      </c>
    </row>
    <row r="20" spans="1:17">
      <c r="A20" s="3182" t="s">
        <v>3139</v>
      </c>
      <c r="B20" s="3182" t="s">
        <v>3065</v>
      </c>
      <c r="C20" s="3182" t="s">
        <v>3066</v>
      </c>
      <c r="D20" s="3182" t="s">
        <v>3139</v>
      </c>
      <c r="E20" s="3182" t="s">
        <v>3067</v>
      </c>
      <c r="F20" s="3182" t="s">
        <v>3140</v>
      </c>
      <c r="G20" s="3182">
        <v>1407</v>
      </c>
      <c r="H20" s="3182">
        <v>844.2</v>
      </c>
      <c r="I20" s="3182" t="s">
        <v>3069</v>
      </c>
      <c r="J20" s="3182" t="s">
        <v>2814</v>
      </c>
      <c r="K20" s="3182" t="s">
        <v>3141</v>
      </c>
      <c r="L20" s="3182" t="s">
        <v>3142</v>
      </c>
    </row>
    <row r="21" spans="1:17">
      <c r="A21" s="3182" t="s">
        <v>3143</v>
      </c>
      <c r="B21" s="3182" t="s">
        <v>3065</v>
      </c>
      <c r="C21" s="3182" t="s">
        <v>3066</v>
      </c>
      <c r="D21" s="3182" t="s">
        <v>3143</v>
      </c>
      <c r="E21" s="3182" t="s">
        <v>3067</v>
      </c>
      <c r="F21" s="3182" t="s">
        <v>3144</v>
      </c>
      <c r="G21" s="3182">
        <v>67453</v>
      </c>
      <c r="H21" s="3182">
        <v>41820.86</v>
      </c>
      <c r="I21" s="3182" t="s">
        <v>3145</v>
      </c>
      <c r="J21" s="3182" t="s">
        <v>2814</v>
      </c>
      <c r="K21" s="3182" t="s">
        <v>3141</v>
      </c>
      <c r="L21" s="3182" t="s">
        <v>3146</v>
      </c>
    </row>
    <row r="22" spans="1:17">
      <c r="A22" s="3182" t="s">
        <v>3147</v>
      </c>
      <c r="B22" s="3182" t="s">
        <v>3065</v>
      </c>
      <c r="C22" s="3182" t="s">
        <v>3066</v>
      </c>
      <c r="D22" s="3182" t="s">
        <v>3147</v>
      </c>
      <c r="E22" s="3182" t="s">
        <v>3067</v>
      </c>
      <c r="F22" s="3182" t="s">
        <v>3148</v>
      </c>
      <c r="G22" s="3182">
        <v>2871</v>
      </c>
      <c r="H22" s="3182">
        <v>1722.6</v>
      </c>
      <c r="I22" s="3182" t="s">
        <v>3069</v>
      </c>
      <c r="J22" s="3182" t="s">
        <v>2814</v>
      </c>
      <c r="K22" s="3182" t="s">
        <v>3149</v>
      </c>
      <c r="L22" s="3182" t="s">
        <v>3150</v>
      </c>
    </row>
    <row r="23" spans="1:17">
      <c r="A23" s="3182" t="s">
        <v>3151</v>
      </c>
      <c r="B23" s="3182" t="s">
        <v>3065</v>
      </c>
      <c r="C23" s="3182" t="s">
        <v>3066</v>
      </c>
      <c r="D23" s="3182" t="s">
        <v>3151</v>
      </c>
      <c r="E23" s="3182" t="s">
        <v>3067</v>
      </c>
      <c r="F23" s="3182" t="s">
        <v>3152</v>
      </c>
      <c r="G23" s="3182">
        <v>28961</v>
      </c>
      <c r="H23" s="3182">
        <v>43441.5</v>
      </c>
      <c r="I23" s="3182" t="s">
        <v>3118</v>
      </c>
      <c r="J23" s="3182" t="s">
        <v>2814</v>
      </c>
      <c r="K23" s="3182" t="s">
        <v>3153</v>
      </c>
      <c r="L23" s="3182" t="s">
        <v>3154</v>
      </c>
    </row>
    <row r="24" spans="1:17">
      <c r="A24" s="3182" t="s">
        <v>3155</v>
      </c>
      <c r="B24" s="3182" t="s">
        <v>3065</v>
      </c>
      <c r="C24" s="3182" t="s">
        <v>3066</v>
      </c>
      <c r="D24" s="3182" t="s">
        <v>3155</v>
      </c>
      <c r="E24" s="3182" t="s">
        <v>3156</v>
      </c>
      <c r="F24" s="3182" t="s">
        <v>3157</v>
      </c>
      <c r="G24" s="3182">
        <v>4800</v>
      </c>
      <c r="H24" s="3182">
        <v>2400</v>
      </c>
      <c r="I24" s="3182" t="s">
        <v>3158</v>
      </c>
      <c r="J24" s="3182" t="s">
        <v>2814</v>
      </c>
      <c r="K24" s="3182" t="s">
        <v>3159</v>
      </c>
      <c r="L24" s="3182" t="s">
        <v>3160</v>
      </c>
    </row>
    <row r="25" spans="1:17">
      <c r="A25" s="3182" t="s">
        <v>3161</v>
      </c>
      <c r="B25" s="3182" t="s">
        <v>3065</v>
      </c>
      <c r="C25" s="3182" t="s">
        <v>3066</v>
      </c>
      <c r="D25" s="3182" t="s">
        <v>3161</v>
      </c>
      <c r="E25" s="3182" t="s">
        <v>3067</v>
      </c>
      <c r="F25" s="3182" t="s">
        <v>3162</v>
      </c>
      <c r="G25" s="3182">
        <v>2000</v>
      </c>
      <c r="H25" s="3182">
        <v>1200</v>
      </c>
      <c r="I25" s="3182" t="s">
        <v>3069</v>
      </c>
      <c r="J25" s="3182" t="s">
        <v>2814</v>
      </c>
      <c r="K25" s="3182" t="s">
        <v>3163</v>
      </c>
      <c r="L25" s="3182" t="s">
        <v>3082</v>
      </c>
    </row>
    <row r="26" spans="1:17">
      <c r="A26" s="3182" t="s">
        <v>3164</v>
      </c>
      <c r="B26" s="3182" t="s">
        <v>3065</v>
      </c>
      <c r="C26" s="3182" t="s">
        <v>3066</v>
      </c>
      <c r="D26" s="3182" t="s">
        <v>3164</v>
      </c>
      <c r="E26" s="3182" t="s">
        <v>3067</v>
      </c>
      <c r="F26" s="3182" t="s">
        <v>3165</v>
      </c>
      <c r="G26" s="3182">
        <v>11000</v>
      </c>
      <c r="H26" s="3182">
        <v>33000</v>
      </c>
      <c r="I26" s="3182" t="s">
        <v>3166</v>
      </c>
      <c r="J26" s="3182" t="s">
        <v>2814</v>
      </c>
      <c r="K26" s="3182" t="s">
        <v>3163</v>
      </c>
      <c r="L26" s="3182" t="s">
        <v>3167</v>
      </c>
    </row>
    <row r="27" spans="1:17">
      <c r="A27" s="3182" t="s">
        <v>3168</v>
      </c>
      <c r="B27" s="3182" t="s">
        <v>3065</v>
      </c>
      <c r="C27" s="3182" t="s">
        <v>3066</v>
      </c>
      <c r="D27" s="3182" t="s">
        <v>3168</v>
      </c>
      <c r="E27" s="3182" t="s">
        <v>3067</v>
      </c>
      <c r="F27" s="3182" t="s">
        <v>3169</v>
      </c>
      <c r="G27" s="3182">
        <v>4000</v>
      </c>
      <c r="H27" s="3182">
        <v>10000</v>
      </c>
      <c r="I27" s="3182" t="s">
        <v>3170</v>
      </c>
      <c r="J27" s="3182" t="s">
        <v>2814</v>
      </c>
      <c r="K27" s="3182" t="s">
        <v>3171</v>
      </c>
      <c r="L27" s="3182" t="s">
        <v>3172</v>
      </c>
    </row>
    <row r="28" spans="1:17">
      <c r="A28" s="3182" t="s">
        <v>3173</v>
      </c>
      <c r="B28" s="3182" t="s">
        <v>3065</v>
      </c>
      <c r="C28" s="3182" t="s">
        <v>3066</v>
      </c>
      <c r="D28" s="3182" t="s">
        <v>3173</v>
      </c>
      <c r="E28" s="3182" t="s">
        <v>3067</v>
      </c>
      <c r="F28" s="3182" t="s">
        <v>3174</v>
      </c>
      <c r="G28" s="3182">
        <v>6889</v>
      </c>
      <c r="H28" s="3182">
        <v>8266.7999999999993</v>
      </c>
      <c r="I28" s="3182" t="s">
        <v>3175</v>
      </c>
      <c r="J28" s="3182" t="s">
        <v>2814</v>
      </c>
      <c r="K28" s="3182" t="s">
        <v>3171</v>
      </c>
      <c r="L28" s="3182" t="s">
        <v>3176</v>
      </c>
    </row>
    <row r="29" spans="1:17" hidden="1">
      <c r="A29" s="3182" t="s">
        <v>3177</v>
      </c>
      <c r="B29" s="3182" t="s">
        <v>3065</v>
      </c>
      <c r="C29" s="3182" t="s">
        <v>3066</v>
      </c>
      <c r="D29" s="3182" t="s">
        <v>3177</v>
      </c>
      <c r="E29" s="3182" t="s">
        <v>3067</v>
      </c>
      <c r="F29" s="3182" t="s">
        <v>3178</v>
      </c>
      <c r="G29" s="3182">
        <v>6394</v>
      </c>
      <c r="H29" s="3182">
        <v>14002.86</v>
      </c>
      <c r="I29" s="3182" t="s">
        <v>3179</v>
      </c>
      <c r="J29" s="3182" t="s">
        <v>2814</v>
      </c>
      <c r="K29" s="3182" t="s">
        <v>3180</v>
      </c>
      <c r="L29" s="3182" t="s">
        <v>3181</v>
      </c>
    </row>
    <row r="30" spans="1:17" hidden="1">
      <c r="A30" s="3182" t="s">
        <v>3182</v>
      </c>
      <c r="B30" s="3182" t="s">
        <v>3065</v>
      </c>
      <c r="C30" s="3182" t="s">
        <v>3066</v>
      </c>
      <c r="D30" s="3182" t="s">
        <v>3182</v>
      </c>
      <c r="E30" s="3182" t="s">
        <v>3067</v>
      </c>
      <c r="F30" s="3182" t="s">
        <v>3183</v>
      </c>
      <c r="G30" s="3182">
        <v>40027</v>
      </c>
      <c r="H30" s="3182">
        <v>60040.5</v>
      </c>
      <c r="I30" s="3182" t="s">
        <v>3184</v>
      </c>
      <c r="J30" s="3182" t="s">
        <v>2814</v>
      </c>
      <c r="K30" s="3182" t="s">
        <v>3180</v>
      </c>
      <c r="L30" s="3182" t="s">
        <v>3185</v>
      </c>
    </row>
    <row r="31" spans="1:17" hidden="1">
      <c r="A31" s="3182" t="s">
        <v>3151</v>
      </c>
      <c r="B31" s="3182" t="s">
        <v>3065</v>
      </c>
      <c r="C31" s="3182" t="s">
        <v>3066</v>
      </c>
      <c r="D31" s="3182" t="s">
        <v>3151</v>
      </c>
      <c r="E31" s="3182" t="s">
        <v>3186</v>
      </c>
      <c r="F31" s="3182" t="s">
        <v>3187</v>
      </c>
      <c r="G31" s="3182">
        <v>40229</v>
      </c>
      <c r="H31" s="3182">
        <v>104595.4</v>
      </c>
      <c r="I31" s="3182" t="s">
        <v>3188</v>
      </c>
      <c r="J31" s="3182" t="s">
        <v>2814</v>
      </c>
      <c r="K31" s="3182" t="s">
        <v>3189</v>
      </c>
      <c r="L31" s="3182" t="s">
        <v>3190</v>
      </c>
    </row>
    <row r="32" spans="1:17" hidden="1">
      <c r="A32" s="3183" t="s">
        <v>3191</v>
      </c>
      <c r="B32" s="3183" t="s">
        <v>3065</v>
      </c>
      <c r="C32" s="3183" t="s">
        <v>3066</v>
      </c>
      <c r="D32" s="3183" t="s">
        <v>3191</v>
      </c>
      <c r="E32" s="3183" t="s">
        <v>3186</v>
      </c>
      <c r="F32" s="3183" t="s">
        <v>3192</v>
      </c>
      <c r="G32" s="3183">
        <v>1332</v>
      </c>
      <c r="H32" s="3183">
        <v>799.2</v>
      </c>
      <c r="I32" s="3183" t="s">
        <v>3069</v>
      </c>
      <c r="J32" s="3183" t="s">
        <v>2814</v>
      </c>
      <c r="K32" s="3183" t="s">
        <v>3193</v>
      </c>
      <c r="L32" s="3183" t="s">
        <v>3194</v>
      </c>
      <c r="M32" s="3183" t="s">
        <v>2814</v>
      </c>
      <c r="N32" s="3183">
        <v>142</v>
      </c>
      <c r="O32" s="3183">
        <v>1776.77</v>
      </c>
      <c r="P32" s="3183" t="s">
        <v>2814</v>
      </c>
      <c r="Q32" s="3183" t="s">
        <v>3072</v>
      </c>
    </row>
    <row r="33" spans="1:17" hidden="1">
      <c r="A33" s="3183" t="s">
        <v>3195</v>
      </c>
      <c r="B33" s="3183" t="s">
        <v>3065</v>
      </c>
      <c r="C33" s="3183" t="s">
        <v>3066</v>
      </c>
      <c r="D33" s="3183" t="s">
        <v>3195</v>
      </c>
      <c r="E33" s="3183" t="s">
        <v>3186</v>
      </c>
      <c r="F33" s="3183" t="s">
        <v>3196</v>
      </c>
      <c r="G33" s="3183">
        <v>53334</v>
      </c>
      <c r="H33" s="3183">
        <v>128001.60000000001</v>
      </c>
      <c r="I33" s="3183" t="s">
        <v>3197</v>
      </c>
      <c r="J33" s="3183" t="s">
        <v>2814</v>
      </c>
      <c r="K33" s="3183" t="s">
        <v>3193</v>
      </c>
      <c r="L33" s="3183" t="s">
        <v>3146</v>
      </c>
      <c r="M33" s="3183" t="s">
        <v>2814</v>
      </c>
      <c r="N33" s="3183">
        <v>5521</v>
      </c>
      <c r="O33" s="3183">
        <v>431.31</v>
      </c>
      <c r="P33" s="3183" t="s">
        <v>2814</v>
      </c>
      <c r="Q33" s="3183" t="s">
        <v>3072</v>
      </c>
    </row>
    <row r="34" spans="1:17" hidden="1">
      <c r="A34" s="3183" t="s">
        <v>3198</v>
      </c>
      <c r="B34" s="3183" t="s">
        <v>3065</v>
      </c>
      <c r="C34" s="3183" t="s">
        <v>3066</v>
      </c>
      <c r="D34" s="3183" t="s">
        <v>3198</v>
      </c>
      <c r="E34" s="3183" t="s">
        <v>3186</v>
      </c>
      <c r="F34" s="3183" t="s">
        <v>3199</v>
      </c>
      <c r="G34" s="3183">
        <v>40000</v>
      </c>
      <c r="H34" s="3183">
        <v>96000</v>
      </c>
      <c r="I34" s="3183" t="s">
        <v>3197</v>
      </c>
      <c r="J34" s="3183" t="s">
        <v>2814</v>
      </c>
      <c r="K34" s="3183" t="s">
        <v>3193</v>
      </c>
      <c r="L34" s="3183" t="s">
        <v>3146</v>
      </c>
      <c r="M34" s="3183" t="s">
        <v>2814</v>
      </c>
      <c r="N34" s="3183">
        <v>4256</v>
      </c>
      <c r="O34" s="3183">
        <v>443.32</v>
      </c>
      <c r="P34" s="3183" t="s">
        <v>2814</v>
      </c>
      <c r="Q34" s="3183" t="s">
        <v>3072</v>
      </c>
    </row>
    <row r="35" spans="1:17" hidden="1">
      <c r="A35" s="3183" t="s">
        <v>3198</v>
      </c>
      <c r="B35" s="3183" t="s">
        <v>3065</v>
      </c>
      <c r="C35" s="3183" t="s">
        <v>3066</v>
      </c>
      <c r="D35" s="3183" t="s">
        <v>3198</v>
      </c>
      <c r="E35" s="3183" t="s">
        <v>3186</v>
      </c>
      <c r="F35" s="3183" t="s">
        <v>3200</v>
      </c>
      <c r="G35" s="3183">
        <v>40000</v>
      </c>
      <c r="H35" s="3183">
        <v>96000</v>
      </c>
      <c r="I35" s="3183" t="s">
        <v>3197</v>
      </c>
      <c r="J35" s="3183" t="s">
        <v>2814</v>
      </c>
      <c r="K35" s="3183" t="s">
        <v>3193</v>
      </c>
      <c r="L35" s="3183" t="s">
        <v>3146</v>
      </c>
      <c r="M35" s="3183" t="s">
        <v>2814</v>
      </c>
      <c r="N35" s="3183">
        <v>4256</v>
      </c>
      <c r="O35" s="3183">
        <v>443.32</v>
      </c>
      <c r="P35" s="3183" t="s">
        <v>2814</v>
      </c>
      <c r="Q35" s="3183" t="s">
        <v>3072</v>
      </c>
    </row>
    <row r="36" spans="1:17" hidden="1">
      <c r="A36" s="3183" t="s">
        <v>3201</v>
      </c>
      <c r="B36" s="3183" t="s">
        <v>3065</v>
      </c>
      <c r="C36" s="3183" t="s">
        <v>3066</v>
      </c>
      <c r="D36" s="3183" t="s">
        <v>3201</v>
      </c>
      <c r="E36" s="3183" t="s">
        <v>3186</v>
      </c>
      <c r="F36" s="3183" t="s">
        <v>3202</v>
      </c>
      <c r="G36" s="3183">
        <v>1600</v>
      </c>
      <c r="H36" s="3183">
        <v>3840</v>
      </c>
      <c r="I36" s="3183" t="s">
        <v>3203</v>
      </c>
      <c r="J36" s="3183" t="s">
        <v>2814</v>
      </c>
      <c r="K36" s="3183" t="s">
        <v>3204</v>
      </c>
      <c r="L36" s="3183" t="s">
        <v>3205</v>
      </c>
      <c r="M36" s="3183" t="s">
        <v>2814</v>
      </c>
      <c r="N36" s="3183">
        <v>91</v>
      </c>
      <c r="O36" s="3183">
        <v>236.97</v>
      </c>
      <c r="P36" s="3183" t="s">
        <v>2814</v>
      </c>
      <c r="Q36" s="3183" t="s">
        <v>3072</v>
      </c>
    </row>
    <row r="37" spans="1:17" hidden="1">
      <c r="A37" s="3183" t="s">
        <v>3206</v>
      </c>
      <c r="B37" s="3183" t="s">
        <v>3065</v>
      </c>
      <c r="C37" s="3183" t="s">
        <v>3066</v>
      </c>
      <c r="D37" s="3183" t="s">
        <v>3206</v>
      </c>
      <c r="E37" s="3183" t="s">
        <v>3186</v>
      </c>
      <c r="F37" s="3183" t="s">
        <v>3207</v>
      </c>
      <c r="G37" s="3183">
        <v>19798</v>
      </c>
      <c r="H37" s="3183">
        <v>79192</v>
      </c>
      <c r="I37" s="3183" t="s">
        <v>3208</v>
      </c>
      <c r="J37" s="3183" t="s">
        <v>2814</v>
      </c>
      <c r="K37" s="3183" t="s">
        <v>3204</v>
      </c>
      <c r="L37" s="3183" t="s">
        <v>3209</v>
      </c>
      <c r="M37" s="3183" t="s">
        <v>2814</v>
      </c>
      <c r="N37" s="3183">
        <v>2645</v>
      </c>
      <c r="O37" s="3183">
        <v>334</v>
      </c>
      <c r="P37" s="3183" t="s">
        <v>2814</v>
      </c>
      <c r="Q37" s="3183" t="s">
        <v>3072</v>
      </c>
    </row>
    <row r="38" spans="1:17" hidden="1">
      <c r="A38" s="3183" t="s">
        <v>3210</v>
      </c>
      <c r="B38" s="3183" t="s">
        <v>3065</v>
      </c>
      <c r="C38" s="3183" t="s">
        <v>3066</v>
      </c>
      <c r="D38" s="3183" t="s">
        <v>3210</v>
      </c>
      <c r="E38" s="3183" t="s">
        <v>3186</v>
      </c>
      <c r="F38" s="3183" t="s">
        <v>3211</v>
      </c>
      <c r="G38" s="3183">
        <v>3861</v>
      </c>
      <c r="H38" s="3183">
        <v>2316.6</v>
      </c>
      <c r="I38" s="3183" t="s">
        <v>3069</v>
      </c>
      <c r="J38" s="3183" t="s">
        <v>2814</v>
      </c>
      <c r="K38" s="3183" t="s">
        <v>3212</v>
      </c>
      <c r="L38" s="3183" t="s">
        <v>3213</v>
      </c>
      <c r="M38" s="3183" t="s">
        <v>2814</v>
      </c>
      <c r="N38" s="3183">
        <v>199.49</v>
      </c>
      <c r="O38" s="3183">
        <v>861.12</v>
      </c>
      <c r="P38" s="3183" t="s">
        <v>2814</v>
      </c>
      <c r="Q38" s="3183" t="s">
        <v>3072</v>
      </c>
    </row>
    <row r="39" spans="1:17" hidden="1">
      <c r="A39" s="3183" t="s">
        <v>3214</v>
      </c>
      <c r="B39" s="3183" t="s">
        <v>3065</v>
      </c>
      <c r="C39" s="3183" t="s">
        <v>3066</v>
      </c>
      <c r="D39" s="3183" t="s">
        <v>3214</v>
      </c>
      <c r="E39" s="3183" t="s">
        <v>3186</v>
      </c>
      <c r="F39" s="3183" t="s">
        <v>3215</v>
      </c>
      <c r="G39" s="3183">
        <v>3333</v>
      </c>
      <c r="H39" s="3183">
        <v>1999.8</v>
      </c>
      <c r="I39" s="3183" t="s">
        <v>3069</v>
      </c>
      <c r="J39" s="3183" t="s">
        <v>2814</v>
      </c>
      <c r="K39" s="3183" t="s">
        <v>3212</v>
      </c>
      <c r="L39" s="3183" t="s">
        <v>3213</v>
      </c>
      <c r="M39" s="3183" t="s">
        <v>2814</v>
      </c>
      <c r="N39" s="3183">
        <v>177.09</v>
      </c>
      <c r="O39" s="3183">
        <v>885.53</v>
      </c>
      <c r="P39" s="3183" t="s">
        <v>2814</v>
      </c>
      <c r="Q39" s="3183" t="s">
        <v>3072</v>
      </c>
    </row>
    <row r="40" spans="1:17" hidden="1">
      <c r="A40" s="3183" t="s">
        <v>3216</v>
      </c>
      <c r="B40" s="3183" t="s">
        <v>3065</v>
      </c>
      <c r="C40" s="3183" t="s">
        <v>3066</v>
      </c>
      <c r="D40" s="3183" t="s">
        <v>3216</v>
      </c>
      <c r="E40" s="3183" t="s">
        <v>3186</v>
      </c>
      <c r="F40" s="3183" t="s">
        <v>3217</v>
      </c>
      <c r="G40" s="3183">
        <v>3333</v>
      </c>
      <c r="H40" s="3183">
        <v>13332</v>
      </c>
      <c r="I40" s="3183" t="s">
        <v>3208</v>
      </c>
      <c r="J40" s="3183" t="s">
        <v>2814</v>
      </c>
      <c r="K40" s="3183" t="s">
        <v>3212</v>
      </c>
      <c r="L40" s="3183" t="s">
        <v>3218</v>
      </c>
      <c r="M40" s="3183" t="s">
        <v>2814</v>
      </c>
      <c r="N40" s="3183">
        <v>245</v>
      </c>
      <c r="O40" s="3183">
        <v>183.77</v>
      </c>
      <c r="P40" s="3183" t="s">
        <v>2814</v>
      </c>
      <c r="Q40" s="3183" t="s">
        <v>3072</v>
      </c>
    </row>
    <row r="41" spans="1:17" hidden="1">
      <c r="A41" s="3183" t="s">
        <v>3219</v>
      </c>
      <c r="B41" s="3183" t="s">
        <v>3065</v>
      </c>
      <c r="C41" s="3183" t="s">
        <v>3066</v>
      </c>
      <c r="D41" s="3183" t="s">
        <v>3219</v>
      </c>
      <c r="E41" s="3183" t="s">
        <v>3186</v>
      </c>
      <c r="F41" s="3183" t="s">
        <v>3220</v>
      </c>
      <c r="G41" s="3183">
        <v>3333</v>
      </c>
      <c r="H41" s="3183">
        <v>1999.8</v>
      </c>
      <c r="I41" s="3183" t="s">
        <v>3069</v>
      </c>
      <c r="J41" s="3183" t="s">
        <v>2814</v>
      </c>
      <c r="K41" s="3183" t="s">
        <v>3212</v>
      </c>
      <c r="L41" s="3183" t="s">
        <v>3213</v>
      </c>
      <c r="M41" s="3183" t="s">
        <v>2814</v>
      </c>
      <c r="N41" s="3183">
        <v>177.52</v>
      </c>
      <c r="O41" s="3183">
        <v>887.69</v>
      </c>
      <c r="P41" s="3183" t="s">
        <v>2814</v>
      </c>
      <c r="Q41" s="3183" t="s">
        <v>3072</v>
      </c>
    </row>
    <row r="42" spans="1:17" hidden="1">
      <c r="A42" s="3183" t="s">
        <v>3221</v>
      </c>
      <c r="B42" s="3183" t="s">
        <v>3065</v>
      </c>
      <c r="C42" s="3183" t="s">
        <v>3066</v>
      </c>
      <c r="D42" s="3183" t="s">
        <v>3221</v>
      </c>
      <c r="E42" s="3183" t="s">
        <v>3186</v>
      </c>
      <c r="F42" s="3183" t="s">
        <v>3222</v>
      </c>
      <c r="G42" s="3183">
        <v>2354</v>
      </c>
      <c r="H42" s="3183">
        <v>1412.4</v>
      </c>
      <c r="I42" s="3183" t="s">
        <v>3069</v>
      </c>
      <c r="J42" s="3183" t="s">
        <v>2814</v>
      </c>
      <c r="K42" s="3183" t="s">
        <v>3212</v>
      </c>
      <c r="L42" s="3183" t="s">
        <v>3223</v>
      </c>
      <c r="M42" s="3183" t="s">
        <v>2814</v>
      </c>
      <c r="N42" s="3183">
        <v>66</v>
      </c>
      <c r="O42" s="3183">
        <v>467.29</v>
      </c>
      <c r="P42" s="3183" t="s">
        <v>2814</v>
      </c>
      <c r="Q42" s="3183" t="s">
        <v>3072</v>
      </c>
    </row>
    <row r="43" spans="1:17" hidden="1">
      <c r="A43" s="3183" t="s">
        <v>3224</v>
      </c>
      <c r="B43" s="3183" t="s">
        <v>3065</v>
      </c>
      <c r="C43" s="3183" t="s">
        <v>3066</v>
      </c>
      <c r="D43" s="3183" t="s">
        <v>3224</v>
      </c>
      <c r="E43" s="3183" t="s">
        <v>3186</v>
      </c>
      <c r="F43" s="3183" t="s">
        <v>3225</v>
      </c>
      <c r="G43" s="3183">
        <v>26460</v>
      </c>
      <c r="H43" s="3183">
        <v>12436.2</v>
      </c>
      <c r="I43" s="3183" t="s">
        <v>3226</v>
      </c>
      <c r="J43" s="3183" t="s">
        <v>2814</v>
      </c>
      <c r="K43" s="3183" t="s">
        <v>3227</v>
      </c>
      <c r="L43" s="3183" t="s">
        <v>3228</v>
      </c>
      <c r="M43" s="3183" t="s">
        <v>2814</v>
      </c>
      <c r="N43" s="3183">
        <v>2228</v>
      </c>
      <c r="O43" s="3183">
        <v>1791.53</v>
      </c>
      <c r="P43" s="3183" t="s">
        <v>2814</v>
      </c>
      <c r="Q43" s="3183" t="s">
        <v>3072</v>
      </c>
    </row>
    <row r="44" spans="1:17" hidden="1">
      <c r="A44" s="3183" t="s">
        <v>3229</v>
      </c>
      <c r="B44" s="3183" t="s">
        <v>3065</v>
      </c>
      <c r="C44" s="3183" t="s">
        <v>3066</v>
      </c>
      <c r="D44" s="3183" t="s">
        <v>3229</v>
      </c>
      <c r="E44" s="3183" t="s">
        <v>3186</v>
      </c>
      <c r="F44" s="3183" t="s">
        <v>3230</v>
      </c>
      <c r="G44" s="3183">
        <v>632</v>
      </c>
      <c r="H44" s="3183">
        <v>1580</v>
      </c>
      <c r="I44" s="3183" t="s">
        <v>3231</v>
      </c>
      <c r="J44" s="3183" t="s">
        <v>2814</v>
      </c>
      <c r="K44" s="3183" t="s">
        <v>3227</v>
      </c>
      <c r="L44" s="3183" t="s">
        <v>3232</v>
      </c>
      <c r="M44" s="3183" t="s">
        <v>2814</v>
      </c>
      <c r="N44" s="3183">
        <v>16</v>
      </c>
      <c r="O44" s="3183">
        <v>101.26</v>
      </c>
      <c r="P44" s="3183" t="s">
        <v>2814</v>
      </c>
      <c r="Q44" s="3183" t="s">
        <v>3072</v>
      </c>
    </row>
    <row r="45" spans="1:17" hidden="1">
      <c r="A45" s="3183" t="s">
        <v>3224</v>
      </c>
      <c r="B45" s="3183" t="s">
        <v>3065</v>
      </c>
      <c r="C45" s="3183" t="s">
        <v>3066</v>
      </c>
      <c r="D45" s="3183" t="s">
        <v>3224</v>
      </c>
      <c r="E45" s="3183" t="s">
        <v>3186</v>
      </c>
      <c r="F45" s="3183" t="s">
        <v>3233</v>
      </c>
      <c r="G45" s="3183">
        <v>4665</v>
      </c>
      <c r="H45" s="3183">
        <v>5691.3</v>
      </c>
      <c r="I45" s="3183" t="s">
        <v>3234</v>
      </c>
      <c r="J45" s="3183" t="s">
        <v>2814</v>
      </c>
      <c r="K45" s="3183" t="s">
        <v>3227</v>
      </c>
      <c r="L45" s="3183" t="s">
        <v>3235</v>
      </c>
      <c r="M45" s="3183" t="s">
        <v>2814</v>
      </c>
      <c r="N45" s="3183">
        <v>393</v>
      </c>
      <c r="O45" s="3183">
        <v>690.52</v>
      </c>
      <c r="P45" s="3183" t="s">
        <v>2814</v>
      </c>
      <c r="Q45" s="3183" t="s">
        <v>3072</v>
      </c>
    </row>
    <row r="46" spans="1:17" hidden="1">
      <c r="A46" s="3183" t="s">
        <v>3236</v>
      </c>
      <c r="B46" s="3183" t="s">
        <v>3065</v>
      </c>
      <c r="C46" s="3183" t="s">
        <v>3066</v>
      </c>
      <c r="D46" s="3183" t="s">
        <v>3236</v>
      </c>
      <c r="E46" s="3183" t="s">
        <v>3186</v>
      </c>
      <c r="F46" s="3183" t="s">
        <v>3237</v>
      </c>
      <c r="G46" s="3183">
        <v>12227</v>
      </c>
      <c r="H46" s="3183">
        <v>18340.5</v>
      </c>
      <c r="I46" s="3183" t="s">
        <v>3118</v>
      </c>
      <c r="J46" s="3183" t="s">
        <v>2814</v>
      </c>
      <c r="K46" s="3183" t="s">
        <v>3238</v>
      </c>
      <c r="L46" s="3183" t="s">
        <v>3146</v>
      </c>
      <c r="M46" s="3183" t="s">
        <v>2814</v>
      </c>
      <c r="N46" s="3183">
        <v>1266</v>
      </c>
      <c r="O46" s="3183">
        <v>690.27</v>
      </c>
      <c r="P46" s="3183" t="s">
        <v>2814</v>
      </c>
      <c r="Q46" s="3183" t="s">
        <v>3072</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3048</v>
      </c>
      <c r="B1" s="2915" t="s">
        <v>3049</v>
      </c>
      <c r="C1" s="2915" t="s">
        <v>3050</v>
      </c>
      <c r="D1" s="2915" t="s">
        <v>3052</v>
      </c>
      <c r="E1" s="2915" t="s">
        <v>3054</v>
      </c>
      <c r="F1" s="2915" t="s">
        <v>3055</v>
      </c>
      <c r="G1" s="2915" t="s">
        <v>2030</v>
      </c>
      <c r="H1" s="2915" t="s">
        <v>3057</v>
      </c>
      <c r="I1" s="2915" t="s">
        <v>3058</v>
      </c>
      <c r="J1" s="2915" t="s">
        <v>3060</v>
      </c>
      <c r="K1" s="2915" t="s">
        <v>3244</v>
      </c>
      <c r="L1" s="2915" t="s">
        <v>3061</v>
      </c>
      <c r="M1" s="2915" t="s">
        <v>3062</v>
      </c>
      <c r="N1" s="2915" t="s">
        <v>3245</v>
      </c>
    </row>
    <row r="2" spans="1:15" s="3190" customFormat="1">
      <c r="A2" s="3190" t="s">
        <v>3246</v>
      </c>
      <c r="B2" s="3190" t="s">
        <v>3065</v>
      </c>
      <c r="C2" s="3190" t="s">
        <v>3066</v>
      </c>
      <c r="D2" s="3190" t="s">
        <v>3067</v>
      </c>
      <c r="E2" s="3190">
        <v>11000</v>
      </c>
      <c r="F2" s="3190">
        <v>33000</v>
      </c>
      <c r="G2" s="3190" t="s">
        <v>3166</v>
      </c>
      <c r="H2" s="3190" t="s">
        <v>3163</v>
      </c>
      <c r="I2" s="3190" t="s">
        <v>3167</v>
      </c>
      <c r="J2" s="3190">
        <v>2475</v>
      </c>
      <c r="K2" s="3189">
        <f>ROUND(J2/E2*10000,2)</f>
        <v>2250</v>
      </c>
      <c r="L2" s="3190">
        <v>750</v>
      </c>
      <c r="M2" s="3190">
        <v>0</v>
      </c>
      <c r="N2" s="3190" t="s">
        <v>3247</v>
      </c>
      <c r="O2" s="3190">
        <f>K2*0.0667</f>
        <v>150.07499999999999</v>
      </c>
    </row>
    <row r="3" spans="1:15" s="3190" customFormat="1">
      <c r="A3" s="3190" t="s">
        <v>3121</v>
      </c>
      <c r="B3" s="3190" t="s">
        <v>3065</v>
      </c>
      <c r="C3" s="3190" t="s">
        <v>3066</v>
      </c>
      <c r="D3" s="3190" t="s">
        <v>3067</v>
      </c>
      <c r="E3" s="3190">
        <v>1566</v>
      </c>
      <c r="F3" s="3190">
        <v>7516.8</v>
      </c>
      <c r="G3" s="3190" t="s">
        <v>3123</v>
      </c>
      <c r="H3" s="3190" t="s">
        <v>3124</v>
      </c>
      <c r="I3" s="3190" t="s">
        <v>3125</v>
      </c>
      <c r="J3" s="3190">
        <v>312</v>
      </c>
      <c r="K3" s="3189">
        <f t="shared" ref="K3:K23" si="0">ROUND(J3/E3*10000,2)</f>
        <v>1992.34</v>
      </c>
      <c r="L3" s="3190">
        <v>415.06</v>
      </c>
      <c r="M3" s="3190">
        <v>0</v>
      </c>
      <c r="N3" s="3190" t="s">
        <v>3248</v>
      </c>
      <c r="O3" s="3190">
        <f t="shared" ref="O3:O23" si="1">K3*0.0667</f>
        <v>132.88907799999998</v>
      </c>
    </row>
    <row r="4" spans="1:15" s="3190" customFormat="1">
      <c r="A4" s="3190" t="s">
        <v>3206</v>
      </c>
      <c r="B4" s="3190" t="s">
        <v>3065</v>
      </c>
      <c r="C4" s="3190" t="s">
        <v>3066</v>
      </c>
      <c r="D4" s="3190" t="s">
        <v>3186</v>
      </c>
      <c r="E4" s="3190">
        <v>19798</v>
      </c>
      <c r="F4" s="3190">
        <v>79192</v>
      </c>
      <c r="G4" s="3190" t="s">
        <v>3208</v>
      </c>
      <c r="H4" s="3190" t="s">
        <v>3204</v>
      </c>
      <c r="I4" s="3190" t="s">
        <v>3209</v>
      </c>
      <c r="J4" s="3190">
        <v>2645</v>
      </c>
      <c r="K4" s="3189">
        <f t="shared" si="0"/>
        <v>1335.99</v>
      </c>
      <c r="L4" s="3190" t="s">
        <v>2814</v>
      </c>
      <c r="M4" s="3190" t="s">
        <v>3247</v>
      </c>
      <c r="O4" s="3190">
        <f t="shared" si="1"/>
        <v>89.11053299999999</v>
      </c>
    </row>
    <row r="5" spans="1:15" s="3190" customFormat="1">
      <c r="A5" s="3190" t="s">
        <v>3151</v>
      </c>
      <c r="B5" s="3190" t="s">
        <v>3065</v>
      </c>
      <c r="C5" s="3190" t="s">
        <v>3066</v>
      </c>
      <c r="D5" s="3190" t="s">
        <v>3186</v>
      </c>
      <c r="E5" s="3190">
        <v>40229</v>
      </c>
      <c r="F5" s="3190">
        <v>104595.4</v>
      </c>
      <c r="G5" s="3190" t="s">
        <v>3188</v>
      </c>
      <c r="H5" s="3190" t="s">
        <v>3189</v>
      </c>
      <c r="I5" s="3190" t="s">
        <v>3190</v>
      </c>
      <c r="J5" s="3190">
        <v>4915</v>
      </c>
      <c r="K5" s="3189">
        <f t="shared" si="0"/>
        <v>1221.76</v>
      </c>
      <c r="L5" s="3190" t="s">
        <v>2814</v>
      </c>
      <c r="M5" s="3190" t="s">
        <v>3249</v>
      </c>
      <c r="O5" s="3190">
        <f t="shared" si="1"/>
        <v>81.491391999999991</v>
      </c>
    </row>
    <row r="6" spans="1:15" s="3190" customFormat="1">
      <c r="A6" s="3190" t="s">
        <v>3151</v>
      </c>
      <c r="B6" s="3190" t="s">
        <v>3065</v>
      </c>
      <c r="C6" s="3190" t="s">
        <v>3066</v>
      </c>
      <c r="D6" s="3190" t="s">
        <v>3067</v>
      </c>
      <c r="E6" s="3190">
        <v>28961</v>
      </c>
      <c r="F6" s="3190">
        <v>43441.5</v>
      </c>
      <c r="G6" s="3190" t="s">
        <v>3118</v>
      </c>
      <c r="H6" s="3190" t="s">
        <v>3153</v>
      </c>
      <c r="I6" s="3190" t="s">
        <v>3154</v>
      </c>
      <c r="J6" s="3190">
        <v>3308</v>
      </c>
      <c r="K6" s="3189">
        <f t="shared" si="0"/>
        <v>1142.23</v>
      </c>
      <c r="L6" s="3190">
        <v>761.48</v>
      </c>
      <c r="M6" s="3190">
        <v>0</v>
      </c>
      <c r="N6" s="3190" t="s">
        <v>3250</v>
      </c>
      <c r="O6" s="3190">
        <f t="shared" si="1"/>
        <v>76.186740999999998</v>
      </c>
    </row>
    <row r="7" spans="1:15" s="3190" customFormat="1">
      <c r="A7" s="3190" t="s">
        <v>3198</v>
      </c>
      <c r="B7" s="3190" t="s">
        <v>3065</v>
      </c>
      <c r="C7" s="3190" t="s">
        <v>3066</v>
      </c>
      <c r="D7" s="3190" t="s">
        <v>3186</v>
      </c>
      <c r="E7" s="3190">
        <v>40000</v>
      </c>
      <c r="F7" s="3190">
        <v>96000</v>
      </c>
      <c r="G7" s="3190" t="s">
        <v>3197</v>
      </c>
      <c r="H7" s="3190" t="s">
        <v>3193</v>
      </c>
      <c r="I7" s="3190" t="s">
        <v>3146</v>
      </c>
      <c r="J7" s="3190">
        <v>4256</v>
      </c>
      <c r="K7" s="3189">
        <f t="shared" si="0"/>
        <v>1064</v>
      </c>
      <c r="L7" s="3190" t="s">
        <v>2814</v>
      </c>
      <c r="M7" s="3190" t="s">
        <v>3247</v>
      </c>
      <c r="O7" s="3190">
        <f t="shared" si="1"/>
        <v>70.968800000000002</v>
      </c>
    </row>
    <row r="8" spans="1:15" s="3190" customFormat="1" hidden="1">
      <c r="K8" s="3189" t="e">
        <f t="shared" si="0"/>
        <v>#DIV/0!</v>
      </c>
      <c r="O8" s="3190" t="e">
        <f t="shared" si="1"/>
        <v>#DIV/0!</v>
      </c>
    </row>
    <row r="9" spans="1:15" s="3190" customFormat="1">
      <c r="A9" s="3190" t="s">
        <v>3198</v>
      </c>
      <c r="B9" s="3190" t="s">
        <v>3065</v>
      </c>
      <c r="C9" s="3190" t="s">
        <v>3066</v>
      </c>
      <c r="D9" s="3190" t="s">
        <v>3186</v>
      </c>
      <c r="E9" s="3190">
        <v>40000</v>
      </c>
      <c r="F9" s="3190">
        <v>96000</v>
      </c>
      <c r="G9" s="3190" t="s">
        <v>3197</v>
      </c>
      <c r="H9" s="3190" t="s">
        <v>3193</v>
      </c>
      <c r="I9" s="3190" t="s">
        <v>3146</v>
      </c>
      <c r="J9" s="3190">
        <v>4256</v>
      </c>
      <c r="K9" s="3189">
        <f t="shared" si="0"/>
        <v>1064</v>
      </c>
      <c r="L9" s="3190" t="s">
        <v>2814</v>
      </c>
      <c r="M9" s="3190" t="s">
        <v>3247</v>
      </c>
      <c r="O9" s="3190">
        <f t="shared" si="1"/>
        <v>70.968800000000002</v>
      </c>
    </row>
    <row r="10" spans="1:15" s="3192" customFormat="1" ht="14.25">
      <c r="A10" s="3190" t="s">
        <v>3195</v>
      </c>
      <c r="B10" s="3190" t="s">
        <v>3065</v>
      </c>
      <c r="C10" s="3190" t="s">
        <v>3066</v>
      </c>
      <c r="D10" s="3190" t="s">
        <v>3186</v>
      </c>
      <c r="E10" s="3190">
        <v>53334</v>
      </c>
      <c r="F10" s="3190">
        <v>128001.60000000001</v>
      </c>
      <c r="G10" s="3190" t="s">
        <v>3197</v>
      </c>
      <c r="H10" s="3190" t="s">
        <v>3193</v>
      </c>
      <c r="I10" s="3190" t="s">
        <v>3146</v>
      </c>
      <c r="J10" s="3190">
        <v>5521</v>
      </c>
      <c r="K10" s="3189">
        <f t="shared" si="0"/>
        <v>1035.17</v>
      </c>
      <c r="L10" s="3190" t="s">
        <v>2814</v>
      </c>
      <c r="M10" s="3190" t="s">
        <v>3247</v>
      </c>
      <c r="N10" s="3190"/>
      <c r="O10" s="3190">
        <f t="shared" si="1"/>
        <v>69.045839000000001</v>
      </c>
    </row>
    <row r="11" spans="1:15" s="3188" customFormat="1">
      <c r="A11" s="3187" t="s">
        <v>3252</v>
      </c>
      <c r="B11" s="3188" t="s">
        <v>3065</v>
      </c>
      <c r="C11" s="3188" t="s">
        <v>3066</v>
      </c>
      <c r="D11" s="3188" t="s">
        <v>3067</v>
      </c>
      <c r="E11" s="3188">
        <v>39602</v>
      </c>
      <c r="F11" s="3188">
        <v>69303.5</v>
      </c>
      <c r="G11" s="3188" t="s">
        <v>3108</v>
      </c>
      <c r="H11" s="3188" t="s">
        <v>3109</v>
      </c>
      <c r="I11" s="3188" t="s">
        <v>3110</v>
      </c>
      <c r="J11" s="3188">
        <v>3145</v>
      </c>
      <c r="K11" s="3191">
        <f t="shared" si="0"/>
        <v>794.15</v>
      </c>
      <c r="L11" s="3188">
        <v>453.8</v>
      </c>
      <c r="M11" s="3188">
        <v>0</v>
      </c>
      <c r="N11" s="3188" t="s">
        <v>3247</v>
      </c>
      <c r="O11" s="3188">
        <f t="shared" si="1"/>
        <v>52.969804999999994</v>
      </c>
    </row>
    <row r="12" spans="1:15" s="3190" customFormat="1">
      <c r="A12" s="3190" t="s">
        <v>3106</v>
      </c>
      <c r="B12" s="3190" t="s">
        <v>3065</v>
      </c>
      <c r="C12" s="3190" t="s">
        <v>3066</v>
      </c>
      <c r="D12" s="3190" t="s">
        <v>3067</v>
      </c>
      <c r="E12" s="3190">
        <v>55420</v>
      </c>
      <c r="F12" s="3190">
        <v>96985</v>
      </c>
      <c r="G12" s="3190" t="s">
        <v>3108</v>
      </c>
      <c r="H12" s="3190" t="s">
        <v>3109</v>
      </c>
      <c r="I12" s="3190" t="s">
        <v>3110</v>
      </c>
      <c r="J12" s="3190">
        <v>4401</v>
      </c>
      <c r="K12" s="3189">
        <f t="shared" si="0"/>
        <v>794.12</v>
      </c>
      <c r="L12" s="3190">
        <v>453.77</v>
      </c>
      <c r="M12" s="3190">
        <v>0</v>
      </c>
      <c r="N12" s="3190" t="s">
        <v>3247</v>
      </c>
      <c r="O12" s="3190">
        <f t="shared" si="1"/>
        <v>52.967803999999994</v>
      </c>
    </row>
    <row r="13" spans="1:15" s="3190" customFormat="1">
      <c r="A13" s="3190" t="s">
        <v>3173</v>
      </c>
      <c r="B13" s="3190" t="s">
        <v>3065</v>
      </c>
      <c r="C13" s="3190" t="s">
        <v>3066</v>
      </c>
      <c r="D13" s="3190" t="s">
        <v>3067</v>
      </c>
      <c r="E13" s="3190">
        <v>6889</v>
      </c>
      <c r="F13" s="3190">
        <v>8266.7999999999993</v>
      </c>
      <c r="G13" s="3190" t="s">
        <v>3175</v>
      </c>
      <c r="H13" s="3190" t="s">
        <v>3171</v>
      </c>
      <c r="I13" s="3190" t="s">
        <v>3176</v>
      </c>
      <c r="J13" s="3190">
        <v>465</v>
      </c>
      <c r="K13" s="3189">
        <f t="shared" si="0"/>
        <v>674.99</v>
      </c>
      <c r="L13" s="3190">
        <v>562.49</v>
      </c>
      <c r="M13" s="3190">
        <v>0</v>
      </c>
      <c r="N13" s="3190" t="s">
        <v>3247</v>
      </c>
      <c r="O13" s="3190">
        <f t="shared" si="1"/>
        <v>45.021833000000001</v>
      </c>
    </row>
    <row r="14" spans="1:15" s="3190" customFormat="1">
      <c r="A14" s="3193" t="s">
        <v>3251</v>
      </c>
      <c r="B14" s="3190" t="s">
        <v>3065</v>
      </c>
      <c r="C14" s="3190" t="s">
        <v>3066</v>
      </c>
      <c r="D14" s="3190" t="s">
        <v>3067</v>
      </c>
      <c r="E14" s="3190">
        <v>5040</v>
      </c>
      <c r="F14" s="3190">
        <v>27720</v>
      </c>
      <c r="G14" s="3190" t="s">
        <v>3097</v>
      </c>
      <c r="H14" s="3190" t="s">
        <v>3094</v>
      </c>
      <c r="I14" s="3190" t="s">
        <v>3095</v>
      </c>
      <c r="J14" s="3190">
        <v>334</v>
      </c>
      <c r="K14" s="3189">
        <f t="shared" si="0"/>
        <v>662.7</v>
      </c>
      <c r="L14" s="3190">
        <v>120.48</v>
      </c>
      <c r="M14" s="3190">
        <v>0</v>
      </c>
      <c r="N14" s="3190" t="s">
        <v>3247</v>
      </c>
      <c r="O14" s="3190">
        <f t="shared" si="1"/>
        <v>44.202089999999998</v>
      </c>
    </row>
    <row r="15" spans="1:15" s="3188" customFormat="1">
      <c r="A15" s="3188" t="s">
        <v>3130</v>
      </c>
      <c r="B15" s="3188" t="s">
        <v>3065</v>
      </c>
      <c r="C15" s="3188" t="s">
        <v>3066</v>
      </c>
      <c r="D15" s="3188" t="s">
        <v>3067</v>
      </c>
      <c r="E15" s="3188">
        <v>26000</v>
      </c>
      <c r="F15" s="3188">
        <v>64220</v>
      </c>
      <c r="G15" s="3188" t="s">
        <v>3132</v>
      </c>
      <c r="H15" s="3188" t="s">
        <v>3133</v>
      </c>
      <c r="I15" s="3188" t="s">
        <v>3134</v>
      </c>
      <c r="J15" s="3188">
        <v>1680</v>
      </c>
      <c r="K15" s="3191">
        <f t="shared" si="0"/>
        <v>646.15</v>
      </c>
      <c r="L15" s="3188">
        <v>261.60000000000002</v>
      </c>
      <c r="M15" s="3188">
        <v>0</v>
      </c>
      <c r="N15" s="3188" t="s">
        <v>3247</v>
      </c>
      <c r="O15" s="3188">
        <f t="shared" si="1"/>
        <v>43.098204999999993</v>
      </c>
    </row>
    <row r="16" spans="1:15" s="3188" customFormat="1">
      <c r="A16" s="3188" t="s">
        <v>3091</v>
      </c>
      <c r="B16" s="3188" t="s">
        <v>3065</v>
      </c>
      <c r="C16" s="3188" t="s">
        <v>3066</v>
      </c>
      <c r="D16" s="3188" t="s">
        <v>3067</v>
      </c>
      <c r="E16" s="3188">
        <v>2938</v>
      </c>
      <c r="F16" s="3188">
        <v>11164.4</v>
      </c>
      <c r="G16" s="3188" t="s">
        <v>3093</v>
      </c>
      <c r="H16" s="3188" t="s">
        <v>3094</v>
      </c>
      <c r="I16" s="3188" t="s">
        <v>3095</v>
      </c>
      <c r="J16" s="3188">
        <v>183</v>
      </c>
      <c r="K16" s="3191">
        <f t="shared" si="0"/>
        <v>622.87</v>
      </c>
      <c r="L16" s="3188">
        <v>163.9</v>
      </c>
      <c r="M16" s="3188">
        <v>0</v>
      </c>
      <c r="N16" s="3188" t="s">
        <v>3247</v>
      </c>
      <c r="O16" s="3188">
        <f t="shared" si="1"/>
        <v>41.545428999999999</v>
      </c>
    </row>
    <row r="17" spans="1:15" s="3190" customFormat="1">
      <c r="A17" s="3190" t="s">
        <v>3091</v>
      </c>
      <c r="B17" s="3190" t="s">
        <v>3065</v>
      </c>
      <c r="C17" s="3190" t="s">
        <v>3066</v>
      </c>
      <c r="D17" s="3190" t="s">
        <v>3067</v>
      </c>
      <c r="E17" s="3190">
        <v>3071</v>
      </c>
      <c r="F17" s="3190">
        <v>11055.6</v>
      </c>
      <c r="G17" s="3190" t="s">
        <v>3099</v>
      </c>
      <c r="H17" s="3190" t="s">
        <v>3094</v>
      </c>
      <c r="I17" s="3190" t="s">
        <v>3100</v>
      </c>
      <c r="J17" s="3190">
        <v>186</v>
      </c>
      <c r="K17" s="3189">
        <f t="shared" si="0"/>
        <v>605.66999999999996</v>
      </c>
      <c r="L17" s="3190">
        <v>168.24</v>
      </c>
      <c r="M17" s="3190">
        <v>0</v>
      </c>
      <c r="N17" s="3190" t="s">
        <v>3247</v>
      </c>
      <c r="O17" s="3190">
        <f t="shared" si="1"/>
        <v>40.398188999999995</v>
      </c>
    </row>
    <row r="18" spans="1:15" s="2915" customFormat="1">
      <c r="A18" s="2915" t="s">
        <v>3182</v>
      </c>
      <c r="B18" s="2915" t="s">
        <v>3065</v>
      </c>
      <c r="C18" s="2915" t="s">
        <v>3066</v>
      </c>
      <c r="D18" s="2915" t="s">
        <v>3067</v>
      </c>
      <c r="E18" s="2915">
        <v>40027</v>
      </c>
      <c r="F18" s="2915">
        <v>60040.5</v>
      </c>
      <c r="G18" s="2915" t="s">
        <v>3184</v>
      </c>
      <c r="H18" s="2915" t="s">
        <v>3180</v>
      </c>
      <c r="I18" s="2915" t="s">
        <v>3185</v>
      </c>
      <c r="J18" s="2915">
        <v>2311</v>
      </c>
      <c r="K18" s="3189">
        <f t="shared" si="0"/>
        <v>577.36</v>
      </c>
      <c r="L18" s="2915">
        <v>384.91</v>
      </c>
      <c r="M18" s="2915">
        <v>0</v>
      </c>
      <c r="N18" s="2915" t="s">
        <v>3247</v>
      </c>
      <c r="O18" s="2915">
        <f t="shared" si="1"/>
        <v>38.509912</v>
      </c>
    </row>
    <row r="19" spans="1:15" s="2915" customFormat="1">
      <c r="A19" s="2915" t="s">
        <v>3201</v>
      </c>
      <c r="B19" s="2915" t="s">
        <v>3065</v>
      </c>
      <c r="C19" s="2915" t="s">
        <v>3066</v>
      </c>
      <c r="D19" s="2915" t="s">
        <v>3186</v>
      </c>
      <c r="E19" s="2915">
        <v>1600</v>
      </c>
      <c r="F19" s="2915">
        <v>3840</v>
      </c>
      <c r="G19" s="2915" t="s">
        <v>3203</v>
      </c>
      <c r="H19" s="2915" t="s">
        <v>3204</v>
      </c>
      <c r="I19" s="2915" t="s">
        <v>3205</v>
      </c>
      <c r="J19" s="2915">
        <v>91</v>
      </c>
      <c r="K19" s="3189">
        <f t="shared" si="0"/>
        <v>568.75</v>
      </c>
      <c r="L19" s="2915" t="s">
        <v>2814</v>
      </c>
      <c r="M19" s="2915" t="s">
        <v>3247</v>
      </c>
      <c r="O19" s="2915">
        <f t="shared" si="1"/>
        <v>37.935624999999995</v>
      </c>
    </row>
    <row r="20" spans="1:15" s="2915" customFormat="1">
      <c r="A20" s="2915" t="s">
        <v>3177</v>
      </c>
      <c r="B20" s="2915" t="s">
        <v>3065</v>
      </c>
      <c r="C20" s="2915" t="s">
        <v>3066</v>
      </c>
      <c r="D20" s="2915" t="s">
        <v>3067</v>
      </c>
      <c r="E20" s="2915">
        <v>6394</v>
      </c>
      <c r="F20" s="2915">
        <v>14002.86</v>
      </c>
      <c r="G20" s="2915" t="s">
        <v>3179</v>
      </c>
      <c r="H20" s="2915" t="s">
        <v>3180</v>
      </c>
      <c r="I20" s="2915" t="s">
        <v>3181</v>
      </c>
      <c r="J20" s="2915">
        <v>239</v>
      </c>
      <c r="K20" s="3189">
        <f t="shared" si="0"/>
        <v>373.79</v>
      </c>
      <c r="L20" s="2915">
        <v>170.68</v>
      </c>
      <c r="M20" s="2915">
        <v>0</v>
      </c>
      <c r="N20" s="2915" t="s">
        <v>3247</v>
      </c>
      <c r="O20" s="2915">
        <f t="shared" si="1"/>
        <v>24.931792999999999</v>
      </c>
    </row>
    <row r="21" spans="1:15" s="3190" customFormat="1">
      <c r="A21" s="3193" t="s">
        <v>3254</v>
      </c>
      <c r="B21" s="3190" t="s">
        <v>3065</v>
      </c>
      <c r="C21" s="3190" t="s">
        <v>3066</v>
      </c>
      <c r="D21" s="3190" t="s">
        <v>3067</v>
      </c>
      <c r="E21" s="3190">
        <v>25180</v>
      </c>
      <c r="F21" s="3190">
        <v>45324</v>
      </c>
      <c r="G21" s="3190" t="s">
        <v>3103</v>
      </c>
      <c r="H21" s="3190" t="s">
        <v>3104</v>
      </c>
      <c r="I21" s="3190" t="s">
        <v>3105</v>
      </c>
      <c r="J21" s="3190">
        <v>643</v>
      </c>
      <c r="K21" s="3189">
        <f t="shared" si="0"/>
        <v>255.36</v>
      </c>
      <c r="L21" s="3190">
        <v>141.87</v>
      </c>
      <c r="M21" s="3190">
        <v>0</v>
      </c>
      <c r="N21" s="3190" t="s">
        <v>3247</v>
      </c>
      <c r="O21" s="3190">
        <f t="shared" si="1"/>
        <v>17.032512000000001</v>
      </c>
    </row>
    <row r="22" spans="1:15" s="2915" customFormat="1">
      <c r="A22" s="2915" t="s">
        <v>3116</v>
      </c>
      <c r="B22" s="2915" t="s">
        <v>3065</v>
      </c>
      <c r="C22" s="2915" t="s">
        <v>3066</v>
      </c>
      <c r="D22" s="2915" t="s">
        <v>3067</v>
      </c>
      <c r="E22" s="2915">
        <v>3732</v>
      </c>
      <c r="F22" s="2915">
        <v>5598</v>
      </c>
      <c r="G22" s="2915" t="s">
        <v>3118</v>
      </c>
      <c r="H22" s="2915" t="s">
        <v>3119</v>
      </c>
      <c r="I22" s="2915" t="s">
        <v>3120</v>
      </c>
      <c r="J22" s="2915">
        <v>90</v>
      </c>
      <c r="K22" s="3189">
        <f t="shared" si="0"/>
        <v>241.16</v>
      </c>
      <c r="L22" s="2915">
        <v>160.77000000000001</v>
      </c>
      <c r="M22" s="2915">
        <v>0</v>
      </c>
      <c r="N22" s="2915" t="s">
        <v>3247</v>
      </c>
      <c r="O22" s="2915">
        <f t="shared" si="1"/>
        <v>16.085372</v>
      </c>
    </row>
    <row r="23" spans="1:15" s="2915" customFormat="1">
      <c r="A23" s="2915" t="s">
        <v>3168</v>
      </c>
      <c r="B23" s="2915" t="s">
        <v>3065</v>
      </c>
      <c r="C23" s="2915" t="s">
        <v>3066</v>
      </c>
      <c r="D23" s="2915" t="s">
        <v>3067</v>
      </c>
      <c r="E23" s="2915">
        <v>4000</v>
      </c>
      <c r="F23" s="2915">
        <v>10000</v>
      </c>
      <c r="G23" s="2915" t="s">
        <v>3170</v>
      </c>
      <c r="H23" s="2915" t="s">
        <v>3171</v>
      </c>
      <c r="I23" s="2915" t="s">
        <v>3172</v>
      </c>
      <c r="J23" s="2915">
        <v>96</v>
      </c>
      <c r="K23" s="3189">
        <f t="shared" si="0"/>
        <v>240</v>
      </c>
      <c r="L23" s="2915">
        <v>96</v>
      </c>
      <c r="M23" s="2915">
        <v>0</v>
      </c>
      <c r="N23" s="2915" t="s">
        <v>3247</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3048</v>
      </c>
      <c r="B1" s="3198" t="s">
        <v>3049</v>
      </c>
      <c r="C1" s="3198" t="s">
        <v>3050</v>
      </c>
      <c r="D1" s="3198" t="s">
        <v>3052</v>
      </c>
      <c r="E1" s="3198" t="s">
        <v>3054</v>
      </c>
      <c r="F1" s="3198" t="s">
        <v>3055</v>
      </c>
      <c r="G1" s="3198" t="s">
        <v>2030</v>
      </c>
      <c r="H1" s="3198" t="s">
        <v>3057</v>
      </c>
      <c r="I1" s="3198" t="s">
        <v>3058</v>
      </c>
      <c r="J1" s="3198" t="s">
        <v>3060</v>
      </c>
      <c r="K1" s="3200" t="s">
        <v>3255</v>
      </c>
      <c r="L1" s="3198" t="s">
        <v>3061</v>
      </c>
      <c r="M1" s="3198" t="s">
        <v>3062</v>
      </c>
      <c r="N1" s="3198" t="s">
        <v>3245</v>
      </c>
    </row>
    <row r="2" spans="1:14">
      <c r="A2" s="3201" t="s">
        <v>3164</v>
      </c>
      <c r="B2" s="3198" t="s">
        <v>3065</v>
      </c>
      <c r="C2" s="3198" t="s">
        <v>3066</v>
      </c>
      <c r="D2" s="3198" t="s">
        <v>3067</v>
      </c>
      <c r="E2" s="3198">
        <v>11000</v>
      </c>
      <c r="F2" s="3198">
        <v>33000</v>
      </c>
      <c r="G2" s="3198" t="s">
        <v>3166</v>
      </c>
      <c r="H2" s="3198" t="s">
        <v>3163</v>
      </c>
      <c r="I2" s="3198" t="s">
        <v>3167</v>
      </c>
      <c r="J2" s="3198">
        <v>2475</v>
      </c>
      <c r="K2" s="3199">
        <v>2250</v>
      </c>
      <c r="L2" s="3198">
        <v>750</v>
      </c>
      <c r="M2" s="3198">
        <v>0</v>
      </c>
      <c r="N2" s="3198" t="s">
        <v>3247</v>
      </c>
    </row>
    <row r="3" spans="1:14" ht="14.25">
      <c r="A3" s="3202" t="s">
        <v>3121</v>
      </c>
      <c r="B3" s="3202" t="s">
        <v>3065</v>
      </c>
      <c r="C3" s="3202" t="s">
        <v>3066</v>
      </c>
      <c r="D3" s="3202" t="s">
        <v>3067</v>
      </c>
      <c r="E3" s="3202">
        <v>1566</v>
      </c>
      <c r="F3" s="3202">
        <v>7516.8</v>
      </c>
      <c r="G3" s="3202" t="s">
        <v>3123</v>
      </c>
      <c r="H3" s="3202" t="s">
        <v>3124</v>
      </c>
      <c r="I3" s="3202" t="s">
        <v>3125</v>
      </c>
      <c r="J3" s="3202">
        <v>312</v>
      </c>
      <c r="K3" s="3199">
        <v>1992.34</v>
      </c>
      <c r="L3" s="3202">
        <v>415.06</v>
      </c>
      <c r="M3" s="3202">
        <v>0</v>
      </c>
      <c r="N3" s="3202" t="s">
        <v>3248</v>
      </c>
    </row>
    <row r="4" spans="1:14">
      <c r="A4" s="3198" t="s">
        <v>3206</v>
      </c>
      <c r="B4" s="3198" t="s">
        <v>3065</v>
      </c>
      <c r="C4" s="3198" t="s">
        <v>3066</v>
      </c>
      <c r="D4" s="3198" t="s">
        <v>3186</v>
      </c>
      <c r="E4" s="3198">
        <v>19798</v>
      </c>
      <c r="F4" s="3198">
        <v>79192</v>
      </c>
      <c r="G4" s="3198" t="s">
        <v>3208</v>
      </c>
      <c r="H4" s="3198" t="s">
        <v>3204</v>
      </c>
      <c r="I4" s="3198" t="s">
        <v>3209</v>
      </c>
      <c r="J4" s="3198">
        <v>2645</v>
      </c>
      <c r="K4" s="3199">
        <v>1335.99</v>
      </c>
      <c r="L4" s="3198" t="s">
        <v>2814</v>
      </c>
      <c r="M4" s="3198" t="s">
        <v>3247</v>
      </c>
      <c r="N4" s="3198"/>
    </row>
    <row r="5" spans="1:14" s="3197" customFormat="1">
      <c r="A5" s="3198" t="s">
        <v>3151</v>
      </c>
      <c r="B5" s="3198" t="s">
        <v>3065</v>
      </c>
      <c r="C5" s="3198" t="s">
        <v>3066</v>
      </c>
      <c r="D5" s="3198" t="s">
        <v>3186</v>
      </c>
      <c r="E5" s="3198">
        <v>40229</v>
      </c>
      <c r="F5" s="3198">
        <v>104595.4</v>
      </c>
      <c r="G5" s="3198" t="s">
        <v>3188</v>
      </c>
      <c r="H5" s="3198" t="s">
        <v>3189</v>
      </c>
      <c r="I5" s="3198" t="s">
        <v>3190</v>
      </c>
      <c r="J5" s="3198">
        <v>4915</v>
      </c>
      <c r="K5" s="3199">
        <v>1221.76</v>
      </c>
      <c r="L5" s="3198" t="s">
        <v>2814</v>
      </c>
      <c r="M5" s="3198" t="s">
        <v>3249</v>
      </c>
      <c r="N5" s="3198"/>
    </row>
    <row r="6" spans="1:14" s="3197" customFormat="1">
      <c r="A6" s="3198" t="s">
        <v>3151</v>
      </c>
      <c r="B6" s="3198" t="s">
        <v>3065</v>
      </c>
      <c r="C6" s="3198" t="s">
        <v>3066</v>
      </c>
      <c r="D6" s="3198" t="s">
        <v>3067</v>
      </c>
      <c r="E6" s="3198">
        <v>28961</v>
      </c>
      <c r="F6" s="3198">
        <v>43441.5</v>
      </c>
      <c r="G6" s="3198" t="s">
        <v>3118</v>
      </c>
      <c r="H6" s="3198" t="s">
        <v>3153</v>
      </c>
      <c r="I6" s="3198" t="s">
        <v>3154</v>
      </c>
      <c r="J6" s="3198">
        <v>3308</v>
      </c>
      <c r="K6" s="3199">
        <v>1142.23</v>
      </c>
      <c r="L6" s="3198">
        <v>761.48</v>
      </c>
      <c r="M6" s="3198">
        <v>0</v>
      </c>
      <c r="N6" s="3198" t="s">
        <v>3250</v>
      </c>
    </row>
    <row r="7" spans="1:14" s="3197" customFormat="1">
      <c r="A7" s="3198" t="s">
        <v>3198</v>
      </c>
      <c r="B7" s="3198" t="s">
        <v>3065</v>
      </c>
      <c r="C7" s="3198" t="s">
        <v>3066</v>
      </c>
      <c r="D7" s="3198" t="s">
        <v>3186</v>
      </c>
      <c r="E7" s="3198">
        <v>40000</v>
      </c>
      <c r="F7" s="3198">
        <v>96000</v>
      </c>
      <c r="G7" s="3198" t="s">
        <v>3197</v>
      </c>
      <c r="H7" s="3198" t="s">
        <v>3193</v>
      </c>
      <c r="I7" s="3198" t="s">
        <v>3146</v>
      </c>
      <c r="J7" s="3198">
        <v>4256</v>
      </c>
      <c r="K7" s="3199">
        <v>1064</v>
      </c>
      <c r="L7" s="3198" t="s">
        <v>2814</v>
      </c>
      <c r="M7" s="3198" t="s">
        <v>3247</v>
      </c>
      <c r="N7" s="3198"/>
    </row>
    <row r="8" spans="1:14">
      <c r="A8" s="3198"/>
      <c r="B8" s="3198"/>
      <c r="C8" s="3198"/>
      <c r="D8" s="3198"/>
      <c r="E8" s="3198"/>
      <c r="F8" s="3198"/>
      <c r="G8" s="3198"/>
      <c r="H8" s="3198"/>
      <c r="I8" s="3198"/>
      <c r="J8" s="3198"/>
      <c r="K8" s="3199" t="e">
        <v>#DIV/0!</v>
      </c>
      <c r="L8" s="3198"/>
      <c r="M8" s="3198"/>
      <c r="N8" s="3198"/>
    </row>
    <row r="9" spans="1:14">
      <c r="A9" s="3198" t="s">
        <v>3198</v>
      </c>
      <c r="B9" s="3198" t="s">
        <v>3065</v>
      </c>
      <c r="C9" s="3198" t="s">
        <v>3066</v>
      </c>
      <c r="D9" s="3198" t="s">
        <v>3186</v>
      </c>
      <c r="E9" s="3198">
        <v>40000</v>
      </c>
      <c r="F9" s="3198">
        <v>96000</v>
      </c>
      <c r="G9" s="3198" t="s">
        <v>3197</v>
      </c>
      <c r="H9" s="3198" t="s">
        <v>3193</v>
      </c>
      <c r="I9" s="3198" t="s">
        <v>3146</v>
      </c>
      <c r="J9" s="3198">
        <v>4256</v>
      </c>
      <c r="K9" s="3199">
        <v>1064</v>
      </c>
      <c r="L9" s="3198" t="s">
        <v>2814</v>
      </c>
      <c r="M9" s="3198" t="s">
        <v>3247</v>
      </c>
      <c r="N9" s="3198"/>
    </row>
    <row r="10" spans="1:14">
      <c r="A10" s="3198" t="s">
        <v>3195</v>
      </c>
      <c r="B10" s="3198" t="s">
        <v>3065</v>
      </c>
      <c r="C10" s="3198" t="s">
        <v>3066</v>
      </c>
      <c r="D10" s="3198" t="s">
        <v>3186</v>
      </c>
      <c r="E10" s="3198">
        <v>53334</v>
      </c>
      <c r="F10" s="3198">
        <v>128001.60000000001</v>
      </c>
      <c r="G10" s="3198" t="s">
        <v>3197</v>
      </c>
      <c r="H10" s="3198" t="s">
        <v>3193</v>
      </c>
      <c r="I10" s="3198" t="s">
        <v>3146</v>
      </c>
      <c r="J10" s="3198">
        <v>5521</v>
      </c>
      <c r="K10" s="3199">
        <v>1035.17</v>
      </c>
      <c r="L10" s="3198" t="s">
        <v>2814</v>
      </c>
      <c r="M10" s="3198" t="s">
        <v>3247</v>
      </c>
      <c r="N10" s="3198"/>
    </row>
    <row r="11" spans="1:14">
      <c r="A11" s="3201" t="s">
        <v>3106</v>
      </c>
      <c r="B11" s="3198" t="s">
        <v>3065</v>
      </c>
      <c r="C11" s="3198" t="s">
        <v>3066</v>
      </c>
      <c r="D11" s="3198" t="s">
        <v>3067</v>
      </c>
      <c r="E11" s="3198">
        <v>39602</v>
      </c>
      <c r="F11" s="3198">
        <v>69303.5</v>
      </c>
      <c r="G11" s="3198" t="s">
        <v>3108</v>
      </c>
      <c r="H11" s="3198" t="s">
        <v>3109</v>
      </c>
      <c r="I11" s="3198" t="s">
        <v>3110</v>
      </c>
      <c r="J11" s="3198">
        <v>3145</v>
      </c>
      <c r="K11" s="3199">
        <v>794.15</v>
      </c>
      <c r="L11" s="3198">
        <v>453.8</v>
      </c>
      <c r="M11" s="3198">
        <v>0</v>
      </c>
      <c r="N11" s="3198" t="s">
        <v>3247</v>
      </c>
    </row>
    <row r="12" spans="1:14">
      <c r="A12" s="3198" t="s">
        <v>3106</v>
      </c>
      <c r="B12" s="3198" t="s">
        <v>3065</v>
      </c>
      <c r="C12" s="3198" t="s">
        <v>3066</v>
      </c>
      <c r="D12" s="3198" t="s">
        <v>3067</v>
      </c>
      <c r="E12" s="3198">
        <v>55420</v>
      </c>
      <c r="F12" s="3198">
        <v>96985</v>
      </c>
      <c r="G12" s="3198" t="s">
        <v>3108</v>
      </c>
      <c r="H12" s="3198" t="s">
        <v>3109</v>
      </c>
      <c r="I12" s="3198" t="s">
        <v>3110</v>
      </c>
      <c r="J12" s="3198">
        <v>4401</v>
      </c>
      <c r="K12" s="3199">
        <v>794.12</v>
      </c>
      <c r="L12" s="3198">
        <v>453.77</v>
      </c>
      <c r="M12" s="3198">
        <v>0</v>
      </c>
      <c r="N12" s="3198" t="s">
        <v>3247</v>
      </c>
    </row>
    <row r="13" spans="1:14">
      <c r="A13" s="3198" t="s">
        <v>3173</v>
      </c>
      <c r="B13" s="3198" t="s">
        <v>3065</v>
      </c>
      <c r="C13" s="3198" t="s">
        <v>3066</v>
      </c>
      <c r="D13" s="3198" t="s">
        <v>3067</v>
      </c>
      <c r="E13" s="3198">
        <v>6889</v>
      </c>
      <c r="F13" s="3198">
        <v>8266.7999999999993</v>
      </c>
      <c r="G13" s="3198" t="s">
        <v>3175</v>
      </c>
      <c r="H13" s="3198" t="s">
        <v>3171</v>
      </c>
      <c r="I13" s="3198" t="s">
        <v>3176</v>
      </c>
      <c r="J13" s="3198">
        <v>465</v>
      </c>
      <c r="K13" s="3199">
        <v>674.99</v>
      </c>
      <c r="L13" s="3198">
        <v>562.49</v>
      </c>
      <c r="M13" s="3198">
        <v>0</v>
      </c>
      <c r="N13" s="3198" t="s">
        <v>3247</v>
      </c>
    </row>
    <row r="14" spans="1:14">
      <c r="A14" s="3203" t="s">
        <v>3091</v>
      </c>
      <c r="B14" s="3198" t="s">
        <v>3065</v>
      </c>
      <c r="C14" s="3198" t="s">
        <v>3066</v>
      </c>
      <c r="D14" s="3198" t="s">
        <v>3067</v>
      </c>
      <c r="E14" s="3198">
        <v>5040</v>
      </c>
      <c r="F14" s="3198">
        <v>27720</v>
      </c>
      <c r="G14" s="3198" t="s">
        <v>3097</v>
      </c>
      <c r="H14" s="3198" t="s">
        <v>3094</v>
      </c>
      <c r="I14" s="3198" t="s">
        <v>3095</v>
      </c>
      <c r="J14" s="3198">
        <v>334</v>
      </c>
      <c r="K14" s="3199">
        <v>662.7</v>
      </c>
      <c r="L14" s="3198">
        <v>120.48</v>
      </c>
      <c r="M14" s="3198">
        <v>0</v>
      </c>
      <c r="N14" s="3198" t="s">
        <v>3247</v>
      </c>
    </row>
    <row r="15" spans="1:14">
      <c r="A15" s="3198" t="s">
        <v>3130</v>
      </c>
      <c r="B15" s="3198" t="s">
        <v>3065</v>
      </c>
      <c r="C15" s="3198" t="s">
        <v>3066</v>
      </c>
      <c r="D15" s="3198" t="s">
        <v>3067</v>
      </c>
      <c r="E15" s="3198">
        <v>26000</v>
      </c>
      <c r="F15" s="3198">
        <v>64220</v>
      </c>
      <c r="G15" s="3198" t="s">
        <v>3132</v>
      </c>
      <c r="H15" s="3198" t="s">
        <v>3133</v>
      </c>
      <c r="I15" s="3198" t="s">
        <v>3134</v>
      </c>
      <c r="J15" s="3198">
        <v>1680</v>
      </c>
      <c r="K15" s="3199">
        <v>646.15</v>
      </c>
      <c r="L15" s="3198">
        <v>261.60000000000002</v>
      </c>
      <c r="M15" s="3198">
        <v>0</v>
      </c>
      <c r="N15" s="3198" t="s">
        <v>3247</v>
      </c>
    </row>
    <row r="16" spans="1:14">
      <c r="A16" s="3198" t="s">
        <v>3091</v>
      </c>
      <c r="B16" s="3198" t="s">
        <v>3065</v>
      </c>
      <c r="C16" s="3198" t="s">
        <v>3066</v>
      </c>
      <c r="D16" s="3198" t="s">
        <v>3067</v>
      </c>
      <c r="E16" s="3198">
        <v>2938</v>
      </c>
      <c r="F16" s="3198">
        <v>11164.4</v>
      </c>
      <c r="G16" s="3198" t="s">
        <v>3093</v>
      </c>
      <c r="H16" s="3198" t="s">
        <v>3094</v>
      </c>
      <c r="I16" s="3198" t="s">
        <v>3095</v>
      </c>
      <c r="J16" s="3198">
        <v>183</v>
      </c>
      <c r="K16" s="3199">
        <v>622.87</v>
      </c>
      <c r="L16" s="3198">
        <v>163.9</v>
      </c>
      <c r="M16" s="3198">
        <v>0</v>
      </c>
      <c r="N16" s="3198" t="s">
        <v>3247</v>
      </c>
    </row>
    <row r="17" spans="1:14">
      <c r="A17" s="3198" t="s">
        <v>3091</v>
      </c>
      <c r="B17" s="3198" t="s">
        <v>3065</v>
      </c>
      <c r="C17" s="3198" t="s">
        <v>3066</v>
      </c>
      <c r="D17" s="3198" t="s">
        <v>3067</v>
      </c>
      <c r="E17" s="3198">
        <v>3071</v>
      </c>
      <c r="F17" s="3198">
        <v>11055.6</v>
      </c>
      <c r="G17" s="3198" t="s">
        <v>3099</v>
      </c>
      <c r="H17" s="3198" t="s">
        <v>3094</v>
      </c>
      <c r="I17" s="3198" t="s">
        <v>3100</v>
      </c>
      <c r="J17" s="3198">
        <v>186</v>
      </c>
      <c r="K17" s="3199">
        <v>605.66999999999996</v>
      </c>
      <c r="L17" s="3198">
        <v>168.24</v>
      </c>
      <c r="M17" s="3198">
        <v>0</v>
      </c>
      <c r="N17" s="3198" t="s">
        <v>3247</v>
      </c>
    </row>
    <row r="18" spans="1:14">
      <c r="A18" s="3198" t="s">
        <v>3182</v>
      </c>
      <c r="B18" s="3198" t="s">
        <v>3065</v>
      </c>
      <c r="C18" s="3198" t="s">
        <v>3066</v>
      </c>
      <c r="D18" s="3198" t="s">
        <v>3067</v>
      </c>
      <c r="E18" s="3198">
        <v>40027</v>
      </c>
      <c r="F18" s="3198">
        <v>60040.5</v>
      </c>
      <c r="G18" s="3198" t="s">
        <v>3184</v>
      </c>
      <c r="H18" s="3198" t="s">
        <v>3180</v>
      </c>
      <c r="I18" s="3198" t="s">
        <v>3185</v>
      </c>
      <c r="J18" s="3198">
        <v>2311</v>
      </c>
      <c r="K18" s="3199">
        <v>577.36</v>
      </c>
      <c r="L18" s="3198">
        <v>384.91</v>
      </c>
      <c r="M18" s="3198">
        <v>0</v>
      </c>
      <c r="N18" s="3198" t="s">
        <v>3247</v>
      </c>
    </row>
    <row r="19" spans="1:14">
      <c r="A19" s="3198" t="s">
        <v>3201</v>
      </c>
      <c r="B19" s="3198" t="s">
        <v>3065</v>
      </c>
      <c r="C19" s="3198" t="s">
        <v>3066</v>
      </c>
      <c r="D19" s="3198" t="s">
        <v>3186</v>
      </c>
      <c r="E19" s="3198">
        <v>1600</v>
      </c>
      <c r="F19" s="3198">
        <v>3840</v>
      </c>
      <c r="G19" s="3198" t="s">
        <v>3203</v>
      </c>
      <c r="H19" s="3198" t="s">
        <v>3204</v>
      </c>
      <c r="I19" s="3198" t="s">
        <v>3205</v>
      </c>
      <c r="J19" s="3198">
        <v>91</v>
      </c>
      <c r="K19" s="3199">
        <v>568.75</v>
      </c>
      <c r="L19" s="3198" t="s">
        <v>2814</v>
      </c>
      <c r="M19" s="3198" t="s">
        <v>3247</v>
      </c>
      <c r="N19" s="3198"/>
    </row>
    <row r="20" spans="1:14">
      <c r="A20" s="3198" t="s">
        <v>3177</v>
      </c>
      <c r="B20" s="3198" t="s">
        <v>3065</v>
      </c>
      <c r="C20" s="3198" t="s">
        <v>3066</v>
      </c>
      <c r="D20" s="3198" t="s">
        <v>3067</v>
      </c>
      <c r="E20" s="3198">
        <v>6394</v>
      </c>
      <c r="F20" s="3198">
        <v>14002.86</v>
      </c>
      <c r="G20" s="3198" t="s">
        <v>3179</v>
      </c>
      <c r="H20" s="3198" t="s">
        <v>3180</v>
      </c>
      <c r="I20" s="3198" t="s">
        <v>3181</v>
      </c>
      <c r="J20" s="3198">
        <v>239</v>
      </c>
      <c r="K20" s="3199">
        <v>373.79</v>
      </c>
      <c r="L20" s="3198">
        <v>170.68</v>
      </c>
      <c r="M20" s="3198">
        <v>0</v>
      </c>
      <c r="N20" s="3198" t="s">
        <v>3247</v>
      </c>
    </row>
    <row r="21" spans="1:14">
      <c r="A21" s="3198" t="s">
        <v>3101</v>
      </c>
      <c r="B21" s="3198" t="s">
        <v>3065</v>
      </c>
      <c r="C21" s="3198" t="s">
        <v>3066</v>
      </c>
      <c r="D21" s="3198" t="s">
        <v>3067</v>
      </c>
      <c r="E21" s="3198">
        <v>25180</v>
      </c>
      <c r="F21" s="3198">
        <v>45324</v>
      </c>
      <c r="G21" s="3198" t="s">
        <v>3103</v>
      </c>
      <c r="H21" s="3198" t="s">
        <v>3104</v>
      </c>
      <c r="I21" s="3198" t="s">
        <v>3105</v>
      </c>
      <c r="J21" s="3198">
        <v>643</v>
      </c>
      <c r="K21" s="3199">
        <v>255.36</v>
      </c>
      <c r="L21" s="3198">
        <v>141.87</v>
      </c>
      <c r="M21" s="3198">
        <v>0</v>
      </c>
      <c r="N21" s="3198" t="s">
        <v>3247</v>
      </c>
    </row>
    <row r="22" spans="1:14">
      <c r="A22" s="3198" t="s">
        <v>3116</v>
      </c>
      <c r="B22" s="3198" t="s">
        <v>3065</v>
      </c>
      <c r="C22" s="3198" t="s">
        <v>3066</v>
      </c>
      <c r="D22" s="3198" t="s">
        <v>3067</v>
      </c>
      <c r="E22" s="3198">
        <v>3732</v>
      </c>
      <c r="F22" s="3198">
        <v>5598</v>
      </c>
      <c r="G22" s="3198" t="s">
        <v>3118</v>
      </c>
      <c r="H22" s="3198" t="s">
        <v>3119</v>
      </c>
      <c r="I22" s="3198" t="s">
        <v>3120</v>
      </c>
      <c r="J22" s="3198">
        <v>90</v>
      </c>
      <c r="K22" s="3199">
        <v>241.16</v>
      </c>
      <c r="L22" s="3198">
        <v>160.77000000000001</v>
      </c>
      <c r="M22" s="3198">
        <v>0</v>
      </c>
      <c r="N22" s="3198" t="s">
        <v>3247</v>
      </c>
    </row>
    <row r="23" spans="1:14">
      <c r="A23" s="3198" t="s">
        <v>3168</v>
      </c>
      <c r="B23" s="3198" t="s">
        <v>3065</v>
      </c>
      <c r="C23" s="3198" t="s">
        <v>3066</v>
      </c>
      <c r="D23" s="3198" t="s">
        <v>3067</v>
      </c>
      <c r="E23" s="3198">
        <v>4000</v>
      </c>
      <c r="F23" s="3198">
        <v>10000</v>
      </c>
      <c r="G23" s="3198" t="s">
        <v>3170</v>
      </c>
      <c r="H23" s="3198" t="s">
        <v>3171</v>
      </c>
      <c r="I23" s="3198" t="s">
        <v>3172</v>
      </c>
      <c r="J23" s="3198">
        <v>96</v>
      </c>
      <c r="K23" s="3199">
        <v>240</v>
      </c>
      <c r="L23" s="3198">
        <v>96</v>
      </c>
      <c r="M23" s="3198">
        <v>0</v>
      </c>
      <c r="N23" s="3198" t="s">
        <v>3247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2036</v>
      </c>
      <c r="B1" s="3220"/>
      <c r="C1" s="3220"/>
      <c r="D1" s="3220"/>
      <c r="E1" s="3220"/>
      <c r="F1" s="3220"/>
      <c r="G1" s="3220"/>
      <c r="H1" s="3220"/>
      <c r="I1" s="3220"/>
      <c r="J1" s="3220"/>
      <c r="K1" s="3220"/>
      <c r="L1" s="3220"/>
      <c r="M1" s="3220"/>
      <c r="N1" s="3220"/>
      <c r="O1" s="3220"/>
      <c r="P1" s="3220"/>
      <c r="Q1" s="3220"/>
      <c r="R1" s="3220"/>
    </row>
    <row r="2" spans="1:18">
      <c r="A2" s="1805" t="s">
        <v>2038</v>
      </c>
      <c r="B2" s="1805"/>
      <c r="C2" s="1805"/>
      <c r="D2" s="1805"/>
      <c r="E2" s="1805"/>
      <c r="F2" s="1805"/>
      <c r="G2" s="1805"/>
      <c r="H2" s="1805"/>
      <c r="I2" s="1806"/>
      <c r="J2" s="1806"/>
      <c r="K2" s="1807" t="str">
        <f>"估价期日："&amp;TEXT(项目基本情况!D3,"yyyy年m月d日;;")</f>
        <v>估价期日：2019年1月3日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1" t="s">
        <v>2027</v>
      </c>
      <c r="B3" s="3221" t="s">
        <v>2727</v>
      </c>
      <c r="C3" s="3222" t="s">
        <v>2028</v>
      </c>
      <c r="D3" s="3221" t="s">
        <v>2731</v>
      </c>
      <c r="E3" s="3224" t="s">
        <v>2029</v>
      </c>
      <c r="F3" s="3224"/>
      <c r="G3" s="3224"/>
      <c r="H3" s="3224" t="s">
        <v>2030</v>
      </c>
      <c r="I3" s="3224"/>
      <c r="J3" s="3224"/>
      <c r="K3" s="3222" t="s">
        <v>2031</v>
      </c>
      <c r="L3" s="3222" t="s">
        <v>2032</v>
      </c>
      <c r="M3" s="3221" t="s">
        <v>2728</v>
      </c>
      <c r="N3" s="3223" t="str">
        <f>"（分摊）"&amp;项目基本情况!B16&amp;"国有建设用地使用权面积/㎡"</f>
        <v>（分摊）出让国有建设用地使用权面积/㎡</v>
      </c>
      <c r="O3" s="3221" t="s">
        <v>2061</v>
      </c>
      <c r="P3" s="3222" t="s">
        <v>2041</v>
      </c>
      <c r="Q3" s="3222" t="s">
        <v>2062</v>
      </c>
      <c r="R3" s="3222" t="s">
        <v>2033</v>
      </c>
    </row>
    <row r="4" spans="1:18" ht="36.75" customHeight="1">
      <c r="A4" s="3221"/>
      <c r="B4" s="3221"/>
      <c r="C4" s="3222"/>
      <c r="D4" s="3221"/>
      <c r="E4" s="2626" t="s">
        <v>2040</v>
      </c>
      <c r="F4" s="2626" t="s">
        <v>2740</v>
      </c>
      <c r="G4" s="2626" t="s">
        <v>2034</v>
      </c>
      <c r="H4" s="2626" t="s">
        <v>2035</v>
      </c>
      <c r="I4" s="2626" t="s">
        <v>2741</v>
      </c>
      <c r="J4" s="2626" t="s">
        <v>2034</v>
      </c>
      <c r="K4" s="3222"/>
      <c r="L4" s="3222"/>
      <c r="M4" s="3221"/>
      <c r="N4" s="3223"/>
      <c r="O4" s="3221"/>
      <c r="P4" s="3222"/>
      <c r="Q4" s="3222"/>
      <c r="R4" s="3222"/>
    </row>
    <row r="5" spans="1:18" ht="135" customHeight="1">
      <c r="A5" s="1941" t="s">
        <v>2651</v>
      </c>
      <c r="B5" s="2844" t="s">
        <v>2649</v>
      </c>
      <c r="C5" s="2625">
        <v>22</v>
      </c>
      <c r="D5" s="2624" t="s">
        <v>2650</v>
      </c>
      <c r="E5" s="1808" t="str">
        <f>项目基本情况!B12</f>
        <v>商业用地</v>
      </c>
      <c r="F5" s="2624">
        <v>258</v>
      </c>
      <c r="G5" s="1808" t="str">
        <f>项目基本情况!B13</f>
        <v>商业用地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商业用地26.26年</v>
      </c>
      <c r="N5" s="1808">
        <f>项目基本情况!C22</f>
        <v>266666.2</v>
      </c>
      <c r="O5" s="1808">
        <f>项目基本情况!C21</f>
        <v>1066664.8</v>
      </c>
      <c r="P5" s="1808">
        <f ca="1">结果表!E42</f>
        <v>1706</v>
      </c>
      <c r="Q5" s="1808">
        <f ca="1">结果表!D42</f>
        <v>426</v>
      </c>
      <c r="R5" s="1809">
        <f ca="1">结果表!C42</f>
        <v>45487</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0">
        <f ca="1">结果表!O39</f>
        <v>45487</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0"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6" t="s">
        <v>2063</v>
      </c>
      <c r="B1" s="3226"/>
      <c r="C1" s="3226"/>
      <c r="D1" s="3226"/>
    </row>
    <row r="2" spans="1:4" ht="47.25" customHeight="1">
      <c r="A2" s="3227" t="str">
        <f>"1.权利限制："&amp;项目基本情况!L24&amp;"未设定租赁等其他他项权利。"</f>
        <v>1.权利限制：根据估价对象《国有土地使用证》原件、，截至估价期日，估价对象已设定抵押。未设定租赁等其他他项权利。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6"/>
      <c r="C3" s="3226"/>
      <c r="D3" s="3226"/>
    </row>
    <row r="4" spans="1:4" ht="36.75" customHeight="1">
      <c r="A4" s="3226" t="str">
        <f>"3.估价规划限制条件：详见"&amp;项目基本情况!E21&amp;"。"</f>
        <v>3.估价规划限制条件：详见《国有土地使用权出让合同》[合同编号：GH-2005-11]及附件。</v>
      </c>
      <c r="B4" s="3226"/>
      <c r="C4" s="3226"/>
      <c r="D4" s="3226"/>
    </row>
    <row r="5" spans="1:4">
      <c r="A5" s="3225" t="s">
        <v>2064</v>
      </c>
      <c r="B5" s="3225"/>
      <c r="C5" s="3225"/>
      <c r="D5" s="3225"/>
    </row>
    <row r="6" spans="1:4">
      <c r="A6" s="3226" t="s">
        <v>2042</v>
      </c>
      <c r="B6" s="3226"/>
      <c r="C6" s="3226"/>
      <c r="D6" s="3226"/>
    </row>
    <row r="7" spans="1:4" ht="33" customHeight="1">
      <c r="A7" s="3226" t="s">
        <v>2571</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2066</v>
      </c>
      <c r="B12" s="3225"/>
      <c r="C12" s="3225"/>
      <c r="D12" s="3225"/>
    </row>
    <row r="13" spans="1:4">
      <c r="A13" s="3229" t="s">
        <v>2742</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2698</v>
      </c>
      <c r="B17" s="3226"/>
      <c r="C17" s="3226"/>
      <c r="D17" s="3226"/>
    </row>
    <row r="18" spans="1:4">
      <c r="A18" s="3226" t="s">
        <v>2690</v>
      </c>
      <c r="B18" s="3226"/>
      <c r="C18" s="3226"/>
      <c r="D18" s="3226"/>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6" t="s">
        <v>2695</v>
      </c>
      <c r="B23" s="3226"/>
      <c r="C23" s="3226"/>
      <c r="D23" s="3226"/>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7" t="s">
        <v>53</v>
      </c>
      <c r="B15" s="3238" t="s">
        <v>846</v>
      </c>
      <c r="C15" s="3234"/>
    </row>
    <row r="16" spans="1:7" ht="14.25">
      <c r="A16" s="3237"/>
      <c r="B16" s="3235" t="s">
        <v>54</v>
      </c>
      <c r="C16" s="1171" t="s">
        <v>53</v>
      </c>
    </row>
    <row r="17" spans="1:3" ht="14.25">
      <c r="A17" s="3237"/>
      <c r="B17" s="3235"/>
      <c r="C17" s="1171" t="s">
        <v>55</v>
      </c>
    </row>
    <row r="18" spans="1:3" ht="14.25">
      <c r="A18" s="3237"/>
      <c r="B18" s="3235"/>
      <c r="C18" s="1171" t="s">
        <v>56</v>
      </c>
    </row>
    <row r="19" spans="1:3" ht="14.25">
      <c r="A19" s="3237"/>
      <c r="B19" s="3233" t="s">
        <v>57</v>
      </c>
      <c r="C19" s="3234"/>
    </row>
    <row r="20" spans="1:3" ht="14.25">
      <c r="A20" s="1172" t="s">
        <v>58</v>
      </c>
      <c r="B20" s="1173"/>
      <c r="C20" s="1174"/>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5" t="s">
        <v>837</v>
      </c>
    </row>
    <row r="25" spans="1:3" ht="14.25">
      <c r="A25" s="3236"/>
      <c r="B25" s="3240"/>
      <c r="C25" s="1175" t="s">
        <v>838</v>
      </c>
    </row>
    <row r="26" spans="1:3" ht="14.25">
      <c r="A26" s="3236"/>
      <c r="B26" s="3240"/>
      <c r="C26" s="1175" t="s">
        <v>839</v>
      </c>
    </row>
    <row r="27" spans="1:3" ht="14.25">
      <c r="A27" s="3236"/>
      <c r="B27" s="3240"/>
      <c r="C27" s="1175" t="s">
        <v>840</v>
      </c>
    </row>
    <row r="28" spans="1:3" ht="14.25">
      <c r="A28" s="3236"/>
      <c r="B28" s="3240"/>
      <c r="C28" s="1175" t="s">
        <v>841</v>
      </c>
    </row>
    <row r="29" spans="1:3" ht="14.25">
      <c r="A29" s="3236"/>
      <c r="B29" s="3240"/>
      <c r="C29" s="1175" t="s">
        <v>842</v>
      </c>
    </row>
    <row r="30" spans="1:3" ht="14.25">
      <c r="A30" s="3236"/>
      <c r="B30" s="3240"/>
      <c r="C30" s="1175" t="s">
        <v>843</v>
      </c>
    </row>
    <row r="31" spans="1:3" ht="14.25">
      <c r="A31" s="3236"/>
      <c r="B31" s="3240"/>
      <c r="C31" s="1175" t="s">
        <v>844</v>
      </c>
    </row>
    <row r="32" spans="1:3" ht="14.25">
      <c r="A32" s="3236"/>
      <c r="B32" s="3240"/>
      <c r="C32" s="1175" t="s">
        <v>1647</v>
      </c>
    </row>
    <row r="33" spans="1:3" ht="14.25">
      <c r="A33" s="3236"/>
      <c r="B33" s="3230" t="s">
        <v>1653</v>
      </c>
      <c r="C33" s="1175" t="s">
        <v>1648</v>
      </c>
    </row>
    <row r="34" spans="1:3" ht="14.25">
      <c r="A34" s="3236"/>
      <c r="B34" s="3231"/>
      <c r="C34" s="1180" t="s">
        <v>1649</v>
      </c>
    </row>
    <row r="35" spans="1:3" ht="14.25">
      <c r="A35" s="3236"/>
      <c r="B35" s="3231"/>
      <c r="C35" s="1181" t="s">
        <v>1650</v>
      </c>
    </row>
    <row r="36" spans="1:3" ht="14.25">
      <c r="A36" s="3236"/>
      <c r="B36" s="3231"/>
      <c r="C36" s="1181" t="s">
        <v>1651</v>
      </c>
    </row>
    <row r="37" spans="1:3" ht="14.25">
      <c r="A37" s="3236"/>
      <c r="B37" s="323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43472</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f ca="1">IF(C10&lt;B2,"已过期",1120060040)</f>
        <v>1120060040</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41" t="s">
        <v>1927</v>
      </c>
      <c r="B25" s="3241"/>
      <c r="C25" s="3241"/>
      <c r="D25" s="3241"/>
      <c r="E25" s="3241"/>
      <c r="F25" s="3241"/>
      <c r="G25" s="3241"/>
    </row>
    <row r="26" spans="1:7" ht="20.25" customHeight="1">
      <c r="A26" s="3242" t="s">
        <v>1928</v>
      </c>
      <c r="B26" s="3242"/>
      <c r="C26" s="3242"/>
      <c r="D26" s="3242" t="s">
        <v>1929</v>
      </c>
      <c r="E26" s="3242"/>
      <c r="F26" s="3242"/>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3"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c r="D53" s="1765"/>
      <c r="E53" s="1765"/>
    </row>
    <row r="54" spans="1:5">
      <c r="A54" s="3243"/>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3"/>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3"/>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3"/>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2019-01-07T10:00:20Z</dcterms:modified>
</cp:coreProperties>
</file>